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273"/>
  </bookViews>
  <sheets>
    <sheet name="第一版" sheetId="14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<sst xmlns="http://schemas.openxmlformats.org/spreadsheetml/2006/main" count="195" uniqueCount="104">
  <si>
    <t>昌金房建工程工日计算表</t>
  </si>
  <si>
    <t>序号</t>
  </si>
  <si>
    <t>设计阶段</t>
  </si>
  <si>
    <t>子项名称</t>
  </si>
  <si>
    <t>单体名称</t>
  </si>
  <si>
    <t>建筑面积</t>
  </si>
  <si>
    <t>总工日</t>
  </si>
  <si>
    <t>备注</t>
  </si>
  <si>
    <t>建筑专业</t>
  </si>
  <si>
    <t>结构专业</t>
  </si>
  <si>
    <t>给排水专业</t>
  </si>
  <si>
    <t>电气专业</t>
  </si>
  <si>
    <t>肖超群</t>
  </si>
  <si>
    <t>杨捷</t>
  </si>
  <si>
    <t>尹敏威</t>
  </si>
  <si>
    <t>张瑞琪</t>
  </si>
  <si>
    <t>魏智超</t>
  </si>
  <si>
    <t>刘扬</t>
  </si>
  <si>
    <t>杨浩</t>
  </si>
  <si>
    <t>熊高亮</t>
  </si>
  <si>
    <t>外委</t>
  </si>
  <si>
    <t>梁翾翾</t>
  </si>
  <si>
    <t>温春辉</t>
  </si>
  <si>
    <t>朱凤琪</t>
  </si>
  <si>
    <t>周金民</t>
  </si>
  <si>
    <t>左凎龙</t>
  </si>
  <si>
    <t>龚菲</t>
  </si>
  <si>
    <t>施设方案</t>
  </si>
  <si>
    <t>下浦服务区</t>
  </si>
  <si>
    <t>第一版方案</t>
  </si>
  <si>
    <t>下浦服务区完成两版方案，张瑞琪完成第二版方案</t>
  </si>
  <si>
    <t>宜春通信分中心</t>
  </si>
  <si>
    <t>办公楼</t>
  </si>
  <si>
    <t>收费站</t>
  </si>
  <si>
    <t>综合楼</t>
  </si>
  <si>
    <t xml:space="preserve"> </t>
  </si>
  <si>
    <t>管理所</t>
  </si>
  <si>
    <t>办公+宿舍</t>
  </si>
  <si>
    <t>养护工区</t>
  </si>
  <si>
    <t>萍乡收费站</t>
  </si>
  <si>
    <t>收费棚</t>
  </si>
  <si>
    <t>芦溪收费站</t>
  </si>
  <si>
    <t>新余收费站</t>
  </si>
  <si>
    <t>新建总图</t>
  </si>
  <si>
    <t>后取消改为原址修缮</t>
  </si>
  <si>
    <t>施工图</t>
  </si>
  <si>
    <t>新余东收费站</t>
  </si>
  <si>
    <t>总图</t>
  </si>
  <si>
    <t>北入口</t>
  </si>
  <si>
    <t xml:space="preserve">  </t>
  </si>
  <si>
    <t>食堂</t>
  </si>
  <si>
    <t>设备房</t>
  </si>
  <si>
    <t>门卫</t>
  </si>
  <si>
    <t>收费大棚</t>
  </si>
  <si>
    <t>宿舍</t>
  </si>
  <si>
    <t>养护工区办公楼</t>
  </si>
  <si>
    <t>养护工区宿舍楼</t>
  </si>
  <si>
    <t>养护工区食堂</t>
  </si>
  <si>
    <t>完成两版，第一版套用，申请第一版套用工日</t>
  </si>
  <si>
    <t>新余西收费站</t>
  </si>
  <si>
    <t>考虑南入口系数0.4</t>
  </si>
  <si>
    <t>门卫*2</t>
  </si>
  <si>
    <t>路政综合楼</t>
  </si>
  <si>
    <t>下浦收费站</t>
  </si>
  <si>
    <t>考虑北入口系数0.2</t>
  </si>
  <si>
    <t>综合楼完成3版施工图，暂按照最大面积计算，建筑第二版换人，申请修改系数</t>
  </si>
  <si>
    <t>宿舍完成2版施工图，暂按照最大面积计算，建筑第二版换人，申请修改系数</t>
  </si>
  <si>
    <t>维修车间</t>
  </si>
  <si>
    <t>新余服务区</t>
  </si>
  <si>
    <t>综合楼（修缮）</t>
  </si>
  <si>
    <t>警务执法室</t>
  </si>
  <si>
    <t>宜春服务区</t>
  </si>
  <si>
    <t>萍乡服务区</t>
  </si>
  <si>
    <t>黄土岗收费站
（修缮）</t>
  </si>
  <si>
    <t>水专业单体修缮采用通用做法出图，无法计算工日</t>
  </si>
  <si>
    <t>管养用房</t>
  </si>
  <si>
    <t>彬江收费站
（修缮）</t>
  </si>
  <si>
    <t>宜春收费站
（修缮）</t>
  </si>
  <si>
    <t>西村收费站
（修缮）</t>
  </si>
  <si>
    <t>车库</t>
  </si>
  <si>
    <t>芦溪收费站
（修缮）</t>
  </si>
  <si>
    <t>萍乡收费站
（修缮）</t>
  </si>
  <si>
    <t>交警办公楼</t>
  </si>
  <si>
    <t>收费站办公楼</t>
  </si>
  <si>
    <t>养护站办公楼</t>
  </si>
  <si>
    <t>收费站宿舍楼</t>
  </si>
  <si>
    <t>交警宿舍楼</t>
  </si>
  <si>
    <t>仓库</t>
  </si>
  <si>
    <t>湘东收费站
（修缮）</t>
  </si>
  <si>
    <t>1#宿舍</t>
  </si>
  <si>
    <t>2#宿舍</t>
  </si>
  <si>
    <t>建筑专业负责人</t>
  </si>
  <si>
    <t>结构专业负责人</t>
  </si>
  <si>
    <t>给排水专业负责人</t>
  </si>
  <si>
    <t>电气专业负责人</t>
  </si>
  <si>
    <t>项目负责人</t>
  </si>
  <si>
    <t>初设深化</t>
  </si>
  <si>
    <t>初设深化阶段套图0.2</t>
  </si>
  <si>
    <t>合计</t>
  </si>
  <si>
    <t>建筑专业总工日：</t>
  </si>
  <si>
    <t>结构专业总工日：</t>
  </si>
  <si>
    <t>给排水专业总工日：</t>
  </si>
  <si>
    <t>电气专业总工日：</t>
  </si>
  <si>
    <t>项目总工日：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</si>
</sst>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_);[Red]\(0.00\)"/>
  </numFmts>
  <fonts count="26">
    <font>
      <sz val="11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1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9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176" fontId="1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76" fontId="0" fillId="0" borderId="14" xfId="0" applyNumberFormat="1" applyFont="1" applyBorder="1" applyAlignment="1">
      <alignment horizontal="center" vertical="center"/>
    </xf>
    <xf numFmtId="176" fontId="0" fillId="0" borderId="1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176" fontId="0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76" fontId="1" fillId="0" borderId="8" xfId="0" applyNumberFormat="1" applyFont="1" applyFill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176" fontId="0" fillId="0" borderId="11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7" fontId="0" fillId="0" borderId="1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3" borderId="5" xfId="0" applyNumberFormat="1" applyFont="1" applyFill="1" applyBorder="1" applyAlignment="1">
      <alignment horizontal="center" vertical="center"/>
    </xf>
    <xf numFmtId="176" fontId="0" fillId="0" borderId="13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0" fillId="0" borderId="4" xfId="0" applyNumberFormat="1" applyFont="1" applyBorder="1" applyAlignment="1">
      <alignment horizontal="center" vertical="center"/>
    </xf>
    <xf numFmtId="176" fontId="0" fillId="3" borderId="7" xfId="0" applyNumberFormat="1" applyFont="1" applyFill="1" applyBorder="1" applyAlignment="1">
      <alignment horizontal="center" vertical="center"/>
    </xf>
    <xf numFmtId="176" fontId="0" fillId="0" borderId="8" xfId="0" applyNumberFormat="1" applyFont="1" applyBorder="1" applyAlignment="1">
      <alignment horizontal="left" vertical="center"/>
    </xf>
    <xf numFmtId="176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0"/>
  <sheetViews>
    <sheetView tabSelected="1" workbookViewId="0">
      <pane ySplit="4" topLeftCell="A112" activePane="bottomLeft" state="frozen"/>
      <selection/>
      <selection pane="bottomLeft" activeCell="N119" sqref="N119"/>
    </sheetView>
  </sheetViews>
  <sheetFormatPr defaultColWidth="9" defaultRowHeight="13.5"/>
  <cols>
    <col min="1" max="1" width="7.875" customWidth="1"/>
    <col min="2" max="2" width="9.625" customWidth="1"/>
    <col min="3" max="3" width="15.875" customWidth="1"/>
    <col min="4" max="4" width="16.75" customWidth="1"/>
    <col min="5" max="5" width="15.75" customWidth="1"/>
    <col min="6" max="13" width="9.025" customWidth="1"/>
    <col min="16" max="18" width="10.125" customWidth="1"/>
    <col min="19" max="19" width="9.25" customWidth="1"/>
    <col min="20" max="20" width="9.125" customWidth="1"/>
    <col min="21" max="21" width="9.375" customWidth="1"/>
    <col min="22" max="22" width="14.125" hidden="1" customWidth="1"/>
    <col min="23" max="23" width="35.25" customWidth="1"/>
    <col min="24" max="24" width="12.625"/>
  </cols>
  <sheetData>
    <row r="1" ht="30" customHeight="1" spans="1:2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8"/>
    </row>
    <row r="2" ht="30" customHeight="1" spans="1:23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9"/>
      <c r="N2" s="9"/>
      <c r="O2" s="42"/>
      <c r="P2" s="42"/>
      <c r="Q2" s="42"/>
      <c r="R2" s="42"/>
      <c r="S2" s="42"/>
      <c r="T2" s="42"/>
      <c r="U2" s="13"/>
      <c r="V2" s="44" t="s">
        <v>6</v>
      </c>
      <c r="W2" s="8" t="s">
        <v>7</v>
      </c>
    </row>
    <row r="3" ht="30" customHeight="1" spans="1:23">
      <c r="A3" s="10"/>
      <c r="B3" s="6"/>
      <c r="C3" s="6"/>
      <c r="D3" s="7"/>
      <c r="E3" s="8"/>
      <c r="F3" s="11" t="s">
        <v>8</v>
      </c>
      <c r="G3" s="11"/>
      <c r="H3" s="11"/>
      <c r="I3" s="11"/>
      <c r="J3" s="11"/>
      <c r="K3" s="43" t="s">
        <v>9</v>
      </c>
      <c r="L3" s="11"/>
      <c r="M3" s="11"/>
      <c r="N3" s="11"/>
      <c r="O3" s="8" t="s">
        <v>10</v>
      </c>
      <c r="P3" s="8"/>
      <c r="Q3" s="8"/>
      <c r="R3" s="43" t="s">
        <v>11</v>
      </c>
      <c r="S3" s="11"/>
      <c r="T3" s="11"/>
      <c r="U3" s="49"/>
      <c r="V3" s="8"/>
      <c r="W3" s="8"/>
    </row>
    <row r="4" ht="30" customHeight="1" spans="1:23">
      <c r="A4" s="10"/>
      <c r="B4" s="12"/>
      <c r="C4" s="12"/>
      <c r="D4" s="7"/>
      <c r="E4" s="8"/>
      <c r="F4" s="13" t="s">
        <v>12</v>
      </c>
      <c r="G4" s="13" t="s">
        <v>13</v>
      </c>
      <c r="H4" s="13" t="s">
        <v>14</v>
      </c>
      <c r="I4" s="44" t="s">
        <v>15</v>
      </c>
      <c r="J4" s="44" t="s">
        <v>16</v>
      </c>
      <c r="K4" s="44" t="s">
        <v>17</v>
      </c>
      <c r="L4" s="44" t="s">
        <v>18</v>
      </c>
      <c r="M4" s="44" t="s">
        <v>19</v>
      </c>
      <c r="N4" s="8" t="s">
        <v>20</v>
      </c>
      <c r="O4" s="8" t="s">
        <v>21</v>
      </c>
      <c r="P4" s="8" t="s">
        <v>22</v>
      </c>
      <c r="Q4" s="44" t="s">
        <v>23</v>
      </c>
      <c r="R4" s="8" t="s">
        <v>24</v>
      </c>
      <c r="S4" s="8" t="s">
        <v>25</v>
      </c>
      <c r="T4" s="8" t="s">
        <v>26</v>
      </c>
      <c r="U4" s="8" t="s">
        <v>20</v>
      </c>
      <c r="V4" s="8"/>
      <c r="W4" s="8"/>
    </row>
    <row r="5" ht="30" customHeight="1" spans="1:23">
      <c r="A5" s="14">
        <v>1</v>
      </c>
      <c r="B5" s="15" t="s">
        <v>27</v>
      </c>
      <c r="C5" s="16" t="s">
        <v>28</v>
      </c>
      <c r="D5" s="16" t="s">
        <v>29</v>
      </c>
      <c r="E5" s="17">
        <v>6480</v>
      </c>
      <c r="F5" s="17">
        <f>6480/100*15*(0.855*0.2*0.88*0.5+0.145*0.15*0.8)*0.8*0.5</f>
        <v>36.018432</v>
      </c>
      <c r="G5" s="13"/>
      <c r="H5" s="17">
        <f>6480/100*15*(0.855*0.2*0.88*0.5+0.145*0.15*0.8)*0.8*0.2</f>
        <v>14.4073728</v>
      </c>
      <c r="I5" s="17">
        <f>638.85/100*15*0.855*0.2*0.88*0.8*0.4</f>
        <v>4.614439104</v>
      </c>
      <c r="J5" s="17"/>
      <c r="K5" s="17">
        <f>6480/100*15*(0.855*0.2*0.88*0.5+0.145*0.15*0.8)*0.8*0.3</f>
        <v>21.6110592</v>
      </c>
      <c r="L5" s="44"/>
      <c r="M5" s="44"/>
      <c r="N5" s="44"/>
      <c r="O5" s="44"/>
      <c r="P5" s="8"/>
      <c r="Q5" s="44"/>
      <c r="R5" s="44"/>
      <c r="S5" s="44"/>
      <c r="T5" s="44"/>
      <c r="U5" s="44"/>
      <c r="V5" s="44"/>
      <c r="W5" s="16" t="s">
        <v>30</v>
      </c>
    </row>
    <row r="6" ht="30" customHeight="1" spans="1:23">
      <c r="A6" s="18"/>
      <c r="B6" s="15"/>
      <c r="C6" s="16" t="s">
        <v>31</v>
      </c>
      <c r="D6" s="16" t="s">
        <v>32</v>
      </c>
      <c r="E6" s="17">
        <v>3312.64</v>
      </c>
      <c r="F6" s="17">
        <f>3312.64/100*15*0.855*0.2*0.88*0.8*0.4</f>
        <v>23.9273312256</v>
      </c>
      <c r="G6" s="13"/>
      <c r="H6" s="13"/>
      <c r="I6" s="44"/>
      <c r="J6" s="44"/>
      <c r="K6" s="44"/>
      <c r="L6" s="44"/>
      <c r="M6" s="44"/>
      <c r="N6" s="44"/>
      <c r="O6" s="44"/>
      <c r="P6" s="8"/>
      <c r="Q6" s="44"/>
      <c r="R6" s="44"/>
      <c r="S6" s="44"/>
      <c r="T6" s="44"/>
      <c r="U6" s="44"/>
      <c r="V6" s="44"/>
      <c r="W6" s="8"/>
    </row>
    <row r="7" ht="30" customHeight="1" spans="1:23">
      <c r="A7" s="18"/>
      <c r="B7" s="15"/>
      <c r="C7" s="16" t="s">
        <v>33</v>
      </c>
      <c r="D7" s="16" t="s">
        <v>34</v>
      </c>
      <c r="E7" s="17">
        <v>1365.3</v>
      </c>
      <c r="F7" s="17">
        <f>1365.3/100*15*0.855*0.2*0.88*0.8*0.4</f>
        <v>9.861616512</v>
      </c>
      <c r="G7" s="13"/>
      <c r="H7" s="13" t="s">
        <v>35</v>
      </c>
      <c r="I7" s="45"/>
      <c r="J7" s="44"/>
      <c r="K7" s="44"/>
      <c r="L7" s="44"/>
      <c r="M7" s="44"/>
      <c r="N7" s="44"/>
      <c r="O7" s="44"/>
      <c r="P7" s="8"/>
      <c r="Q7" s="44"/>
      <c r="R7" s="44"/>
      <c r="S7" s="44"/>
      <c r="T7" s="44"/>
      <c r="U7" s="44"/>
      <c r="V7" s="44"/>
      <c r="W7" s="50"/>
    </row>
    <row r="8" ht="31" customHeight="1" spans="1:23">
      <c r="A8" s="18"/>
      <c r="B8" s="15"/>
      <c r="C8" s="19" t="s">
        <v>36</v>
      </c>
      <c r="D8" s="19" t="s">
        <v>37</v>
      </c>
      <c r="E8" s="20">
        <v>2296.55</v>
      </c>
      <c r="F8" s="17">
        <f>2296.55/100*15*0.855*0.2*0.88*0.8*0.4</f>
        <v>16.588072512</v>
      </c>
      <c r="G8" s="8"/>
      <c r="H8" s="8"/>
      <c r="I8" s="4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51"/>
      <c r="W8" s="50"/>
    </row>
    <row r="9" ht="31" customHeight="1" spans="1:23">
      <c r="A9" s="18"/>
      <c r="B9" s="15"/>
      <c r="C9" s="19" t="s">
        <v>38</v>
      </c>
      <c r="D9" s="19" t="s">
        <v>37</v>
      </c>
      <c r="E9" s="20">
        <v>1222.97</v>
      </c>
      <c r="F9" s="17">
        <f>1222.97/100*15*0.855*0.2*0.88*0.8*0.4</f>
        <v>8.8335612288</v>
      </c>
      <c r="G9" s="8"/>
      <c r="H9" s="8"/>
      <c r="I9" s="46"/>
      <c r="J9" s="17"/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51"/>
      <c r="W9" s="50"/>
    </row>
    <row r="10" ht="24" customHeight="1" spans="1:23">
      <c r="A10" s="18"/>
      <c r="B10" s="15"/>
      <c r="C10" s="19" t="s">
        <v>39</v>
      </c>
      <c r="D10" s="21" t="s">
        <v>40</v>
      </c>
      <c r="E10" s="22">
        <v>1071.53</v>
      </c>
      <c r="F10" s="17"/>
      <c r="G10" s="8"/>
      <c r="H10" s="8"/>
      <c r="I10" s="17">
        <f>1071.53/100*15*0.855*0.2*0.88*0.8*0.5</f>
        <v>9.674630064</v>
      </c>
      <c r="J10" s="17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52"/>
      <c r="W10" s="50"/>
    </row>
    <row r="11" ht="25" customHeight="1" spans="1:23">
      <c r="A11" s="18"/>
      <c r="B11" s="15"/>
      <c r="C11" s="19" t="s">
        <v>41</v>
      </c>
      <c r="D11" s="21" t="s">
        <v>40</v>
      </c>
      <c r="E11" s="22">
        <v>568.32</v>
      </c>
      <c r="F11" s="17"/>
      <c r="G11" s="23"/>
      <c r="H11" s="23"/>
      <c r="I11" s="17">
        <f>E11/100*15*0.855*0.2*0.88*0.8*0.5</f>
        <v>5.131247616</v>
      </c>
      <c r="J11" s="35"/>
      <c r="K11" s="35"/>
      <c r="L11" s="35"/>
      <c r="M11" s="35"/>
      <c r="N11" s="35"/>
      <c r="O11" s="35"/>
      <c r="P11" s="35"/>
      <c r="Q11" s="23"/>
      <c r="R11" s="23"/>
      <c r="S11" s="35"/>
      <c r="T11" s="35"/>
      <c r="U11" s="35"/>
      <c r="V11" s="53"/>
      <c r="W11" s="54"/>
    </row>
    <row r="12" ht="25" customHeight="1" spans="1:23">
      <c r="A12" s="18"/>
      <c r="B12" s="15"/>
      <c r="C12" s="19" t="s">
        <v>42</v>
      </c>
      <c r="D12" s="21" t="s">
        <v>40</v>
      </c>
      <c r="E12" s="24">
        <v>771.9</v>
      </c>
      <c r="F12" s="17"/>
      <c r="G12" s="23"/>
      <c r="H12" s="23"/>
      <c r="I12" s="35"/>
      <c r="J12" s="17">
        <f>E12/100*15*0.855*0.2*0.88*0.8*0.5</f>
        <v>6.96933072</v>
      </c>
      <c r="K12" s="35"/>
      <c r="L12" s="35"/>
      <c r="M12" s="35"/>
      <c r="N12" s="35"/>
      <c r="O12" s="35"/>
      <c r="P12" s="35"/>
      <c r="Q12" s="23"/>
      <c r="R12" s="23"/>
      <c r="S12" s="35"/>
      <c r="T12" s="35"/>
      <c r="U12" s="35"/>
      <c r="V12" s="53"/>
      <c r="W12" s="54"/>
    </row>
    <row r="13" ht="25" customHeight="1" spans="1:23">
      <c r="A13" s="18"/>
      <c r="B13" s="15"/>
      <c r="C13" s="19" t="s">
        <v>39</v>
      </c>
      <c r="D13" s="25" t="s">
        <v>43</v>
      </c>
      <c r="E13" s="22">
        <v>3852.12</v>
      </c>
      <c r="F13" s="17">
        <f>3852.12/100*15*0.145*0.15*0.8*0.8</f>
        <v>8.04322656</v>
      </c>
      <c r="G13" s="23"/>
      <c r="H13" s="23"/>
      <c r="I13" s="35"/>
      <c r="J13" s="35"/>
      <c r="K13" s="35"/>
      <c r="L13" s="35"/>
      <c r="M13" s="35"/>
      <c r="N13" s="35"/>
      <c r="O13" s="35"/>
      <c r="P13" s="35"/>
      <c r="Q13" s="23"/>
      <c r="R13" s="23"/>
      <c r="S13" s="35"/>
      <c r="T13" s="35"/>
      <c r="U13" s="35"/>
      <c r="V13" s="53"/>
      <c r="W13" s="54" t="s">
        <v>44</v>
      </c>
    </row>
    <row r="14" ht="25" customHeight="1" spans="1:23">
      <c r="A14" s="14">
        <f>A5+1</f>
        <v>2</v>
      </c>
      <c r="B14" s="16" t="s">
        <v>45</v>
      </c>
      <c r="C14" s="16" t="s">
        <v>46</v>
      </c>
      <c r="D14" s="26" t="s">
        <v>47</v>
      </c>
      <c r="E14" s="27">
        <v>1578.38</v>
      </c>
      <c r="F14" s="23">
        <f>1578.38/100*15*0.145*(0.7*0.43+0.15*0.8)*0.82</f>
        <v>11.8513214733</v>
      </c>
      <c r="G14" s="23">
        <f>1578.38/100*15*0.145*0.7*0.43*0.08</f>
        <v>0.8266607412</v>
      </c>
      <c r="H14" s="23">
        <f>1578.38/100*15*0.145*0.7*0.43*0.08</f>
        <v>0.8266607412</v>
      </c>
      <c r="I14" s="23"/>
      <c r="J14" s="23"/>
      <c r="K14" s="23"/>
      <c r="L14" s="23"/>
      <c r="M14" s="23">
        <f>1578.38/100*15*0.145*0.7*0.04*0.82</f>
        <v>0.7882114044</v>
      </c>
      <c r="N14" s="23"/>
      <c r="O14" s="23">
        <f t="shared" ref="O14:Q14" si="0">1578.38/100*15*0.145*0.7*0.36*0.08</f>
        <v>0.6920880624</v>
      </c>
      <c r="P14" s="23">
        <f t="shared" si="0"/>
        <v>0.6920880624</v>
      </c>
      <c r="Q14" s="23">
        <f>1578.38/100*15*0.145*(0.7*0.36+0.15*0.075)*0.82</f>
        <v>7.410594721725</v>
      </c>
      <c r="R14" s="23">
        <f>1578.38/100*15*0.145*(0.7*0.17+0.15*0.075)*0.82*0.2</f>
        <v>0.733318110165</v>
      </c>
      <c r="S14" s="23">
        <f>1578.38/100*15*0.145*0.7*0.17*0.08</f>
        <v>0.3268193628</v>
      </c>
      <c r="T14" s="23">
        <f>1578.38/100*15*0.145*0.7*0.17*0.08</f>
        <v>0.3268193628</v>
      </c>
      <c r="U14" s="23">
        <f>1578.38/100*15*0.145*(0.7*0.17+0.15*0.075)*0.82*0.8</f>
        <v>2.93327244066</v>
      </c>
      <c r="V14" s="55"/>
      <c r="W14" s="54"/>
    </row>
    <row r="15" ht="25" customHeight="1" spans="1:29">
      <c r="A15" s="18"/>
      <c r="B15" s="16"/>
      <c r="C15" s="16"/>
      <c r="D15" s="26" t="s">
        <v>34</v>
      </c>
      <c r="E15" s="27">
        <v>1365.3</v>
      </c>
      <c r="F15" s="23">
        <f>1365.3/100*15*0.855*0.6*0.334*0.82</f>
        <v>28.7737876098</v>
      </c>
      <c r="G15" s="23">
        <f>1365.3/100*15*0.855*0.6*0.334*0.08</f>
        <v>2.8071987912</v>
      </c>
      <c r="H15" s="23">
        <f>1365.3/100*15*0.855*0.6*0.334*0.08</f>
        <v>2.8071987912</v>
      </c>
      <c r="I15" s="23"/>
      <c r="J15" s="23"/>
      <c r="K15" s="23">
        <f>1365.3/100*15*0.855*0.6*0.388*0.08</f>
        <v>3.2610572784</v>
      </c>
      <c r="L15" s="23">
        <f>1365.3/100*15*0.855*0.6*0.388*0.08</f>
        <v>3.2610572784</v>
      </c>
      <c r="M15" s="23">
        <f>1365.3/100*15*0.855*0.6*0.388*0.8</f>
        <v>32.610572784</v>
      </c>
      <c r="N15" s="23"/>
      <c r="O15" s="23">
        <f>1365.3/100*15*0.855*0.6*0.13*0.08</f>
        <v>1.092622284</v>
      </c>
      <c r="P15" s="23">
        <f>1365.3/100*15*0.855*0.6*0.13*0.08</f>
        <v>1.092622284</v>
      </c>
      <c r="Q15" s="23">
        <f>1365.3/100*15*0.855*0.6*0.13*0.82</f>
        <v>11.199378411</v>
      </c>
      <c r="R15" s="23">
        <f>1365.3/100*15*0.855*0.6*0.147*0.82*0.2</f>
        <v>2.53278250218</v>
      </c>
      <c r="S15" s="23">
        <f>1365.3/100*15*0.855*0.6*0.147*0.08</f>
        <v>1.2355036596</v>
      </c>
      <c r="T15" s="23">
        <f>1365.3/100*15*0.855*0.6*0.147*0.08</f>
        <v>1.2355036596</v>
      </c>
      <c r="U15" s="23">
        <f>1365.3/100*15*0.855*0.6*0.147*0.82*0.8</f>
        <v>10.13113000872</v>
      </c>
      <c r="V15" s="55"/>
      <c r="W15" s="50" t="s">
        <v>48</v>
      </c>
      <c r="AC15" t="s">
        <v>49</v>
      </c>
    </row>
    <row r="16" ht="25" customHeight="1" spans="1:23">
      <c r="A16" s="18"/>
      <c r="B16" s="16"/>
      <c r="C16" s="16"/>
      <c r="D16" s="26" t="s">
        <v>50</v>
      </c>
      <c r="E16" s="27">
        <v>134.2</v>
      </c>
      <c r="F16" s="23">
        <f>134.2/100*15*0.855*0.6*0.334*0.1</f>
        <v>0.344911446</v>
      </c>
      <c r="G16" s="23">
        <f>134.2/100*15*0.855*0.6*0.334*0.8</f>
        <v>2.759291568</v>
      </c>
      <c r="H16" s="23">
        <f>134.2/100*15*0.855*0.6*0.334*0.08</f>
        <v>0.2759291568</v>
      </c>
      <c r="I16" s="23"/>
      <c r="J16" s="23"/>
      <c r="K16" s="23">
        <f>134.2/100*15*0.855*0.6*0.388*0.8</f>
        <v>3.205404576</v>
      </c>
      <c r="L16" s="23">
        <f>134.2/100*15*0.855*0.6*0.388*0.08</f>
        <v>0.3205404576</v>
      </c>
      <c r="M16" s="23">
        <f>134.2/100*15*0.855*0.6*0.388*0.08</f>
        <v>0.3205404576</v>
      </c>
      <c r="N16" s="23"/>
      <c r="O16" s="23">
        <f>134.2/100*15*0.855*0.6*0.13*0.08</f>
        <v>0.107397576</v>
      </c>
      <c r="P16" s="23">
        <f>134.2/100*15*0.855*0.6*0.13*0.08</f>
        <v>0.107397576</v>
      </c>
      <c r="Q16" s="23">
        <f>134.2/100*15*0.855*0.6*0.13*0.82</f>
        <v>1.100825154</v>
      </c>
      <c r="R16" s="23">
        <f>134.2/100*15*0.855*0.6*0.147*0.82*0.2</f>
        <v>0.24895584252</v>
      </c>
      <c r="S16" s="23">
        <f>134.2/100*15*0.855*0.6*0.147*0.08</f>
        <v>0.1214418744</v>
      </c>
      <c r="T16" s="23">
        <f>134.2/100*15*0.855*0.6*0.147*0.08</f>
        <v>0.1214418744</v>
      </c>
      <c r="U16" s="23">
        <f>134.2/100*15*0.855*0.6*0.147*0.82*0.8</f>
        <v>0.99582337008</v>
      </c>
      <c r="V16" s="55"/>
      <c r="W16" s="54"/>
    </row>
    <row r="17" ht="25" customHeight="1" spans="1:23">
      <c r="A17" s="18"/>
      <c r="B17" s="16"/>
      <c r="C17" s="16"/>
      <c r="D17" s="26" t="s">
        <v>51</v>
      </c>
      <c r="E17" s="27">
        <v>45.6</v>
      </c>
      <c r="F17" s="23">
        <f>45.6/100*15*0.855*0.6*0.334*0.1*1.3</f>
        <v>0.1523573064</v>
      </c>
      <c r="G17" s="23">
        <f>45.6/100*15*0.855*0.6*0.334*0.8*1.3</f>
        <v>1.2188584512</v>
      </c>
      <c r="H17" s="23">
        <f>45.6/100*15*0.855*0.6*0.334*0.08*1.3</f>
        <v>0.12188584512</v>
      </c>
      <c r="I17" s="23"/>
      <c r="J17" s="23"/>
      <c r="K17" s="23">
        <f>45.6/100*15*0.855*0.6*0.388*0.8*1.3</f>
        <v>1.4159193984</v>
      </c>
      <c r="L17" s="23">
        <f>45.6/100*15*0.855*0.6*0.388*0.08*1.3</f>
        <v>0.14159193984</v>
      </c>
      <c r="M17" s="23">
        <f>45.6/100*15*0.855*0.6*0.388*0.08*1.3</f>
        <v>0.14159193984</v>
      </c>
      <c r="N17" s="23"/>
      <c r="O17" s="23">
        <f>45.6/100*15*0.855*0.6*0.13*0.08*1.3</f>
        <v>0.0474405984</v>
      </c>
      <c r="P17" s="23">
        <f>45.6/100*15*0.855*0.6*0.13*0.08*1.3</f>
        <v>0.0474405984</v>
      </c>
      <c r="Q17" s="23">
        <f>45.6/100*15*0.855*0.6*0.13*0.82*1.3</f>
        <v>0.4862661336</v>
      </c>
      <c r="R17" s="23">
        <f>45.6/100*15*0.855*0.6*0.147*0.82*1.3*0.2</f>
        <v>0.109970956368</v>
      </c>
      <c r="S17" s="23">
        <f t="shared" ref="R17:T17" si="1">45.6/100*15*0.855*0.6*0.147*0.08*1.3</f>
        <v>0.05364436896</v>
      </c>
      <c r="T17" s="23">
        <f t="shared" si="1"/>
        <v>0.05364436896</v>
      </c>
      <c r="U17" s="23">
        <f>45.6/100*15*0.855*0.6*0.147*0.82*1.3*0.8</f>
        <v>0.439883825472</v>
      </c>
      <c r="V17" s="55"/>
      <c r="W17" s="54"/>
    </row>
    <row r="18" ht="25" customHeight="1" spans="1:23">
      <c r="A18" s="18"/>
      <c r="B18" s="16"/>
      <c r="C18" s="16"/>
      <c r="D18" s="26" t="s">
        <v>52</v>
      </c>
      <c r="E18" s="27">
        <v>33.28</v>
      </c>
      <c r="F18" s="23">
        <f>33.28/100*15*0.855*0.6*0.334*0.1</f>
        <v>0.0855339264</v>
      </c>
      <c r="G18" s="23">
        <f>33.28/100*15*0.855*0.6*0.334*0.8</f>
        <v>0.6842714112</v>
      </c>
      <c r="H18" s="23">
        <f>33.28/100*15*0.855*0.6*0.334*0.08</f>
        <v>0.06842714112</v>
      </c>
      <c r="I18" s="23"/>
      <c r="J18" s="23"/>
      <c r="K18" s="23">
        <f>33.28/100*15*0.855*0.6*0.388*0.8</f>
        <v>0.7949021184</v>
      </c>
      <c r="L18" s="23">
        <f>33.28/100*15*0.855*0.6*0.388*0.08</f>
        <v>0.07949021184</v>
      </c>
      <c r="M18" s="23">
        <f>33.28/100*15*0.855*0.6*0.388*0.08</f>
        <v>0.07949021184</v>
      </c>
      <c r="N18" s="23"/>
      <c r="O18" s="23">
        <f>33.28/100*15*0.855*0.6*0.13*0.08</f>
        <v>0.0266333184</v>
      </c>
      <c r="P18" s="23">
        <f>33.28/100*15*0.855*0.6*0.13*0.08</f>
        <v>0.0266333184</v>
      </c>
      <c r="Q18" s="23">
        <f>33.28/100*15*0.855*0.6*0.13*0.82</f>
        <v>0.2729915136</v>
      </c>
      <c r="R18" s="23">
        <f>33.28/100*15*0.855*0.6*0.147*0.82*0.2</f>
        <v>0.061738080768</v>
      </c>
      <c r="S18" s="23">
        <f t="shared" ref="R18:T18" si="2">33.28/100*15*0.855*0.6*0.147*0.08</f>
        <v>0.03011613696</v>
      </c>
      <c r="T18" s="23">
        <f t="shared" si="2"/>
        <v>0.03011613696</v>
      </c>
      <c r="U18" s="23">
        <f>33.28/100*15*0.855*0.6*0.147*0.82*0.8</f>
        <v>0.246952323072</v>
      </c>
      <c r="V18" s="55"/>
      <c r="W18" s="54"/>
    </row>
    <row r="19" s="1" customFormat="1" ht="25" customHeight="1" spans="1:23">
      <c r="A19" s="28"/>
      <c r="B19" s="29"/>
      <c r="C19" s="29"/>
      <c r="D19" s="30" t="s">
        <v>53</v>
      </c>
      <c r="E19" s="27">
        <v>1000</v>
      </c>
      <c r="F19" s="23">
        <f>1000/100*15*0.855*0.6*0.334*0.82</f>
        <v>21.075066</v>
      </c>
      <c r="G19" s="23">
        <f>1000/100*15*0.855*0.6*0.334*0.08</f>
        <v>2.056104</v>
      </c>
      <c r="H19" s="23">
        <f>1000/100*15*0.855*0.6*0.334*0.08</f>
        <v>2.056104</v>
      </c>
      <c r="I19" s="23"/>
      <c r="J19" s="23"/>
      <c r="K19" s="23">
        <f>1000/100*15*0.855*0.6*0.388*0.8</f>
        <v>23.88528</v>
      </c>
      <c r="L19" s="23">
        <f>1000/100*15*0.855*0.6*0.388*0.08</f>
        <v>2.388528</v>
      </c>
      <c r="M19" s="23">
        <f>1000/100*15*0.855*0.6*0.388*0.08</f>
        <v>2.388528</v>
      </c>
      <c r="N19" s="23"/>
      <c r="O19" s="23">
        <f>1000/100*15*0.855*0.6*0.13*0.08</f>
        <v>0.80028</v>
      </c>
      <c r="P19" s="23">
        <f>1000/100*15*0.855*0.6*0.13*0.08</f>
        <v>0.80028</v>
      </c>
      <c r="Q19" s="23">
        <f>1000/100*15*0.855*0.6*0.13*0.82</f>
        <v>8.20287</v>
      </c>
      <c r="R19" s="23">
        <f>1000/100*15*0.855*0.6*0.147*0.82*0.2</f>
        <v>1.8551106</v>
      </c>
      <c r="S19" s="23">
        <f t="shared" ref="R19:T19" si="3">1000/100*15*0.855*0.6*0.147*0.08</f>
        <v>0.904932</v>
      </c>
      <c r="T19" s="23">
        <f t="shared" si="3"/>
        <v>0.904932</v>
      </c>
      <c r="U19" s="23">
        <f>1000/100*15*0.855*0.6*0.147*0.82*0.8</f>
        <v>7.4204424</v>
      </c>
      <c r="V19" s="56"/>
      <c r="W19" s="57"/>
    </row>
    <row r="20" ht="25" customHeight="1" spans="1:23">
      <c r="A20" s="14">
        <v>3</v>
      </c>
      <c r="B20" s="16"/>
      <c r="C20" s="19" t="s">
        <v>42</v>
      </c>
      <c r="D20" s="26" t="s">
        <v>47</v>
      </c>
      <c r="E20" s="27">
        <v>4048.55</v>
      </c>
      <c r="F20" s="23">
        <f>4048.55/100*15*0.145*0.15*0.8*0.8+4048.55/100*15*0.145*0.7*0.43*0.02</f>
        <v>8.98346929425</v>
      </c>
      <c r="G20" s="23">
        <f>E20/100*15*0.145*0.7*0.43*0.08</f>
        <v>2.120387577</v>
      </c>
      <c r="H20" s="23">
        <f>E20/100*15*0.145*0.7*0.43*0.8</f>
        <v>21.20387577</v>
      </c>
      <c r="I20" s="23"/>
      <c r="J20" s="23"/>
      <c r="K20" s="23"/>
      <c r="L20" s="23"/>
      <c r="M20" s="23">
        <f>4048.55/100*15*0.145*0.7*0.04*0.82</f>
        <v>2.021764899</v>
      </c>
      <c r="N20" s="23"/>
      <c r="O20" s="23">
        <f>4048.55/100*15*0.145*(0.7*0.36+0.15*0.075)*0.82</f>
        <v>19.0082003450625</v>
      </c>
      <c r="P20" s="23">
        <f>4048.55/100*15*0.145*0.7*0.36*0.08</f>
        <v>1.775208204</v>
      </c>
      <c r="Q20" s="23">
        <f>4048.55/100*15*0.145*0.7*0.36*0.08</f>
        <v>1.775208204</v>
      </c>
      <c r="R20" s="23">
        <f>4048.55/100*15*0.145*(0.7*0.17+0.15*0.075)*0.82*0.2</f>
        <v>1.8809634149625</v>
      </c>
      <c r="S20" s="23">
        <f>4048.55/100*15*0.145*0.7*0.17*0.08</f>
        <v>0.838292763</v>
      </c>
      <c r="T20" s="23">
        <f>4048.55/100*15*0.145*0.7*0.17*0.08</f>
        <v>0.838292763</v>
      </c>
      <c r="U20" s="23">
        <f>4048.55/100*15*0.145*(0.7*0.17+0.15*0.075)*0.82*0.8</f>
        <v>7.52385365985</v>
      </c>
      <c r="V20" s="58"/>
      <c r="W20" s="59"/>
    </row>
    <row r="21" s="2" customFormat="1" ht="25" customHeight="1" spans="1:23">
      <c r="A21" s="31"/>
      <c r="B21" s="32"/>
      <c r="C21" s="33"/>
      <c r="D21" s="34" t="s">
        <v>32</v>
      </c>
      <c r="E21" s="27">
        <v>892.78</v>
      </c>
      <c r="F21" s="23">
        <f>892.78/100*15*0.855*0.6*0.334*0.1</f>
        <v>2.2945606614</v>
      </c>
      <c r="G21" s="23">
        <f>892.78/100*15*0.855*0.6*0.334*0.8</f>
        <v>18.3564852912</v>
      </c>
      <c r="H21" s="23">
        <f>892.78/100*15*0.855*0.6*0.334*0.08</f>
        <v>1.83564852912</v>
      </c>
      <c r="I21" s="47"/>
      <c r="J21" s="23"/>
      <c r="K21" s="23">
        <f>892.78/100*15*0.855*0.6*0.388*0.8</f>
        <v>21.3243002784</v>
      </c>
      <c r="L21" s="23">
        <f>892.78/100*15*0.855*0.6*0.388*0.08</f>
        <v>2.13243002784</v>
      </c>
      <c r="M21" s="23">
        <f>892.78/100*15*0.855*0.6*0.388*0.08</f>
        <v>2.13243002784</v>
      </c>
      <c r="N21" s="47"/>
      <c r="O21" s="23">
        <f>892.78/100*15*0.855*0.6*0.13*0.82</f>
        <v>7.3233582786</v>
      </c>
      <c r="P21" s="23">
        <f>892.78/100*15*0.855*0.6*0.13*0.08</f>
        <v>0.7144739784</v>
      </c>
      <c r="Q21" s="23">
        <f>892.78/100*15*0.855*0.6*0.13*0.08</f>
        <v>0.7144739784</v>
      </c>
      <c r="R21" s="23">
        <f>892.78/100*15*0.855*0.6*0.147*0.82*0.2</f>
        <v>1.656205641468</v>
      </c>
      <c r="S21" s="23">
        <f>892.78/100*15*0.855*0.6*0.147*0.08</f>
        <v>0.80790519096</v>
      </c>
      <c r="T21" s="23">
        <f>892.78/100*15*0.855*0.6*0.147*0.08</f>
        <v>0.80790519096</v>
      </c>
      <c r="U21" s="23">
        <f>892.78/100*15*0.855*0.6*0.147*0.82*0.8</f>
        <v>6.624822565872</v>
      </c>
      <c r="V21" s="60"/>
      <c r="W21" s="32"/>
    </row>
    <row r="22" s="2" customFormat="1" ht="25" customHeight="1" spans="1:23">
      <c r="A22" s="31"/>
      <c r="B22" s="32"/>
      <c r="C22" s="33"/>
      <c r="D22" s="34" t="s">
        <v>54</v>
      </c>
      <c r="E22" s="27">
        <v>1507.63</v>
      </c>
      <c r="F22" s="23">
        <f>1507.63/100*15*0.855*0.6*0.334*0.1</f>
        <v>3.8748050919</v>
      </c>
      <c r="G22" s="23">
        <f>1507.63/100*15*0.855*0.6*0.334*0.08</f>
        <v>3.09984407352</v>
      </c>
      <c r="H22" s="23">
        <f>1507.63/100*15*0.855*0.6*0.334*0.8</f>
        <v>30.9984407352</v>
      </c>
      <c r="I22" s="47"/>
      <c r="J22" s="23"/>
      <c r="K22" s="23">
        <f>1507.63/100*15*0.855*0.6*0.388*0.8</f>
        <v>36.0101646864</v>
      </c>
      <c r="L22" s="23">
        <f>1507.63/100*15*0.855*0.6*0.388*0.08</f>
        <v>3.60101646864</v>
      </c>
      <c r="M22" s="23">
        <f>1507.63/100*15*0.855*0.6*0.388*0.08</f>
        <v>3.60101646864</v>
      </c>
      <c r="N22" s="47"/>
      <c r="O22" s="23">
        <f>1507.63/100*15*0.855*0.6*0.13*0.82</f>
        <v>12.3668928981</v>
      </c>
      <c r="P22" s="23">
        <f>1507.63/100*15*0.855*0.6*0.13*0.08</f>
        <v>1.2065261364</v>
      </c>
      <c r="Q22" s="23">
        <f>1507.63/100*15*0.855*0.6*0.13*0.08</f>
        <v>1.2065261364</v>
      </c>
      <c r="R22" s="23">
        <f>1507.63/100*15*0.855*0.6*0.147*0.82*0.2</f>
        <v>2.796820393878</v>
      </c>
      <c r="S22" s="23">
        <f>1507.63/100*15*0.855*0.6*0.147*0.08</f>
        <v>1.36430263116</v>
      </c>
      <c r="T22" s="23">
        <f>1507.63/100*15*0.855*0.6*0.147*0.08</f>
        <v>1.36430263116</v>
      </c>
      <c r="U22" s="23">
        <f>1507.63/100*15*0.855*0.6*0.147*0.82*0.8</f>
        <v>11.187281575512</v>
      </c>
      <c r="V22" s="60"/>
      <c r="W22" s="32"/>
    </row>
    <row r="23" ht="25" customHeight="1" spans="1:23">
      <c r="A23" s="18"/>
      <c r="B23" s="16"/>
      <c r="C23" s="15"/>
      <c r="D23" s="26" t="s">
        <v>50</v>
      </c>
      <c r="E23" s="27">
        <v>190.97</v>
      </c>
      <c r="F23" s="23">
        <f>190.97/100*15*0.855*0.6*0.334*0.82</f>
        <v>4.02470535402</v>
      </c>
      <c r="G23" s="23">
        <f>190.97/100*15*0.855*0.6*0.334*0.08</f>
        <v>0.39265418088</v>
      </c>
      <c r="H23" s="23">
        <f>190.97/100*15*0.855*0.6*0.334*0.08</f>
        <v>0.39265418088</v>
      </c>
      <c r="I23" s="23"/>
      <c r="J23" s="23"/>
      <c r="K23" s="23">
        <f>190.97/100*15*0.855*0.6*0.388*0.8</f>
        <v>4.5613719216</v>
      </c>
      <c r="L23" s="23">
        <f>190.97/100*15*0.855*0.6*0.388*0.08</f>
        <v>0.45613719216</v>
      </c>
      <c r="M23" s="23">
        <f>190.97/100*15*0.855*0.6*0.388*0.08</f>
        <v>0.45613719216</v>
      </c>
      <c r="N23" s="23"/>
      <c r="O23" s="23">
        <f>190.97/100*15*0.855*0.6*0.13*0.08</f>
        <v>0.1528294716</v>
      </c>
      <c r="P23" s="23">
        <f>190.97/100*15*0.855*0.6*0.13*0.82</f>
        <v>1.5665020839</v>
      </c>
      <c r="Q23" s="23">
        <f>190.97/100*15*0.855*0.6*0.13*0.08</f>
        <v>0.1528294716</v>
      </c>
      <c r="R23" s="23">
        <f>190.97/100*15*0.855*0.6*0.147*0.82*0.2</f>
        <v>0.354270471282</v>
      </c>
      <c r="S23" s="23">
        <f>190.97/100*15*0.855*0.6*0.147*0.08</f>
        <v>0.17281486404</v>
      </c>
      <c r="T23" s="23">
        <f>190.97/100*15*0.855*0.6*0.147*0.08</f>
        <v>0.17281486404</v>
      </c>
      <c r="U23" s="23">
        <f>190.97/100*15*0.855*0.6*0.147*0.82*0.8</f>
        <v>1.417081885128</v>
      </c>
      <c r="V23" s="58"/>
      <c r="W23" s="54"/>
    </row>
    <row r="24" ht="25" customHeight="1" spans="1:23">
      <c r="A24" s="18"/>
      <c r="B24" s="16"/>
      <c r="C24" s="15"/>
      <c r="D24" s="26" t="s">
        <v>51</v>
      </c>
      <c r="E24" s="27">
        <v>45.6</v>
      </c>
      <c r="F24" s="35">
        <f>45.6/100*15*0.855*0.6*0.334*0.1*0.2*1.3</f>
        <v>0.03047146128</v>
      </c>
      <c r="G24" s="35">
        <f>45.6/100*15*0.855*0.6*0.334*0.8*0.2*1.3</f>
        <v>0.24377169024</v>
      </c>
      <c r="H24" s="35">
        <f>45.6/100*15*0.855*0.6*0.334*0.08*0.2*1.3</f>
        <v>0.024377169024</v>
      </c>
      <c r="I24" s="35"/>
      <c r="J24" s="35"/>
      <c r="K24" s="35">
        <f>45.6/100*15*0.855*0.6*0.388*0.8*0.4*1.3</f>
        <v>0.56636775936</v>
      </c>
      <c r="L24" s="35">
        <f>45.6/100*15*0.855*0.6*0.388*0.08*0.4*1.3</f>
        <v>0.056636775936</v>
      </c>
      <c r="M24" s="35">
        <f>45.6/100*15*0.855*0.6*0.388*0.08*0.4*1.3</f>
        <v>0.056636775936</v>
      </c>
      <c r="N24" s="35"/>
      <c r="O24" s="35">
        <f>45.6/100*15*0.855*0.6*0.13*0.08*0.5*1.3</f>
        <v>0.0237202992</v>
      </c>
      <c r="P24" s="35">
        <f>45.6/100*15*0.855*0.6*0.13*0.08*0.5*1.3</f>
        <v>0.0237202992</v>
      </c>
      <c r="Q24" s="35">
        <f>45.6/100*15*0.855*0.6*0.13*0.82*0.5*1.3</f>
        <v>0.2431330668</v>
      </c>
      <c r="R24" s="35">
        <f>45.6/100*15*0.855*0.6*0.147*0.82*0.5*1.3*0.2</f>
        <v>0.054985478184</v>
      </c>
      <c r="S24" s="35">
        <f t="shared" ref="R24:T24" si="4">45.6/100*15*0.855*0.6*0.147*0.08*0.5*1.3</f>
        <v>0.02682218448</v>
      </c>
      <c r="T24" s="35">
        <f t="shared" si="4"/>
        <v>0.02682218448</v>
      </c>
      <c r="U24" s="35">
        <f>45.6/100*15*0.855*0.6*0.147*0.82*0.5*1.3*0.8</f>
        <v>0.219941912736</v>
      </c>
      <c r="V24" s="58"/>
      <c r="W24" s="54"/>
    </row>
    <row r="25" ht="25" customHeight="1" spans="1:23">
      <c r="A25" s="18"/>
      <c r="B25" s="16"/>
      <c r="C25" s="15"/>
      <c r="D25" s="30" t="s">
        <v>55</v>
      </c>
      <c r="E25" s="27">
        <v>520.83</v>
      </c>
      <c r="F25" s="35">
        <f>520.83/100*15*0.855*0.6*0.334*0.1</f>
        <v>1.3386008079</v>
      </c>
      <c r="G25" s="35">
        <f>520.83/100*15*0.855*0.6*0.334*0.8</f>
        <v>10.7088064632</v>
      </c>
      <c r="H25" s="35">
        <f>520.83/100*15*0.855*0.6*0.334*0.08</f>
        <v>1.07088064632</v>
      </c>
      <c r="I25" s="23"/>
      <c r="J25" s="35"/>
      <c r="K25" s="35">
        <f>520.83/100*15*0.855*0.6*0.388*0.8</f>
        <v>12.4401703824</v>
      </c>
      <c r="L25" s="35">
        <f>520.83/100*15*0.855*0.6*0.388*0.08</f>
        <v>1.24401703824</v>
      </c>
      <c r="M25" s="35">
        <f>520.83/100*15*0.855*0.6*0.388*0.08</f>
        <v>1.24401703824</v>
      </c>
      <c r="N25" s="23"/>
      <c r="O25" s="35">
        <f>520.83/100*15*0.855*0.6*0.13*0.08</f>
        <v>0.4168098324</v>
      </c>
      <c r="P25" s="35">
        <f>520.83/100*15*0.855*0.6*0.13*0.82</f>
        <v>4.2723007821</v>
      </c>
      <c r="Q25" s="35">
        <f>520.83/100*15*0.855*0.6*0.13*0.08</f>
        <v>0.4168098324</v>
      </c>
      <c r="R25" s="35">
        <f>520.83/100*15*0.855*0.6*0.147*0.82*0.2</f>
        <v>0.966197253798</v>
      </c>
      <c r="S25" s="35">
        <f t="shared" ref="R25:T25" si="5">520.83/100*15*0.855*0.6*0.147*0.08</f>
        <v>0.47131573356</v>
      </c>
      <c r="T25" s="35">
        <f t="shared" si="5"/>
        <v>0.47131573356</v>
      </c>
      <c r="U25" s="35">
        <f>520.83/100*15*0.855*0.6*0.147*0.82*0.8</f>
        <v>3.864789015192</v>
      </c>
      <c r="V25" s="58"/>
      <c r="W25" s="50"/>
    </row>
    <row r="26" s="1" customFormat="1" ht="25" customHeight="1" spans="1:23">
      <c r="A26" s="36"/>
      <c r="B26" s="29"/>
      <c r="C26" s="37"/>
      <c r="D26" s="30" t="s">
        <v>56</v>
      </c>
      <c r="E26" s="27">
        <v>723.26</v>
      </c>
      <c r="F26" s="35">
        <f>723.26/100*15*0.855*0.6*0.334*0.1</f>
        <v>1.8588722238</v>
      </c>
      <c r="G26" s="35">
        <f>723.26/100*15*0.855*0.6*0.334*0.08</f>
        <v>1.48709777904</v>
      </c>
      <c r="H26" s="35">
        <f>723.26/100*15*0.855*0.6*0.334*0.8</f>
        <v>14.8709777904</v>
      </c>
      <c r="I26" s="23"/>
      <c r="J26" s="35"/>
      <c r="K26" s="35">
        <f>723.26/100*15*0.855*0.6*0.388*0.8</f>
        <v>17.2752676128</v>
      </c>
      <c r="L26" s="35">
        <f>723.26/100*15*0.855*0.6*0.388*0.08</f>
        <v>1.72752676128</v>
      </c>
      <c r="M26" s="35">
        <f>723.26/100*15*0.855*0.6*0.388*0.08</f>
        <v>1.72752676128</v>
      </c>
      <c r="N26" s="23"/>
      <c r="O26" s="35">
        <f>723.26/100*15*0.855*0.6*0.13*0.08</f>
        <v>0.5788105128</v>
      </c>
      <c r="P26" s="35">
        <f>723.26/100*15*0.855*0.6*0.13*0.82</f>
        <v>5.9328077562</v>
      </c>
      <c r="Q26" s="35">
        <f>723.26/100*15*0.855*0.6*0.13*0.08</f>
        <v>0.5788105128</v>
      </c>
      <c r="R26" s="35">
        <f>723.26/100*15*0.855*0.6*0.147*0.82*0.2</f>
        <v>1.341727292556</v>
      </c>
      <c r="S26" s="35">
        <f t="shared" ref="R26:T26" si="6">723.26/100*15*0.855*0.6*0.147*0.08</f>
        <v>0.65450111832</v>
      </c>
      <c r="T26" s="35">
        <f t="shared" si="6"/>
        <v>0.65450111832</v>
      </c>
      <c r="U26" s="35">
        <f>723.26/100*15*0.855*0.6*0.147*0.82*0.8</f>
        <v>5.366909170224</v>
      </c>
      <c r="V26" s="61"/>
      <c r="W26" s="57"/>
    </row>
    <row r="27" s="1" customFormat="1" ht="25" customHeight="1" spans="1:23">
      <c r="A27" s="36"/>
      <c r="B27" s="29"/>
      <c r="C27" s="37"/>
      <c r="D27" s="30" t="s">
        <v>57</v>
      </c>
      <c r="E27" s="27">
        <v>134.2</v>
      </c>
      <c r="F27" s="35">
        <f>134.2/100*15*0.855*0.6*0.334*0.1*0.2</f>
        <v>0.0689822892</v>
      </c>
      <c r="G27" s="35">
        <f>134.2/100*15*0.855*0.6*0.334*0.8*0.2</f>
        <v>0.5518583136</v>
      </c>
      <c r="H27" s="35">
        <f>134.2/100*15*0.855*0.6*0.334*0.08*0.2</f>
        <v>0.05518583136</v>
      </c>
      <c r="I27" s="35"/>
      <c r="J27" s="35"/>
      <c r="K27" s="35">
        <f>134.2/100*15*0.855*0.6*0.388*0.8*0.4</f>
        <v>1.2821618304</v>
      </c>
      <c r="L27" s="35">
        <f>134.2/100*15*0.855*0.6*0.388*0.08*0.4</f>
        <v>0.12821618304</v>
      </c>
      <c r="M27" s="35">
        <f>134.2/100*15*0.855*0.6*0.388*0.08*0.4</f>
        <v>0.12821618304</v>
      </c>
      <c r="N27" s="35"/>
      <c r="O27" s="35">
        <f>134.2/100*15*0.855*0.6*0.13*0.08*0.2</f>
        <v>0.0214795152</v>
      </c>
      <c r="P27" s="35">
        <f>134.2/100*15*0.855*0.6*0.13*0.08*0.2</f>
        <v>0.0214795152</v>
      </c>
      <c r="Q27" s="35">
        <f>134.2/100*15*0.855*0.6*0.13*0.82*0.2</f>
        <v>0.2201650308</v>
      </c>
      <c r="R27" s="35">
        <f>134.2/100*15*0.855*0.6*0.147*0.82*0.2*0.2</f>
        <v>0.049791168504</v>
      </c>
      <c r="S27" s="35">
        <f>134.2/100*15*0.855*0.6*0.147*0.08*0.2</f>
        <v>0.02428837488</v>
      </c>
      <c r="T27" s="35">
        <f>134.2/100*15*0.855*0.6*0.147*0.08*0.2</f>
        <v>0.02428837488</v>
      </c>
      <c r="U27" s="35">
        <f>134.2/100*15*0.855*0.6*0.147*0.82*0.2*0.8</f>
        <v>0.199164674016</v>
      </c>
      <c r="V27" s="61"/>
      <c r="W27" s="57"/>
    </row>
    <row r="28" s="1" customFormat="1" ht="25" customHeight="1" spans="1:23">
      <c r="A28" s="36"/>
      <c r="B28" s="29"/>
      <c r="C28" s="37"/>
      <c r="D28" s="26" t="s">
        <v>52</v>
      </c>
      <c r="E28" s="27">
        <v>33.28</v>
      </c>
      <c r="F28" s="35">
        <f>33.28/100*15*0.855*0.6*0.334*0.1*0.2</f>
        <v>0.01710678528</v>
      </c>
      <c r="G28" s="35">
        <f>33.28/100*15*0.855*0.6*0.334*0.8*0.2</f>
        <v>0.13685428224</v>
      </c>
      <c r="H28" s="35">
        <f>33.28/100*15*0.855*0.6*0.334*0.08*0.2</f>
        <v>0.013685428224</v>
      </c>
      <c r="I28" s="35"/>
      <c r="J28" s="35"/>
      <c r="K28" s="35">
        <f>33.28/100*15*0.855*0.6*0.388*0.8*0.4</f>
        <v>0.31796084736</v>
      </c>
      <c r="L28" s="35">
        <f>33.28/100*15*0.855*0.6*0.388*0.08*0.4</f>
        <v>0.031796084736</v>
      </c>
      <c r="M28" s="35">
        <f>33.28/100*15*0.855*0.6*0.388*0.08*0.4</f>
        <v>0.031796084736</v>
      </c>
      <c r="N28" s="35"/>
      <c r="O28" s="35">
        <f>33.28/100*15*0.855*0.6*0.13*0.08*0.2</f>
        <v>0.00532666368</v>
      </c>
      <c r="P28" s="35">
        <f>33.28/100*15*0.855*0.6*0.13*0.08*0.2</f>
        <v>0.00532666368</v>
      </c>
      <c r="Q28" s="35">
        <f>33.28/100*15*0.855*0.6*0.13*0.82*0.2</f>
        <v>0.05459830272</v>
      </c>
      <c r="R28" s="35">
        <f>33.28/100*15*0.855*0.6*0.147*0.82*0.2*0.2</f>
        <v>0.0123476161536</v>
      </c>
      <c r="S28" s="35">
        <f t="shared" ref="R28:T28" si="7">33.28/100*15*0.855*0.6*0.147*0.08*0.2</f>
        <v>0.006023227392</v>
      </c>
      <c r="T28" s="35">
        <f t="shared" si="7"/>
        <v>0.006023227392</v>
      </c>
      <c r="U28" s="35">
        <f>33.28/100*15*0.855*0.6*0.147*0.82*0.2*0.8</f>
        <v>0.0493904646144</v>
      </c>
      <c r="V28" s="61"/>
      <c r="W28" s="57"/>
    </row>
    <row r="29" s="1" customFormat="1" ht="29" customHeight="1" spans="1:23">
      <c r="A29" s="28"/>
      <c r="B29" s="29"/>
      <c r="C29" s="38"/>
      <c r="D29" s="30" t="s">
        <v>53</v>
      </c>
      <c r="E29" s="24">
        <v>771.9</v>
      </c>
      <c r="F29" s="35">
        <f>771.9/100*15*0.855*0.6*0.334*0.82*1.2</f>
        <v>19.52141213448</v>
      </c>
      <c r="G29" s="35">
        <f>771.9/100*15*0.855*0.6*0.334*0.08</f>
        <v>1.5871066776</v>
      </c>
      <c r="H29" s="35">
        <f>771.9/100*15*0.855*0.6*0.334*0.08</f>
        <v>1.5871066776</v>
      </c>
      <c r="I29" s="23"/>
      <c r="J29" s="35"/>
      <c r="K29" s="35">
        <f>E29/100*15*0.855*0.6*0.388*0.8*1.2*0.6</f>
        <v>13.27467429504</v>
      </c>
      <c r="L29" s="35">
        <f>771.9/100*15*0.855*0.6*0.388*0.08</f>
        <v>1.8437047632</v>
      </c>
      <c r="M29" s="35">
        <f>771.9/100*15*0.855*0.6*0.388*0.08</f>
        <v>1.8437047632</v>
      </c>
      <c r="N29" s="35">
        <f>E29/100*15*0.855*0.6*0.388*0.8*1.2*0.6</f>
        <v>13.27467429504</v>
      </c>
      <c r="O29" s="35">
        <f>771.9/100*15*0.855*0.6*0.13*0.82*1.2</f>
        <v>7.5981544236</v>
      </c>
      <c r="P29" s="35">
        <f>771.9/100*15*0.855*0.6*0.13*0.08</f>
        <v>0.617736132</v>
      </c>
      <c r="Q29" s="35">
        <f>771.9/100*15*0.855*0.6*0.13*0.08</f>
        <v>0.617736132</v>
      </c>
      <c r="R29" s="35">
        <f>771.9/100*15*0.855*0.6*0.147*0.82*0.2*1.2</f>
        <v>1.718351846568</v>
      </c>
      <c r="S29" s="35">
        <f t="shared" ref="R29:T29" si="8">771.9/100*15*0.855*0.6*0.147*0.08</f>
        <v>0.6985170108</v>
      </c>
      <c r="T29" s="35">
        <f t="shared" si="8"/>
        <v>0.6985170108</v>
      </c>
      <c r="U29" s="35">
        <f>771.9/100*15*0.855*0.6*0.147*0.82*0.8*1.2</f>
        <v>6.873407386272</v>
      </c>
      <c r="V29" s="61"/>
      <c r="W29" s="57" t="s">
        <v>58</v>
      </c>
    </row>
    <row r="30" ht="25" customHeight="1" spans="1:23">
      <c r="A30" s="14">
        <v>4</v>
      </c>
      <c r="B30" s="16"/>
      <c r="C30" s="15" t="s">
        <v>59</v>
      </c>
      <c r="D30" s="26" t="s">
        <v>47</v>
      </c>
      <c r="E30" s="27">
        <v>2804.28</v>
      </c>
      <c r="F30" s="23">
        <f>2804.28/100*15*0.145*(0.7*0.43+0.15*0.8)*0.82</f>
        <v>21.0560345298</v>
      </c>
      <c r="G30" s="23">
        <f>1578.38/100*15*0.145*(0.7*0.43+0.15*0.8)*0.08</f>
        <v>1.1562264852</v>
      </c>
      <c r="H30" s="23">
        <f>1578.38/100*15*0.145*(0.7*0.43+0.15*0.8)*0.08</f>
        <v>1.1562264852</v>
      </c>
      <c r="I30" s="23"/>
      <c r="J30" s="23"/>
      <c r="K30" s="23"/>
      <c r="L30" s="23"/>
      <c r="M30" s="23">
        <f>2804.28/100*15*0.145*0.7*0.04*0.82</f>
        <v>1.4004013464</v>
      </c>
      <c r="N30" s="23"/>
      <c r="O30" s="23">
        <f t="shared" ref="O30:R30" si="9">2804.28/100*15*0.145*0.7*0.36*0.08</f>
        <v>1.2296206944</v>
      </c>
      <c r="P30" s="23">
        <f>2804.28/100*15*0.145*(0.7*0.36+0.15*0.075)*0.82</f>
        <v>13.16627337285</v>
      </c>
      <c r="Q30" s="23">
        <f t="shared" si="9"/>
        <v>1.2296206944</v>
      </c>
      <c r="R30" s="23">
        <f>2804.28/100*15*0.145*(0.7*0.17+0.15*0.075)*0.82*0.2</f>
        <v>1.30287339549</v>
      </c>
      <c r="S30" s="23">
        <f t="shared" ref="R30:T30" si="10">2804.28/100*15*0.145*0.7*0.17*0.08</f>
        <v>0.5806542168</v>
      </c>
      <c r="T30" s="23">
        <f t="shared" si="10"/>
        <v>0.5806542168</v>
      </c>
      <c r="U30" s="23">
        <f>2804.28/100*15*0.145*(0.7*0.17+0.15*0.075)*0.82*0.8</f>
        <v>5.21149358196</v>
      </c>
      <c r="V30" s="58"/>
      <c r="W30" s="50"/>
    </row>
    <row r="31" ht="25" customHeight="1" spans="1:23">
      <c r="A31" s="18"/>
      <c r="B31" s="16"/>
      <c r="C31" s="15"/>
      <c r="D31" s="26" t="s">
        <v>34</v>
      </c>
      <c r="E31" s="27">
        <v>1365.3</v>
      </c>
      <c r="F31" s="23">
        <f>1365.3/100*15*0.855*0.6*0.334*0.82*0.4</f>
        <v>11.50951504392</v>
      </c>
      <c r="G31" s="23">
        <f>1365.3/100*15*0.855*0.6*0.334*0.08*0.4</f>
        <v>1.12287951648</v>
      </c>
      <c r="H31" s="23">
        <f>1365.3/100*15*0.855*0.6*0.334*0.08*0.4</f>
        <v>1.12287951648</v>
      </c>
      <c r="I31" s="23"/>
      <c r="J31" s="23"/>
      <c r="K31" s="23">
        <f>1365.3/100*15*0.855*0.6*0.388*0.08*0.4</f>
        <v>1.30442291136</v>
      </c>
      <c r="L31" s="23">
        <f>1365.3/100*15*0.855*0.6*0.388*0.08*0.4</f>
        <v>1.30442291136</v>
      </c>
      <c r="M31" s="23">
        <f>1365.3/100*15*0.855*0.6*0.388*0.8*0.4</f>
        <v>13.0442291136</v>
      </c>
      <c r="N31" s="23"/>
      <c r="O31" s="23">
        <f>1365.3/100*15*0.855*0.6*0.13*0.08*0.4</f>
        <v>0.4370489136</v>
      </c>
      <c r="P31" s="23">
        <f>1365.3/100*15*0.855*0.6*0.13*0.08*0.4</f>
        <v>0.4370489136</v>
      </c>
      <c r="Q31" s="23">
        <f>1365.3/100*15*0.855*0.6*0.13*0.82*0.4</f>
        <v>4.4797513644</v>
      </c>
      <c r="R31" s="23">
        <f>1365.3/100*15*0.855*0.6*0.147*0.82*0.2</f>
        <v>2.53278250218</v>
      </c>
      <c r="S31" s="23">
        <f t="shared" ref="R31:T31" si="11">1365.3/100*15*0.855*0.6*0.147*0.08*0.4</f>
        <v>0.49420146384</v>
      </c>
      <c r="T31" s="23">
        <f t="shared" si="11"/>
        <v>0.49420146384</v>
      </c>
      <c r="U31" s="23">
        <f>1365.3/100*15*0.855*0.6*0.147*0.82*0.2</f>
        <v>2.53278250218</v>
      </c>
      <c r="V31" s="58"/>
      <c r="W31" s="50" t="s">
        <v>60</v>
      </c>
    </row>
    <row r="32" ht="25" customHeight="1" spans="1:23">
      <c r="A32" s="18"/>
      <c r="B32" s="16"/>
      <c r="C32" s="15"/>
      <c r="D32" s="26" t="s">
        <v>50</v>
      </c>
      <c r="E32" s="27">
        <v>134.2</v>
      </c>
      <c r="F32" s="23">
        <f>134.2/100*15*0.855*0.6*0.334*0.1*0.2</f>
        <v>0.0689822892</v>
      </c>
      <c r="G32" s="23">
        <f>134.2/100*15*0.855*0.6*0.334*0.8*0.2</f>
        <v>0.5518583136</v>
      </c>
      <c r="H32" s="23">
        <f>134.2/100*15*0.855*0.6*0.334*0.08*0.2</f>
        <v>0.05518583136</v>
      </c>
      <c r="I32" s="23"/>
      <c r="J32" s="23"/>
      <c r="K32" s="23">
        <f>134.2/100*15*0.855*0.6*0.388*0.8*0.4</f>
        <v>1.2821618304</v>
      </c>
      <c r="L32" s="23">
        <f>134.2/100*15*0.855*0.6*0.388*0.08*0.4</f>
        <v>0.12821618304</v>
      </c>
      <c r="M32" s="23">
        <f>134.2/100*15*0.855*0.6*0.388*0.08*0.4</f>
        <v>0.12821618304</v>
      </c>
      <c r="N32" s="23"/>
      <c r="O32" s="23">
        <f>134.2/100*15*0.855*0.6*0.13*0.08*0.2</f>
        <v>0.0214795152</v>
      </c>
      <c r="P32" s="23">
        <f>134.2/100*15*0.855*0.6*0.13*0.08*0.2</f>
        <v>0.0214795152</v>
      </c>
      <c r="Q32" s="23">
        <f>134.2/100*15*0.855*0.6*0.13*0.82*0.2</f>
        <v>0.2201650308</v>
      </c>
      <c r="R32" s="35">
        <f>134.2/100*15*0.855*0.6*0.147*0.82*0.2*0.2</f>
        <v>0.049791168504</v>
      </c>
      <c r="S32" s="35">
        <f>134.2/100*15*0.855*0.6*0.147*0.08*0.2</f>
        <v>0.02428837488</v>
      </c>
      <c r="T32" s="35">
        <f>134.2/100*15*0.855*0.6*0.147*0.08*0.2</f>
        <v>0.02428837488</v>
      </c>
      <c r="U32" s="35">
        <f>134.2/100*15*0.855*0.6*0.147*0.82*0.2*0.8</f>
        <v>0.199164674016</v>
      </c>
      <c r="V32" s="58"/>
      <c r="W32" s="54"/>
    </row>
    <row r="33" ht="25" customHeight="1" spans="1:23">
      <c r="A33" s="18"/>
      <c r="B33" s="16"/>
      <c r="C33" s="15"/>
      <c r="D33" s="26" t="s">
        <v>51</v>
      </c>
      <c r="E33" s="27">
        <v>45.6</v>
      </c>
      <c r="F33" s="23">
        <f>45.6/100*15*0.855*0.6*0.334*0.1*0.2*1.3</f>
        <v>0.03047146128</v>
      </c>
      <c r="G33" s="23">
        <f>45.6/100*15*0.855*0.6*0.334*0.8*0.2*1.3</f>
        <v>0.24377169024</v>
      </c>
      <c r="H33" s="23">
        <f>45.6/100*15*0.855*0.6*0.334*0.08*0.2*1.3</f>
        <v>0.024377169024</v>
      </c>
      <c r="I33" s="23"/>
      <c r="J33" s="23"/>
      <c r="K33" s="23">
        <f>45.6/100*15*0.855*0.6*0.388*0.8*0.4*1.3</f>
        <v>0.56636775936</v>
      </c>
      <c r="L33" s="23">
        <f>45.6/100*15*0.855*0.6*0.388*0.08*0.4*1.3</f>
        <v>0.056636775936</v>
      </c>
      <c r="M33" s="23">
        <f>45.6/100*15*0.855*0.6*0.388*0.08*0.4*1.3</f>
        <v>0.056636775936</v>
      </c>
      <c r="N33" s="23"/>
      <c r="O33" s="23">
        <f>45.6/100*15*0.855*0.6*0.13*0.08*0.5*1.3</f>
        <v>0.0237202992</v>
      </c>
      <c r="P33" s="23">
        <f>45.6/100*15*0.855*0.6*0.13*0.08*0.5*1.3</f>
        <v>0.0237202992</v>
      </c>
      <c r="Q33" s="23">
        <f>45.6/100*15*0.855*0.6*0.13*0.82*0.5*1.3</f>
        <v>0.2431330668</v>
      </c>
      <c r="R33" s="23">
        <f>45.6/100*15*0.855*0.6*0.147*0.82*0.5*1.3*0.2</f>
        <v>0.054985478184</v>
      </c>
      <c r="S33" s="23">
        <f>45.6/100*15*0.855*0.6*0.147*0.08*0.5*1.3</f>
        <v>0.02682218448</v>
      </c>
      <c r="T33" s="23">
        <f>45.6/100*15*0.855*0.6*0.147*0.08*0.5*1.3</f>
        <v>0.02682218448</v>
      </c>
      <c r="U33" s="23">
        <f>45.6/100*15*0.855*0.6*0.147*0.82*0.5*1.3*0.8</f>
        <v>0.219941912736</v>
      </c>
      <c r="V33" s="58"/>
      <c r="W33" s="54"/>
    </row>
    <row r="34" ht="25" customHeight="1" spans="1:23">
      <c r="A34" s="18"/>
      <c r="B34" s="16"/>
      <c r="C34" s="15"/>
      <c r="D34" s="26" t="s">
        <v>61</v>
      </c>
      <c r="E34" s="27">
        <f>33.28*2</f>
        <v>66.56</v>
      </c>
      <c r="F34" s="23">
        <f>66.56/100*15*0.855*0.6*0.334*0.1*0.2</f>
        <v>0.03421357056</v>
      </c>
      <c r="G34" s="23">
        <f>66.56/100*15*0.855*0.6*0.334*0.8*0.2</f>
        <v>0.27370856448</v>
      </c>
      <c r="H34" s="23">
        <f>66.56/100*15*0.855*0.6*0.334*0.08*0.2</f>
        <v>0.027370856448</v>
      </c>
      <c r="I34" s="23"/>
      <c r="J34" s="23"/>
      <c r="K34" s="23">
        <f>66.56/100*15*0.855*0.6*0.388*0.8*0.4</f>
        <v>0.63592169472</v>
      </c>
      <c r="L34" s="23">
        <f>66.56/100*15*0.855*0.6*0.388*0.08*0.4</f>
        <v>0.063592169472</v>
      </c>
      <c r="M34" s="23">
        <f>66.56/100*15*0.855*0.6*0.388*0.08*0.4</f>
        <v>0.063592169472</v>
      </c>
      <c r="N34" s="23"/>
      <c r="O34" s="23">
        <f>66.56/100*15*0.855*0.6*0.13*0.08*0.2</f>
        <v>0.01065332736</v>
      </c>
      <c r="P34" s="23">
        <f>66.56/100*15*0.855*0.6*0.13*0.08*0.2</f>
        <v>0.01065332736</v>
      </c>
      <c r="Q34" s="23">
        <f>66.56/100*15*0.855*0.6*0.13*0.8*0.2</f>
        <v>0.1065332736</v>
      </c>
      <c r="R34" s="35">
        <f>E34/100*15*0.855*0.6*0.147*0.82*0.2*0.2</f>
        <v>0.0246952323072</v>
      </c>
      <c r="S34" s="35">
        <f>E34/100*15*0.855*0.6*0.147*0.08*0.2</f>
        <v>0.012046454784</v>
      </c>
      <c r="T34" s="35">
        <f>E34/100*15*0.855*0.6*0.147*0.08*0.2</f>
        <v>0.012046454784</v>
      </c>
      <c r="U34" s="35">
        <f>E34/100*15*0.855*0.6*0.147*0.82*0.2*0.8</f>
        <v>0.0987809292288</v>
      </c>
      <c r="V34" s="58"/>
      <c r="W34" s="54"/>
    </row>
    <row r="35" s="1" customFormat="1" ht="25" customHeight="1" spans="1:23">
      <c r="A35" s="36"/>
      <c r="B35" s="29"/>
      <c r="C35" s="37"/>
      <c r="D35" s="26" t="s">
        <v>62</v>
      </c>
      <c r="E35" s="27">
        <v>1192.62</v>
      </c>
      <c r="F35" s="23">
        <f>1192.62/100*15*0.855*0.6*0.334*0.82</f>
        <v>25.13454521292</v>
      </c>
      <c r="G35" s="23">
        <f>1192.62/100*15*0.855*0.6*0.334*0.08</f>
        <v>2.45215075248</v>
      </c>
      <c r="H35" s="23">
        <f>1192.62/100*15*0.855*0.6*0.334*0.08</f>
        <v>2.45215075248</v>
      </c>
      <c r="I35" s="23"/>
      <c r="J35" s="23"/>
      <c r="K35" s="23">
        <f>1192.62/100*15*0.855*0.6*0.388*0.8</f>
        <v>28.4860626336</v>
      </c>
      <c r="L35" s="23">
        <f>1192.62/100*15*0.855*0.6*0.388*0.08</f>
        <v>2.84860626336</v>
      </c>
      <c r="M35" s="23">
        <f>1192.62/100*15*0.855*0.6*0.388*0.08</f>
        <v>2.84860626336</v>
      </c>
      <c r="N35" s="23"/>
      <c r="O35" s="23">
        <f>1192.62/100*15*0.855*0.6*0.13*0.82</f>
        <v>9.7829068194</v>
      </c>
      <c r="P35" s="23">
        <f>1192.62/100*15*0.855*0.6*0.13*0.08</f>
        <v>0.9544299336</v>
      </c>
      <c r="Q35" s="23">
        <f>1192.62/100*15*0.855*0.6*0.13*0.08</f>
        <v>0.9544299336</v>
      </c>
      <c r="R35" s="23">
        <f>1192.62/100*15*0.855*0.6*0.147*0.82*0.2</f>
        <v>2.212442003772</v>
      </c>
      <c r="S35" s="23">
        <f t="shared" ref="R35:T35" si="12">1192.62/100*15*0.855*0.6*0.147*0.08</f>
        <v>1.07924000184</v>
      </c>
      <c r="T35" s="23">
        <f t="shared" si="12"/>
        <v>1.07924000184</v>
      </c>
      <c r="U35" s="23">
        <f>1192.62/100*15*0.855*0.6*0.147*0.82*0.8</f>
        <v>8.849768015088</v>
      </c>
      <c r="V35" s="61"/>
      <c r="W35" s="57"/>
    </row>
    <row r="36" s="1" customFormat="1" ht="25" customHeight="1" spans="1:23">
      <c r="A36" s="28"/>
      <c r="B36" s="29"/>
      <c r="C36" s="38"/>
      <c r="D36" s="39" t="s">
        <v>53</v>
      </c>
      <c r="E36" s="27">
        <v>935.5</v>
      </c>
      <c r="F36" s="23">
        <f>935.5/100*15*0.855*0.6*0.334*0.82</f>
        <v>19.715724243</v>
      </c>
      <c r="G36" s="23">
        <f>935.5/100*15*0.855*0.6*0.334*0.08</f>
        <v>1.923485292</v>
      </c>
      <c r="H36" s="23">
        <f>935.5/100*15*0.855*0.6*0.334*0.08</f>
        <v>1.923485292</v>
      </c>
      <c r="I36" s="23"/>
      <c r="J36" s="23"/>
      <c r="K36" s="23">
        <f>935.5/100*15*0.855*0.6*0.388*0.8</f>
        <v>22.34467944</v>
      </c>
      <c r="L36" s="23">
        <f>935.5/100*15*0.855*0.6*0.388*0.08</f>
        <v>2.234467944</v>
      </c>
      <c r="M36" s="23">
        <f>935.5/100*15*0.855*0.6*0.388*0.08</f>
        <v>2.234467944</v>
      </c>
      <c r="N36" s="23"/>
      <c r="O36" s="23">
        <f>935.5/100*15*0.855*0.6*0.13*0.08</f>
        <v>0.74866194</v>
      </c>
      <c r="P36" s="23">
        <f>935.5/100*15*0.855*0.6*0.13*0.82</f>
        <v>7.673784885</v>
      </c>
      <c r="Q36" s="23">
        <f>935.5/100*15*0.855*0.6*0.13*0.08</f>
        <v>0.74866194</v>
      </c>
      <c r="R36" s="23">
        <f>935.5/100*15*0.855*0.6*0.147*0.82*0.2</f>
        <v>1.7354559663</v>
      </c>
      <c r="S36" s="23">
        <f t="shared" ref="R36:T36" si="13">935.5/100*15*0.855*0.6*0.147*0.08</f>
        <v>0.846563886</v>
      </c>
      <c r="T36" s="23">
        <f t="shared" si="13"/>
        <v>0.846563886</v>
      </c>
      <c r="U36" s="23">
        <f>935.5/100*15*0.855*0.6*0.147*0.82*0.8</f>
        <v>6.9418238652</v>
      </c>
      <c r="V36" s="61"/>
      <c r="W36" s="57"/>
    </row>
    <row r="37" ht="25" customHeight="1" spans="1:23">
      <c r="A37" s="14">
        <v>5</v>
      </c>
      <c r="B37" s="16"/>
      <c r="C37" s="15" t="s">
        <v>63</v>
      </c>
      <c r="D37" s="26" t="s">
        <v>47</v>
      </c>
      <c r="E37" s="27">
        <v>2771</v>
      </c>
      <c r="F37" s="23">
        <f>2771/100*15*0.145*(0.7*0.43+0.15*0.8)*0.82</f>
        <v>20.806150485</v>
      </c>
      <c r="G37" s="23">
        <f>2771/100*15*0.145*0.7*0.43*0.08</f>
        <v>1.45128354</v>
      </c>
      <c r="H37" s="23">
        <f>2771/100*15*0.145*0.7*0.43*0.08</f>
        <v>1.45128354</v>
      </c>
      <c r="I37" s="23"/>
      <c r="J37" s="23"/>
      <c r="K37" s="23"/>
      <c r="L37" s="23"/>
      <c r="M37" s="23">
        <f>2771/100*15*0.145*0.7*0.04*0.82</f>
        <v>1.38378198</v>
      </c>
      <c r="N37" s="23"/>
      <c r="O37" s="23">
        <f>2771/100*15*0.145*0.7*0.36*0.08</f>
        <v>1.21502808</v>
      </c>
      <c r="P37" s="23">
        <f>2771/100*15*0.145*0.7*0.36*0.08</f>
        <v>1.21502808</v>
      </c>
      <c r="Q37" s="23">
        <f>2771/100*15*0.145*(0.7*0.36+0.15*0.075)*0.82</f>
        <v>13.01002165125</v>
      </c>
      <c r="R37" s="23">
        <f>2771/100*15*0.145*(0.7*0.17+0.15*0.075)*0.82*0.2</f>
        <v>1.28741144925</v>
      </c>
      <c r="S37" s="23">
        <f>2771/100*15*0.145*0.7*0.17*0.08</f>
        <v>0.57376326</v>
      </c>
      <c r="T37" s="23">
        <f>2771/100*15*0.145*0.7*0.17*0.08</f>
        <v>0.57376326</v>
      </c>
      <c r="U37" s="23">
        <f>2771/100*15*0.145*(0.7*0.17+0.15*0.075)*0.82*0.8</f>
        <v>5.149645797</v>
      </c>
      <c r="V37" s="58"/>
      <c r="W37" s="54"/>
    </row>
    <row r="38" ht="25" customHeight="1" spans="1:23">
      <c r="A38" s="18"/>
      <c r="B38" s="16"/>
      <c r="C38" s="15"/>
      <c r="D38" s="26" t="s">
        <v>34</v>
      </c>
      <c r="E38" s="27">
        <v>1365.3</v>
      </c>
      <c r="F38" s="35">
        <f>1365.3/100*15*0.855*0.6*0.334*0.82*0.4</f>
        <v>11.50951504392</v>
      </c>
      <c r="G38" s="35">
        <f>1365.3/100*15*0.855*0.6*0.334*0.08*0.4</f>
        <v>1.12287951648</v>
      </c>
      <c r="H38" s="35">
        <f>1365.3/100*15*0.855*0.6*0.334*0.08*0.4</f>
        <v>1.12287951648</v>
      </c>
      <c r="I38" s="35"/>
      <c r="J38" s="35"/>
      <c r="K38" s="35">
        <f>1365.3/100*15*0.855*0.6*0.388*0.08*0.4</f>
        <v>1.30442291136</v>
      </c>
      <c r="L38" s="35">
        <f>1365.3/100*15*0.855*0.6*0.388*0.08*0.4</f>
        <v>1.30442291136</v>
      </c>
      <c r="M38" s="35">
        <f>1365.3/100*15*0.855*0.6*0.388*0.8*0.4</f>
        <v>13.0442291136</v>
      </c>
      <c r="N38" s="35"/>
      <c r="O38" s="35">
        <f>1365.3/100*15*0.855*0.6*0.13*0.08*0.4</f>
        <v>0.4370489136</v>
      </c>
      <c r="P38" s="35">
        <f>1365.3/100*15*0.855*0.6*0.13*0.08*0.4</f>
        <v>0.4370489136</v>
      </c>
      <c r="Q38" s="35">
        <f>1365.3/100*15*0.855*0.6*0.13*0.82*0.4</f>
        <v>4.4797513644</v>
      </c>
      <c r="R38" s="35">
        <f>1365.3/100*15*0.855*0.6*0.147*0.82*0.2</f>
        <v>2.53278250218</v>
      </c>
      <c r="S38" s="35">
        <f t="shared" ref="R38:T38" si="14">1365.3/100*15*0.855*0.6*0.147*0.08*0.4</f>
        <v>0.49420146384</v>
      </c>
      <c r="T38" s="35">
        <f t="shared" si="14"/>
        <v>0.49420146384</v>
      </c>
      <c r="U38" s="35">
        <f>1365.3/100*15*0.855*0.6*0.147*0.82*0.2</f>
        <v>2.53278250218</v>
      </c>
      <c r="V38" s="58"/>
      <c r="W38" s="50" t="s">
        <v>64</v>
      </c>
    </row>
    <row r="39" ht="25" customHeight="1" spans="1:23">
      <c r="A39" s="18"/>
      <c r="B39" s="16"/>
      <c r="C39" s="15"/>
      <c r="D39" s="26" t="s">
        <v>50</v>
      </c>
      <c r="E39" s="27">
        <v>134.2</v>
      </c>
      <c r="F39" s="35">
        <f>134.2/100*15*0.855*0.6*0.334*0.1*0.2</f>
        <v>0.0689822892</v>
      </c>
      <c r="G39" s="35">
        <f>134.2/100*15*0.855*0.6*0.334*0.8*0.2</f>
        <v>0.5518583136</v>
      </c>
      <c r="H39" s="35">
        <f>134.2/100*15*0.855*0.6*0.334*0.08*0.2</f>
        <v>0.05518583136</v>
      </c>
      <c r="I39" s="35"/>
      <c r="J39" s="35"/>
      <c r="K39" s="35">
        <f>134.2/100*15*0.855*0.6*0.388*0.8*0.4</f>
        <v>1.2821618304</v>
      </c>
      <c r="L39" s="35">
        <f>134.2/100*15*0.855*0.6*0.388*0.08*0.4</f>
        <v>0.12821618304</v>
      </c>
      <c r="M39" s="35">
        <f>134.2/100*15*0.855*0.6*0.388*0.08*0.4</f>
        <v>0.12821618304</v>
      </c>
      <c r="N39" s="35"/>
      <c r="O39" s="35">
        <f>134.2/100*15*0.855*0.6*0.13*0.08*0.2</f>
        <v>0.0214795152</v>
      </c>
      <c r="P39" s="35">
        <f>134.2/100*15*0.855*0.6*0.13*0.08*0.2</f>
        <v>0.0214795152</v>
      </c>
      <c r="Q39" s="35">
        <f>134.2/100*15*0.855*0.6*0.13*0.82*0.2</f>
        <v>0.2201650308</v>
      </c>
      <c r="R39" s="35">
        <f>134.2/100*15*0.855*0.6*0.147*0.82*0.2*0.2</f>
        <v>0.049791168504</v>
      </c>
      <c r="S39" s="35">
        <f>134.2/100*15*0.855*0.6*0.147*0.08*0.2</f>
        <v>0.02428837488</v>
      </c>
      <c r="T39" s="35">
        <f>134.2/100*15*0.855*0.6*0.147*0.08*0.2</f>
        <v>0.02428837488</v>
      </c>
      <c r="U39" s="35">
        <f>134.2/100*15*0.855*0.6*0.147*0.82*0.2*0.8</f>
        <v>0.199164674016</v>
      </c>
      <c r="V39" s="58"/>
      <c r="W39" s="54"/>
    </row>
    <row r="40" ht="25" customHeight="1" spans="1:23">
      <c r="A40" s="18"/>
      <c r="B40" s="16"/>
      <c r="C40" s="15"/>
      <c r="D40" s="26" t="s">
        <v>51</v>
      </c>
      <c r="E40" s="27">
        <v>45.6</v>
      </c>
      <c r="F40" s="35">
        <f>45.6/100*15*0.855*0.6*0.334*0.1*0.2*1.3</f>
        <v>0.03047146128</v>
      </c>
      <c r="G40" s="35">
        <f>45.6/100*15*0.855*0.6*0.334*0.8*0.2*1.3</f>
        <v>0.24377169024</v>
      </c>
      <c r="H40" s="35">
        <f>45.6/100*15*0.855*0.6*0.334*0.08*0.2*1.3</f>
        <v>0.024377169024</v>
      </c>
      <c r="I40" s="35"/>
      <c r="J40" s="35"/>
      <c r="K40" s="35">
        <f>45.6/100*15*0.855*0.6*0.388*0.8*0.4*1.3</f>
        <v>0.56636775936</v>
      </c>
      <c r="L40" s="35">
        <f>45.6/100*15*0.855*0.6*0.388*0.08*0.4*1.3</f>
        <v>0.056636775936</v>
      </c>
      <c r="M40" s="35">
        <f>45.6/100*15*0.855*0.6*0.388*0.08*0.4*1.3</f>
        <v>0.056636775936</v>
      </c>
      <c r="N40" s="35"/>
      <c r="O40" s="35">
        <f>45.6/100*15*0.855*0.6*0.13*0.08*0.5*1.3</f>
        <v>0.0237202992</v>
      </c>
      <c r="P40" s="35">
        <f>45.6/100*15*0.855*0.6*0.13*0.08*0.5*1.3</f>
        <v>0.0237202992</v>
      </c>
      <c r="Q40" s="35">
        <f>45.6/100*15*0.855*0.6*0.13*0.82*0.5*1.3</f>
        <v>0.2431330668</v>
      </c>
      <c r="R40" s="23">
        <f>45.6/100*15*0.855*0.6*0.147*0.82*0.5*1.3*0.2</f>
        <v>0.054985478184</v>
      </c>
      <c r="S40" s="23">
        <f>45.6/100*15*0.855*0.6*0.147*0.08*0.5*1.3</f>
        <v>0.02682218448</v>
      </c>
      <c r="T40" s="23">
        <f>45.6/100*15*0.855*0.6*0.147*0.08*0.5*1.3</f>
        <v>0.02682218448</v>
      </c>
      <c r="U40" s="23">
        <f>45.6/100*15*0.855*0.6*0.147*0.82*0.5*1.3*0.8</f>
        <v>0.219941912736</v>
      </c>
      <c r="V40" s="58"/>
      <c r="W40" s="54"/>
    </row>
    <row r="41" ht="25" customHeight="1" spans="1:23">
      <c r="A41" s="18"/>
      <c r="B41" s="16"/>
      <c r="C41" s="15"/>
      <c r="D41" s="26" t="s">
        <v>52</v>
      </c>
      <c r="E41" s="27">
        <f>33.28</f>
        <v>33.28</v>
      </c>
      <c r="F41" s="35">
        <f>33.28/100*15*0.855*0.6*0.334*0.1*0.2</f>
        <v>0.01710678528</v>
      </c>
      <c r="G41" s="35">
        <f>33.28/100*15*0.855*0.6*0.334*0.8*0.2</f>
        <v>0.13685428224</v>
      </c>
      <c r="H41" s="35">
        <f>33.28/100*15*0.855*0.6*0.334*0.08*0.2</f>
        <v>0.013685428224</v>
      </c>
      <c r="I41" s="35"/>
      <c r="J41" s="35"/>
      <c r="K41" s="35">
        <f>33.28/100*15*0.855*0.6*0.388*0.8*0.4</f>
        <v>0.31796084736</v>
      </c>
      <c r="L41" s="35">
        <f>33.28/100*15*0.855*0.6*0.388*0.08*0.4</f>
        <v>0.031796084736</v>
      </c>
      <c r="M41" s="35">
        <f>33.28/100*15*0.855*0.6*0.388*0.08*0.4</f>
        <v>0.031796084736</v>
      </c>
      <c r="N41" s="35"/>
      <c r="O41" s="35">
        <f>33.28/100*15*0.855*0.6*0.13*0.08*0.2</f>
        <v>0.00532666368</v>
      </c>
      <c r="P41" s="35">
        <f>33.28/100*15*0.855*0.6*0.13*0.08*0.2</f>
        <v>0.00532666368</v>
      </c>
      <c r="Q41" s="35">
        <f>33.28/100*15*0.855*0.6*0.13*0.82*0.2</f>
        <v>0.05459830272</v>
      </c>
      <c r="R41" s="35">
        <f>33.28/100*15*0.855*0.6*0.147*0.82*0.2*0.2</f>
        <v>0.0123476161536</v>
      </c>
      <c r="S41" s="35">
        <f>33.28/100*15*0.855*0.6*0.147*0.08*0.2</f>
        <v>0.006023227392</v>
      </c>
      <c r="T41" s="35">
        <f>33.28/100*15*0.855*0.6*0.147*0.08*0.2</f>
        <v>0.006023227392</v>
      </c>
      <c r="U41" s="35">
        <f>33.28/100*15*0.855*0.6*0.147*0.82*0.2*0.8</f>
        <v>0.0493904646144</v>
      </c>
      <c r="V41" s="58"/>
      <c r="W41" s="54"/>
    </row>
    <row r="42" s="1" customFormat="1" ht="25" customHeight="1" spans="1:23">
      <c r="A42" s="36"/>
      <c r="B42" s="29"/>
      <c r="C42" s="37"/>
      <c r="D42" s="26" t="s">
        <v>62</v>
      </c>
      <c r="E42" s="27">
        <v>1192.62</v>
      </c>
      <c r="F42" s="35">
        <f>1192.62/100*15*0.855*0.6*0.334*0.82*0.2</f>
        <v>5.026909042584</v>
      </c>
      <c r="G42" s="35">
        <f>1192.62/100*15*0.855*0.6*0.334*0.08*0.2</f>
        <v>0.490430150496</v>
      </c>
      <c r="H42" s="35">
        <f>1192.62/100*15*0.855*0.6*0.334*0.08*0.2</f>
        <v>0.490430150496</v>
      </c>
      <c r="I42" s="23"/>
      <c r="J42" s="35"/>
      <c r="K42" s="35">
        <f>1192.62/100*15*0.855*0.6*0.388*0.8*0.4</f>
        <v>11.39442505344</v>
      </c>
      <c r="L42" s="35">
        <f>1192.62/100*15*0.855*0.6*0.388*0.08*0.4</f>
        <v>1.139442505344</v>
      </c>
      <c r="M42" s="35">
        <f>1192.62/100*15*0.855*0.6*0.388*0.08*0.4</f>
        <v>1.139442505344</v>
      </c>
      <c r="N42" s="35"/>
      <c r="O42" s="35">
        <f>1192.62/100*15*0.855*0.6*0.13*0.82*0.2</f>
        <v>1.95658136388</v>
      </c>
      <c r="P42" s="35">
        <f>1192.62/100*15*0.855*0.6*0.13*0.08*0.2</f>
        <v>0.19088598672</v>
      </c>
      <c r="Q42" s="35">
        <f>1192.62/100*15*0.855*0.6*0.13*0.08*0.2</f>
        <v>0.19088598672</v>
      </c>
      <c r="R42" s="35">
        <f>1192.62/100*15*0.855*0.6*0.147*0.82*0.2*0.2</f>
        <v>0.4424884007544</v>
      </c>
      <c r="S42" s="35">
        <f t="shared" ref="R42:T42" si="15">1192.62/100*15*0.855*0.6*0.147*0.08*0.2</f>
        <v>0.215848000368</v>
      </c>
      <c r="T42" s="35">
        <f t="shared" si="15"/>
        <v>0.215848000368</v>
      </c>
      <c r="U42" s="35">
        <f>1192.62/100*15*0.855*0.6*0.147*0.82*0.2*0.8</f>
        <v>1.7699536030176</v>
      </c>
      <c r="V42" s="61"/>
      <c r="W42" s="57"/>
    </row>
    <row r="43" s="1" customFormat="1" ht="25" customHeight="1" spans="1:23">
      <c r="A43" s="28"/>
      <c r="B43" s="29"/>
      <c r="C43" s="38"/>
      <c r="D43" s="30" t="s">
        <v>53</v>
      </c>
      <c r="E43" s="27">
        <v>1136.64</v>
      </c>
      <c r="F43" s="35">
        <f>1136.64/100*15*0.855*0.6*0.334*0.1</f>
        <v>2.9213125632</v>
      </c>
      <c r="G43" s="35">
        <f>1136.64/100*15*0.855*0.6*0.334*0.08</f>
        <v>2.33705005056</v>
      </c>
      <c r="H43" s="35">
        <f>1136.64/100*15*0.855*0.6*0.334*0.8</f>
        <v>23.3705005056</v>
      </c>
      <c r="I43" s="23"/>
      <c r="J43" s="35"/>
      <c r="K43" s="35">
        <f>1136.64/100*15*0.855*0.6*0.388*0.8</f>
        <v>27.1489646592</v>
      </c>
      <c r="L43" s="35">
        <f>1136.64/100*15*0.855*0.6*0.388*0.08</f>
        <v>2.71489646592</v>
      </c>
      <c r="M43" s="35">
        <f>1136.64/100*15*0.855*0.6*0.388*0.08</f>
        <v>2.71489646592</v>
      </c>
      <c r="N43" s="23"/>
      <c r="O43" s="35">
        <f>1136.64/100*15*0.855*0.6*0.13*0.08</f>
        <v>0.9096302592</v>
      </c>
      <c r="P43" s="35">
        <f>1136.64/100*15*0.855*0.6*0.13*0.08</f>
        <v>0.9096302592</v>
      </c>
      <c r="Q43" s="35">
        <f>1136.64/100*15*0.855*0.6*0.13*0.82</f>
        <v>9.3237101568</v>
      </c>
      <c r="R43" s="35">
        <f>1136.64/100*15*0.855*0.6*0.147*0.82*0.2</f>
        <v>2.108592912384</v>
      </c>
      <c r="S43" s="35">
        <f t="shared" ref="R43:T43" si="16">1136.64/100*15*0.855*0.6*0.147*0.08</f>
        <v>1.02858190848</v>
      </c>
      <c r="T43" s="35">
        <f t="shared" si="16"/>
        <v>1.02858190848</v>
      </c>
      <c r="U43" s="35">
        <f>1136.64/100*15*0.855*0.6*0.147*0.82*0.8</f>
        <v>8.434371649536</v>
      </c>
      <c r="V43" s="61"/>
      <c r="W43" s="57"/>
    </row>
    <row r="44" ht="25" customHeight="1" spans="1:23">
      <c r="A44" s="14">
        <v>6</v>
      </c>
      <c r="B44" s="16"/>
      <c r="C44" s="16" t="s">
        <v>31</v>
      </c>
      <c r="D44" s="26" t="s">
        <v>47</v>
      </c>
      <c r="E44" s="27">
        <v>3312.64</v>
      </c>
      <c r="F44" s="23">
        <f>3312.64/100*15*0.145*(0.7*0.43+0.15*0.8)*0.82</f>
        <v>24.8730733824</v>
      </c>
      <c r="G44" s="23">
        <f>3312.64/100*15*0.145*0.7*0.43*0.08</f>
        <v>1.7349620736</v>
      </c>
      <c r="H44" s="23">
        <f>3312.64/100*15*0.145*0.7*0.43*0.08</f>
        <v>1.7349620736</v>
      </c>
      <c r="I44" s="23"/>
      <c r="J44" s="23"/>
      <c r="K44" s="23"/>
      <c r="L44" s="23"/>
      <c r="M44" s="35">
        <f>3312.64/100*15*0.145*0.7*0.04*0.82</f>
        <v>1.6542661632</v>
      </c>
      <c r="N44" s="35"/>
      <c r="O44" s="35">
        <f>3312.64/100*15*0.145*0.7*0.36*0.08</f>
        <v>1.4525263872</v>
      </c>
      <c r="P44" s="35">
        <f>3312.64/100*15*0.145*0.7*0.36*0.08</f>
        <v>1.4525263872</v>
      </c>
      <c r="Q44" s="23">
        <f>3312.64/100*15*0.145*(0.7*0.36+0.15*0.075)*0.82</f>
        <v>15.5530559808</v>
      </c>
      <c r="R44" s="23">
        <f>3312.64/100*15*0.145*(0.7*0.17+0.15*0.075)*0.82*0.2</f>
        <v>1.53905834112</v>
      </c>
      <c r="S44" s="23">
        <f t="shared" ref="R44:T44" si="17">3312.64/100*15*0.145*0.7*0.17*0.08</f>
        <v>0.6859152384</v>
      </c>
      <c r="T44" s="23">
        <f t="shared" si="17"/>
        <v>0.6859152384</v>
      </c>
      <c r="U44" s="23">
        <f>3312.64/100*15*0.145*(0.7*0.17+0.15*0.075)*0.82*0.8</f>
        <v>6.15623336448</v>
      </c>
      <c r="V44" s="58"/>
      <c r="W44" s="54"/>
    </row>
    <row r="45" ht="25" customHeight="1" spans="1:23">
      <c r="A45" s="18"/>
      <c r="B45" s="16"/>
      <c r="C45" s="16"/>
      <c r="D45" s="26" t="s">
        <v>32</v>
      </c>
      <c r="E45" s="27">
        <v>3312.64</v>
      </c>
      <c r="F45" s="35">
        <f>3312.64/100*15*0.855*0.6*0.334*0.82</f>
        <v>69.81410663424</v>
      </c>
      <c r="G45" s="35">
        <f>3312.64/100*15*0.855*0.6*0.334*0.08</f>
        <v>6.81113235456</v>
      </c>
      <c r="H45" s="35">
        <f>3312.64/100*15*0.855*0.6*0.334*0.08</f>
        <v>6.81113235456</v>
      </c>
      <c r="I45" s="23"/>
      <c r="J45" s="35"/>
      <c r="K45" s="35">
        <f>3312.64/100*15*0.855*0.6*0.388*0.08</f>
        <v>7.91233339392</v>
      </c>
      <c r="L45" s="35">
        <f>3312.64/100*15*0.855*0.6*0.388*0.08</f>
        <v>7.91233339392</v>
      </c>
      <c r="M45" s="35">
        <f>3312.64/100*15*0.855*0.6*0.388*0.8</f>
        <v>79.1233339392</v>
      </c>
      <c r="N45" s="23"/>
      <c r="O45" s="35">
        <f>3312.64/100*15*0.855*0.6*0.13*0.08</f>
        <v>2.6510395392</v>
      </c>
      <c r="P45" s="35">
        <f>3312.64/100*15*0.855*0.6*0.13*0.08</f>
        <v>2.6510395392</v>
      </c>
      <c r="Q45" s="35">
        <f>3312.64/100*15*0.855*0.6*0.13*0.82</f>
        <v>27.1731552768</v>
      </c>
      <c r="R45" s="35">
        <f>3312.64/100*15*0.855*0.6*0.147*0.82*0.2</f>
        <v>6.145313577984</v>
      </c>
      <c r="S45" s="35">
        <f t="shared" ref="R45:T45" si="18">3312.64/100*15*0.855*0.6*0.147*0.08</f>
        <v>2.99771394048</v>
      </c>
      <c r="T45" s="35">
        <f t="shared" si="18"/>
        <v>2.99771394048</v>
      </c>
      <c r="U45" s="35">
        <f>3312.64/100*15*0.855*0.6*0.147*0.82*0.8</f>
        <v>24.581254311936</v>
      </c>
      <c r="V45" s="58"/>
      <c r="W45" s="50"/>
    </row>
    <row r="46" ht="25" customHeight="1" spans="1:23">
      <c r="A46" s="14">
        <v>7</v>
      </c>
      <c r="B46" s="16"/>
      <c r="C46" s="16" t="s">
        <v>28</v>
      </c>
      <c r="D46" s="26" t="s">
        <v>47</v>
      </c>
      <c r="E46" s="27">
        <v>3985.64</v>
      </c>
      <c r="F46" s="23">
        <f>3985.64/100*15*0.145*0.7*0.43*0.1</f>
        <v>2.609298867</v>
      </c>
      <c r="G46" s="23">
        <f>3985.64/100*15*0.145*0.7*0.43*0.8</f>
        <v>20.874390936</v>
      </c>
      <c r="H46" s="23">
        <f>3985.64/100*15*0.145*0.7*0.43*0.08</f>
        <v>2.0874390936</v>
      </c>
      <c r="I46" s="23"/>
      <c r="J46" s="35"/>
      <c r="K46" s="35">
        <f>3985.64/100*15*0.145*0.7*0.04*0.82</f>
        <v>1.9903489032</v>
      </c>
      <c r="L46" s="23"/>
      <c r="M46" s="23"/>
      <c r="N46" s="23"/>
      <c r="O46" s="35">
        <f>3985.64/100*15*0.145*0.7*0.36*0.08</f>
        <v>1.7476234272</v>
      </c>
      <c r="P46" s="23">
        <f>3985.64/100*15*0.145*(0.7*0.36+0.15*0.075)*0.82</f>
        <v>18.71283388455</v>
      </c>
      <c r="Q46" s="23">
        <f>3985.64/100*15*0.145*0.7*0.36*0.08</f>
        <v>1.7476234272</v>
      </c>
      <c r="R46" s="23">
        <f>3985.64/100*15*0.145*(0.7*0.17+0.15*0.075)*0.82*0.2</f>
        <v>1.85173531887</v>
      </c>
      <c r="S46" s="23">
        <f t="shared" ref="R46:T46" si="19">3985.64/100*15*0.145*0.7*0.17*0.08</f>
        <v>0.8252666184</v>
      </c>
      <c r="T46" s="23">
        <f t="shared" si="19"/>
        <v>0.8252666184</v>
      </c>
      <c r="U46" s="23">
        <f>3985.64/100*15*0.145*(0.7*0.17+0.15*0.075)*0.82*0.8</f>
        <v>7.40694127548</v>
      </c>
      <c r="V46" s="58"/>
      <c r="W46" s="54"/>
    </row>
    <row r="47" ht="32" customHeight="1" spans="1:23">
      <c r="A47" s="18"/>
      <c r="B47" s="16"/>
      <c r="C47" s="16"/>
      <c r="D47" s="40" t="s">
        <v>34</v>
      </c>
      <c r="E47" s="24">
        <v>3293.93</v>
      </c>
      <c r="F47" s="35">
        <f>3293.93/100*15*0.855*0.6*0.334*0.8*1.2*0.85</f>
        <v>69.081159016944</v>
      </c>
      <c r="G47" s="35">
        <f>3293.93/100*15*0.855*0.6*0.334*0.08</f>
        <v>6.77266264872</v>
      </c>
      <c r="H47" s="35">
        <f>3293.93/100*15*0.855*0.6*0.334*0.08</f>
        <v>6.77266264872</v>
      </c>
      <c r="I47" s="35">
        <f>3293.93/100*15*0.855*0.6*0.334*0.8*1.2*0.15</f>
        <v>12.190792767696</v>
      </c>
      <c r="J47" s="35"/>
      <c r="K47" s="35">
        <f>3293.93/100*15*0.855*0.6*0.388*0.8*1.2</f>
        <v>94.41172842048</v>
      </c>
      <c r="L47" s="35">
        <f>3293.93/100*15*0.855*0.6*0.388*0.08</f>
        <v>7.86764403504</v>
      </c>
      <c r="M47" s="35">
        <f>3293.93/100*15*0.855*0.6*0.388*0.08</f>
        <v>7.86764403504</v>
      </c>
      <c r="N47" s="23"/>
      <c r="O47" s="35">
        <f>3293.93/100*15*0.855*0.6*0.13*0.08</f>
        <v>2.6360663004</v>
      </c>
      <c r="P47" s="35">
        <f>3293.93/100*15*0.855*0.6*0.13*0.08</f>
        <v>2.6360663004</v>
      </c>
      <c r="Q47" s="35">
        <f>3293.93/100*15*0.855*0.6*0.13*0.82*1.2</f>
        <v>32.42361549492</v>
      </c>
      <c r="R47" s="46">
        <f>3293.93/100*15*0.855*0.6*0.147*0.82*0.5*1.2</f>
        <v>18.331813375974</v>
      </c>
      <c r="S47" s="35">
        <f>3293.93/100*15*0.855*0.6*0.147*0.08</f>
        <v>2.98078266276</v>
      </c>
      <c r="T47" s="35">
        <f>3293.93/100*15*0.855*0.6*0.147*0.08</f>
        <v>2.98078266276</v>
      </c>
      <c r="U47" s="46">
        <f>3293.93/100*15*0.855*0.6*0.147*0.82*0.5*1.2</f>
        <v>18.331813375974</v>
      </c>
      <c r="V47" s="58"/>
      <c r="W47" s="54" t="s">
        <v>65</v>
      </c>
    </row>
    <row r="48" ht="27" customHeight="1" spans="1:23">
      <c r="A48" s="18"/>
      <c r="B48" s="16"/>
      <c r="C48" s="16"/>
      <c r="D48" s="40" t="s">
        <v>54</v>
      </c>
      <c r="E48" s="24">
        <v>2427.78</v>
      </c>
      <c r="F48" s="35">
        <f>2427.78/100*15*0.855*0.6*0.334*0.08</f>
        <v>4.99176816912</v>
      </c>
      <c r="G48" s="35">
        <f>2427.78/100*15*0.855*0.6*0.334*0.8*1.2*0.85</f>
        <v>50.916035325024</v>
      </c>
      <c r="H48" s="35">
        <f>2427.78/100*15*0.855*0.6*0.334*0.08</f>
        <v>4.99176816912</v>
      </c>
      <c r="I48" s="35">
        <f>2427.78/100*15*0.855*0.6*0.334*0.8*1.2*0.15</f>
        <v>8.985182704416</v>
      </c>
      <c r="J48" s="35"/>
      <c r="K48" s="35">
        <f>2427.78/100*15*0.855*0.6*0.388*0.8*1.2</f>
        <v>69.58584609408</v>
      </c>
      <c r="L48" s="35">
        <f>2427.78/100*15*0.855*0.6*0.388*0.08</f>
        <v>5.79882050784</v>
      </c>
      <c r="M48" s="35">
        <f>2427.78/100*15*0.855*0.6*0.388*0.08</f>
        <v>5.79882050784</v>
      </c>
      <c r="N48" s="23"/>
      <c r="O48" s="35">
        <f>2427.78/100*15*0.855*0.6*0.13*0.08</f>
        <v>1.9429037784</v>
      </c>
      <c r="P48" s="35">
        <f>2427.78/100*15*0.855*0.6*0.13*0.08</f>
        <v>1.9429037784</v>
      </c>
      <c r="Q48" s="35">
        <f>2427.78/100*15*0.855*0.6*0.13*0.82</f>
        <v>19.9147637286</v>
      </c>
      <c r="R48" s="35">
        <f>2427.78/100*15*0.855*0.6*0.147*0.82*0.8*1.2*0.85</f>
        <v>18.3755056828694</v>
      </c>
      <c r="S48" s="35">
        <f t="shared" ref="R48:T48" si="20">2427.78/100*15*0.855*0.6*0.147*0.08</f>
        <v>2.19697581096</v>
      </c>
      <c r="T48" s="35">
        <f t="shared" si="20"/>
        <v>2.19697581096</v>
      </c>
      <c r="U48" s="35">
        <f>2427.78/100*15*0.855*0.6*0.147*0.82*1.2*0.15</f>
        <v>4.0534203712212</v>
      </c>
      <c r="V48" s="58"/>
      <c r="W48" s="54" t="s">
        <v>66</v>
      </c>
    </row>
    <row r="49" ht="25" customHeight="1" spans="1:23">
      <c r="A49" s="18"/>
      <c r="B49" s="16"/>
      <c r="C49" s="16"/>
      <c r="D49" s="40" t="s">
        <v>67</v>
      </c>
      <c r="E49" s="27">
        <v>204</v>
      </c>
      <c r="F49" s="35">
        <f>204/100*15*0.855*0.6*0.334*0.82</f>
        <v>4.299313464</v>
      </c>
      <c r="G49" s="35">
        <f>204/100*15*0.855*0.6*0.334*0.08</f>
        <v>0.419445216</v>
      </c>
      <c r="H49" s="35">
        <f>204/100*15*0.855*0.6*0.334*0.08</f>
        <v>0.419445216</v>
      </c>
      <c r="I49" s="23"/>
      <c r="J49" s="35"/>
      <c r="K49" s="35">
        <f>204/100*15*0.855*0.6*0.388*0.8</f>
        <v>4.87259712</v>
      </c>
      <c r="L49" s="35">
        <f>204/100*15*0.855*0.6*0.388*0.08</f>
        <v>0.487259712</v>
      </c>
      <c r="M49" s="35">
        <f>204/100*15*0.855*0.6*0.388*0.08</f>
        <v>0.487259712</v>
      </c>
      <c r="N49" s="23"/>
      <c r="O49" s="35">
        <f>204/100*15*0.855*0.6*0.13*0.08</f>
        <v>0.16325712</v>
      </c>
      <c r="P49" s="35">
        <f>204/100*15*0.855*0.6*0.13*0.08</f>
        <v>0.16325712</v>
      </c>
      <c r="Q49" s="35">
        <f>204/100*15*0.855*0.6*0.13*0.82</f>
        <v>1.67338548</v>
      </c>
      <c r="R49" s="35">
        <f>204/100*15*0.855*0.6*0.147*0.82*0.2</f>
        <v>0.3784425624</v>
      </c>
      <c r="S49" s="35">
        <f>204/100*15*0.855*0.6*0.147*0.08</f>
        <v>0.184606128</v>
      </c>
      <c r="T49" s="35">
        <f>204/100*15*0.855*0.6*0.147*0.08</f>
        <v>0.184606128</v>
      </c>
      <c r="U49" s="35">
        <f>204/100*15*0.855*0.6*0.147*0.82*0.8</f>
        <v>1.5137702496</v>
      </c>
      <c r="V49" s="58"/>
      <c r="W49" s="54"/>
    </row>
    <row r="50" ht="25" customHeight="1" spans="1:23">
      <c r="A50" s="18"/>
      <c r="B50" s="16"/>
      <c r="C50" s="16"/>
      <c r="D50" s="40" t="s">
        <v>51</v>
      </c>
      <c r="E50" s="27">
        <v>232.32</v>
      </c>
      <c r="F50" s="35">
        <f>232.32/100*15*0.855*0.6*0.334*0.82*1.3</f>
        <v>6.365007133056</v>
      </c>
      <c r="G50" s="35">
        <f>232.32/100*15*0.855*0.6*0.334*0.08*1.3</f>
        <v>0.620976305664</v>
      </c>
      <c r="H50" s="35">
        <f>232.32/100*15*0.855*0.6*0.334*0.08*1.3</f>
        <v>0.620976305664</v>
      </c>
      <c r="I50" s="23"/>
      <c r="J50" s="35"/>
      <c r="K50" s="35">
        <f>232.32/100*15*0.855*0.6*0.388*0.8*1.3</f>
        <v>7.21373672448</v>
      </c>
      <c r="L50" s="35">
        <f>232.32/100*15*0.855*0.6*0.388*0.08*1.3</f>
        <v>0.721373672448</v>
      </c>
      <c r="M50" s="35">
        <f>232.32/100*15*0.855*0.6*0.388*0.08*1.3</f>
        <v>0.721373672448</v>
      </c>
      <c r="N50" s="23"/>
      <c r="O50" s="35">
        <f>232.32/100*15*0.855*0.6*0.13*0.08*1.3</f>
        <v>0.24169736448</v>
      </c>
      <c r="P50" s="35">
        <f>232.32/100*15*0.855*0.6*0.13*0.08*1.3</f>
        <v>0.24169736448</v>
      </c>
      <c r="Q50" s="35">
        <f>232.32/100*15*0.855*0.6*0.13*0.82*1.3</f>
        <v>2.47739798592</v>
      </c>
      <c r="R50" s="35">
        <f>232.32/100*15*0.855*0.6*0.147*0.82*1.3*0.2</f>
        <v>0.5602730829696</v>
      </c>
      <c r="S50" s="35">
        <f t="shared" ref="S50:U50" si="21">232.32/100*15*0.855*0.6*0.147*0.08*1.3</f>
        <v>0.273303942912</v>
      </c>
      <c r="T50" s="35">
        <f t="shared" si="21"/>
        <v>0.273303942912</v>
      </c>
      <c r="U50" s="35">
        <f>232.32/100*15*0.855*0.6*0.147*0.82*1.3*0.8</f>
        <v>2.2410923318784</v>
      </c>
      <c r="V50" s="58"/>
      <c r="W50" s="54"/>
    </row>
    <row r="51" ht="25" customHeight="1" spans="1:23">
      <c r="A51" s="14">
        <v>8</v>
      </c>
      <c r="B51" s="16"/>
      <c r="C51" s="16" t="s">
        <v>68</v>
      </c>
      <c r="D51" s="26" t="s">
        <v>47</v>
      </c>
      <c r="E51" s="27">
        <v>6655.04</v>
      </c>
      <c r="F51" s="23">
        <f>6655.04/100*15*0.145*0.7*0.45*0.1*0.3</f>
        <v>1.367860284</v>
      </c>
      <c r="G51" s="23">
        <f>6655.04/100*15*0.145*0.7*0.45*0.08*0.3</f>
        <v>1.0942882272</v>
      </c>
      <c r="H51" s="23"/>
      <c r="I51" s="23">
        <f>6655.04/100*15*0.145*0.7*0.43*0.8*0.3</f>
        <v>10.4565319488</v>
      </c>
      <c r="J51" s="23"/>
      <c r="K51" s="23">
        <f>118.8/100*15*0.145*0.7*0.04*0.82</f>
        <v>0.059326344</v>
      </c>
      <c r="L51" s="23"/>
      <c r="M51" s="23"/>
      <c r="N51" s="23"/>
      <c r="O51" s="23">
        <f>6655.04/100*15*0.145*0.7*0.36*0.08*0.6</f>
        <v>1.75086116352</v>
      </c>
      <c r="P51" s="23">
        <f>6655.04/100*15*0.145*0.7*0.36*0.82*0.6</f>
        <v>17.94632692608</v>
      </c>
      <c r="Q51" s="23">
        <f>6655.04/100*15*0.145*0.7*0.36*0.08*0.6</f>
        <v>1.75086116352</v>
      </c>
      <c r="R51" s="23">
        <f>6655.04/100*15*0.145*0.7*0.17*0.82*0.6</f>
        <v>8.47465438176</v>
      </c>
      <c r="S51" s="23">
        <f>6655.04/100*15*0.145*0.7*0.17*0.08*0.6</f>
        <v>0.82679554944</v>
      </c>
      <c r="T51" s="23">
        <f>6655.04/100*15*0.145*0.7*0.17*0.08*0.6</f>
        <v>0.82679554944</v>
      </c>
      <c r="U51" s="35"/>
      <c r="V51" s="58"/>
      <c r="W51" s="54"/>
    </row>
    <row r="52" ht="25" customHeight="1" spans="1:23">
      <c r="A52" s="18"/>
      <c r="B52" s="16"/>
      <c r="C52" s="16"/>
      <c r="D52" s="26" t="s">
        <v>69</v>
      </c>
      <c r="E52" s="27">
        <v>3165.48</v>
      </c>
      <c r="F52" s="35">
        <f>3165.48/100*15*0.855*0.6*0.334*0.1*0.3</f>
        <v>2.44070853372</v>
      </c>
      <c r="G52" s="35">
        <f>3165.48/100*15*0.855*0.6*0.334*0.08*0.3</f>
        <v>1.952566826976</v>
      </c>
      <c r="H52" s="35"/>
      <c r="I52" s="35">
        <f>3165.48/100*15*0.855*0.6*0.334*0.8*0.3</f>
        <v>19.52566826976</v>
      </c>
      <c r="J52" s="23"/>
      <c r="K52" s="23"/>
      <c r="L52" s="47"/>
      <c r="M52" s="47"/>
      <c r="N52" s="47" t="s">
        <v>35</v>
      </c>
      <c r="O52" s="35">
        <f t="shared" ref="O52:T52" si="22">3165.48/100*15*0.855*0.6*0.13*0.08*0.3</f>
        <v>0.75998110032</v>
      </c>
      <c r="P52" s="35">
        <f t="shared" si="22"/>
        <v>0.75998110032</v>
      </c>
      <c r="Q52" s="35">
        <f t="shared" ref="Q52:S52" si="23">3165.48/100*15*0.855*0.6*0.13*0.82*0.3</f>
        <v>7.78980627828</v>
      </c>
      <c r="R52" s="35">
        <f t="shared" si="23"/>
        <v>7.78980627828</v>
      </c>
      <c r="S52" s="35">
        <f t="shared" si="22"/>
        <v>0.75998110032</v>
      </c>
      <c r="T52" s="35">
        <f t="shared" si="22"/>
        <v>0.75998110032</v>
      </c>
      <c r="U52" s="35"/>
      <c r="V52" s="58"/>
      <c r="W52" s="54"/>
    </row>
    <row r="53" ht="25" customHeight="1" spans="1:23">
      <c r="A53" s="18"/>
      <c r="B53" s="16"/>
      <c r="C53" s="16"/>
      <c r="D53" s="26" t="s">
        <v>51</v>
      </c>
      <c r="E53" s="27">
        <f>81+96</f>
        <v>177</v>
      </c>
      <c r="F53" s="35"/>
      <c r="G53" s="35"/>
      <c r="H53" s="35"/>
      <c r="I53" s="35"/>
      <c r="J53" s="23"/>
      <c r="K53" s="23"/>
      <c r="L53" s="47"/>
      <c r="M53" s="47"/>
      <c r="N53" s="47"/>
      <c r="O53" s="35"/>
      <c r="P53" s="35"/>
      <c r="Q53" s="35"/>
      <c r="R53" s="35">
        <f>E53/100*15*0.855*0.6*0.147*0.8*0.3*1.3</f>
        <v>0.6246745596</v>
      </c>
      <c r="S53" s="35">
        <f>E53/100*15*0.855*0.6*0.147*0.08*0.3*1.3</f>
        <v>0.06246745596</v>
      </c>
      <c r="T53" s="35">
        <f>E53/100*15*0.855*0.6*0.147*0.08*0.3*1.3</f>
        <v>0.06246745596</v>
      </c>
      <c r="U53" s="35"/>
      <c r="V53" s="58"/>
      <c r="W53" s="54"/>
    </row>
    <row r="54" ht="25" customHeight="1" spans="1:23">
      <c r="A54" s="18"/>
      <c r="B54" s="16"/>
      <c r="C54" s="16"/>
      <c r="D54" s="40" t="s">
        <v>70</v>
      </c>
      <c r="E54" s="27">
        <v>118.8</v>
      </c>
      <c r="F54" s="35">
        <f>118.8/100*15*0.855*0.6*0.334*0.1</f>
        <v>0.305331444</v>
      </c>
      <c r="G54" s="35">
        <f>118.8/100*15*0.855*0.6*0.334*0.08</f>
        <v>0.2442651552</v>
      </c>
      <c r="H54" s="23"/>
      <c r="I54" s="35">
        <f>118.8/100*15*0.855*0.6*0.334*0.8</f>
        <v>2.442651552</v>
      </c>
      <c r="J54" s="35"/>
      <c r="K54" s="35">
        <f>118.8/100*15*0.855*0.6*0.334*0.8</f>
        <v>2.442651552</v>
      </c>
      <c r="L54" s="35">
        <f>118.8/100*15*0.855*0.6*0.334*0.08</f>
        <v>0.2442651552</v>
      </c>
      <c r="M54" s="35">
        <f>118.8/100*15*0.855*0.6*0.334*0.08</f>
        <v>0.2442651552</v>
      </c>
      <c r="N54" s="23"/>
      <c r="O54" s="35">
        <f>118.8/100*15*0.855*0.6*0.13*0.08</f>
        <v>0.095073264</v>
      </c>
      <c r="P54" s="35">
        <f>118.8/100*15*0.855*0.6*0.13*0.08</f>
        <v>0.095073264</v>
      </c>
      <c r="Q54" s="35">
        <f>118.8/100*15*0.855*0.6*0.13*0.82</f>
        <v>0.974500956</v>
      </c>
      <c r="R54" s="35">
        <f>118.8/100*15*0.855*0.6*0.147*0.82</f>
        <v>1.1019356964</v>
      </c>
      <c r="S54" s="35">
        <f>118.8/100*15*0.855*0.6*0.147*0.08</f>
        <v>0.1075059216</v>
      </c>
      <c r="T54" s="35">
        <f>118.8/100*15*0.855*0.6*0.147*0.08</f>
        <v>0.1075059216</v>
      </c>
      <c r="U54" s="35"/>
      <c r="V54" s="58"/>
      <c r="W54" s="54"/>
    </row>
    <row r="55" ht="25" customHeight="1" spans="1:23">
      <c r="A55" s="14">
        <v>9</v>
      </c>
      <c r="B55" s="16"/>
      <c r="C55" s="16" t="s">
        <v>71</v>
      </c>
      <c r="D55" s="26" t="s">
        <v>47</v>
      </c>
      <c r="E55" s="27">
        <v>6437.32</v>
      </c>
      <c r="F55" s="23">
        <f>1801/100*15*0.145*0.7*0.43*0.82</f>
        <v>9.668371335</v>
      </c>
      <c r="G55" s="23">
        <f>1801/100*15*0.145*0.7*0.43*0.08</f>
        <v>0.94325574</v>
      </c>
      <c r="H55" s="23">
        <f>1801/100*15*0.145*0.7*0.43*0.08</f>
        <v>0.94325574</v>
      </c>
      <c r="I55" s="23"/>
      <c r="J55" s="23"/>
      <c r="K55" s="23">
        <f>118.8/100*15*0.145*0.7*0.04*0.82</f>
        <v>0.059326344</v>
      </c>
      <c r="L55" s="23"/>
      <c r="M55" s="23"/>
      <c r="N55" s="23"/>
      <c r="O55" s="23">
        <f>E55/100*15*0.145*0.7*0.36*0.08*0.6</f>
        <v>1.69358164416</v>
      </c>
      <c r="P55" s="23">
        <f>E55/100*15*0.145*0.7*0.36*0.82*0.6</f>
        <v>17.35921185264</v>
      </c>
      <c r="Q55" s="23">
        <f>E55/100*15*0.145*0.7*0.36*0.08*0.6</f>
        <v>1.69358164416</v>
      </c>
      <c r="R55" s="23">
        <f>E55/100*15*0.145*0.7*0.17*0.82*0.6</f>
        <v>8.19740559708</v>
      </c>
      <c r="S55" s="23">
        <f>E55/100*15*0.145*0.7*0.17*0.08*0.6</f>
        <v>0.79974688752</v>
      </c>
      <c r="T55" s="23">
        <f>E55/100*15*0.145*0.7*0.17*0.08*0.6</f>
        <v>0.79974688752</v>
      </c>
      <c r="U55" s="35"/>
      <c r="V55" s="58"/>
      <c r="W55" s="54"/>
    </row>
    <row r="56" ht="25" customHeight="1" spans="1:23">
      <c r="A56" s="18"/>
      <c r="B56" s="16"/>
      <c r="C56" s="16"/>
      <c r="D56" s="26" t="s">
        <v>69</v>
      </c>
      <c r="E56" s="41">
        <v>3057.9</v>
      </c>
      <c r="F56" s="35">
        <f>3057.9/100*15*0.855*0.6*0.334*0.82*0.3</f>
        <v>19.33363329642</v>
      </c>
      <c r="G56" s="35">
        <f>3057.9/100*15*0.855*0.6*0.334*0.08*0.3</f>
        <v>1.88620812648</v>
      </c>
      <c r="H56" s="35">
        <f>3057.9/100*15*0.855*0.6*0.334*0.08*0.3</f>
        <v>1.88620812648</v>
      </c>
      <c r="I56" s="23"/>
      <c r="J56" s="23"/>
      <c r="K56" s="23"/>
      <c r="L56" s="23"/>
      <c r="M56" s="23"/>
      <c r="N56" s="23"/>
      <c r="O56" s="35">
        <f>E56/100*15*0.855*0.6*0.13*0.08*0.3</f>
        <v>0.7341528636</v>
      </c>
      <c r="P56" s="35">
        <f>E56/100*15*0.855*0.6*0.13*0.08*0.3</f>
        <v>0.7341528636</v>
      </c>
      <c r="Q56" s="35">
        <f>E56/100*15*0.855*0.6*0.13*0.82*0.3</f>
        <v>7.5250668519</v>
      </c>
      <c r="R56" s="35">
        <f>3057.9/100*15*0.855*0.6*0.147*0.82*0.3</f>
        <v>8.50911405561</v>
      </c>
      <c r="S56" s="35">
        <f>3057.9/100*15*0.855*0.6*0.147*0.08*0.3</f>
        <v>0.83015746884</v>
      </c>
      <c r="T56" s="35">
        <f>3057.9/100*15*0.855*0.6*0.147*0.08*0.3</f>
        <v>0.83015746884</v>
      </c>
      <c r="U56" s="35"/>
      <c r="V56" s="58"/>
      <c r="W56" s="54"/>
    </row>
    <row r="57" ht="25" customHeight="1" spans="1:23">
      <c r="A57" s="18"/>
      <c r="B57" s="16"/>
      <c r="C57" s="16"/>
      <c r="D57" s="40" t="s">
        <v>54</v>
      </c>
      <c r="E57" s="41">
        <v>1274.4</v>
      </c>
      <c r="F57" s="35">
        <f>1274.4/100*15*0.855*0.6*0.334*0.1</f>
        <v>3.275373672</v>
      </c>
      <c r="G57" s="35">
        <f>1274.4/100*15*0.855*0.6*0.334*0.08</f>
        <v>2.6202989376</v>
      </c>
      <c r="H57" s="23"/>
      <c r="I57" s="35">
        <f>1274.4/100*15*0.855*0.6*0.334*0.8</f>
        <v>26.202989376</v>
      </c>
      <c r="J57" s="35"/>
      <c r="K57" s="35">
        <f>1274.4/100*15*0.855*0.6*0.388*0.8</f>
        <v>30.439400832</v>
      </c>
      <c r="L57" s="35">
        <f>1274.4/100*15*0.855*0.6*0.388*0.08*0.4</f>
        <v>1.21757603328</v>
      </c>
      <c r="M57" s="35">
        <f>1274.4/100*15*0.855*0.6*0.388*0.08*0.4</f>
        <v>1.21757603328</v>
      </c>
      <c r="N57" s="23"/>
      <c r="O57" s="23">
        <f>1274.4/100*15*0.855*0.6*0.13*0.82</f>
        <v>10.453737528</v>
      </c>
      <c r="P57" s="23">
        <f>1274.4/100*15*0.855*0.6*0.13*0.08</f>
        <v>1.019876832</v>
      </c>
      <c r="Q57" s="23">
        <f>1274.4/100*15*0.855*0.6*0.13*0.08</f>
        <v>1.019876832</v>
      </c>
      <c r="R57" s="23">
        <f>1274.4/100*15*0.855*0.6*0.147*0.82*0.2</f>
        <v>2.36415294864</v>
      </c>
      <c r="S57" s="23">
        <f t="shared" ref="R57:T57" si="24">1274.4/100*15*0.855*0.6*0.147*0.08</f>
        <v>1.1532453408</v>
      </c>
      <c r="T57" s="23">
        <f t="shared" si="24"/>
        <v>1.1532453408</v>
      </c>
      <c r="U57" s="23">
        <f>1274.4/100*15*0.855*0.6*0.147*0.82*0.8</f>
        <v>9.45661179456</v>
      </c>
      <c r="V57" s="58"/>
      <c r="W57" s="54"/>
    </row>
    <row r="58" ht="25" customHeight="1" spans="1:23">
      <c r="A58" s="18"/>
      <c r="B58" s="16"/>
      <c r="C58" s="16"/>
      <c r="D58" s="40" t="s">
        <v>70</v>
      </c>
      <c r="E58" s="27">
        <v>118.8</v>
      </c>
      <c r="F58" s="35">
        <f>118.8/100*15*0.855*0.6*0.334*0.82*0.2</f>
        <v>0.50074356816</v>
      </c>
      <c r="G58" s="35">
        <f>118.8/100*15*0.855*0.6*0.334*0.08*0.2</f>
        <v>0.04885303104</v>
      </c>
      <c r="H58" s="23"/>
      <c r="I58" s="35">
        <f>118.8/100*15*0.855*0.6*0.334*0.08*0.2</f>
        <v>0.04885303104</v>
      </c>
      <c r="J58" s="35"/>
      <c r="K58" s="35">
        <f>118.8/100*15*0.855*0.6*0.334*0.8*0.4</f>
        <v>0.9770606208</v>
      </c>
      <c r="L58" s="35">
        <f>118.8/100*15*0.855*0.6*0.334*0.08*0.4</f>
        <v>0.09770606208</v>
      </c>
      <c r="M58" s="35">
        <f>118.8/100*15*0.855*0.6*0.334*0.08*0.4</f>
        <v>0.09770606208</v>
      </c>
      <c r="N58" s="23"/>
      <c r="O58" s="35">
        <f>118.8/100*15*0.855*0.6*0.13*0.08*0.2</f>
        <v>0.0190146528</v>
      </c>
      <c r="P58" s="35">
        <f>118.8/100*15*0.855*0.6*0.13*0.08*0.2</f>
        <v>0.0190146528</v>
      </c>
      <c r="Q58" s="35">
        <f>118.8/100*15*0.855*0.6*0.13*0.82*0.2</f>
        <v>0.1949001912</v>
      </c>
      <c r="R58" s="35">
        <f>118.8/100*15*0.855*0.6*0.147*0.82*0.2</f>
        <v>0.22038713928</v>
      </c>
      <c r="S58" s="35">
        <f>118.8/100*15*0.855*0.6*0.147*0.08*0.2</f>
        <v>0.02150118432</v>
      </c>
      <c r="T58" s="35">
        <f>118.8/100*15*0.855*0.6*0.147*0.08*0.2</f>
        <v>0.02150118432</v>
      </c>
      <c r="U58" s="35"/>
      <c r="V58" s="58"/>
      <c r="W58" s="54"/>
    </row>
    <row r="59" ht="25" customHeight="1" spans="1:23">
      <c r="A59" s="18"/>
      <c r="B59" s="16"/>
      <c r="C59" s="16"/>
      <c r="D59" s="40" t="s">
        <v>67</v>
      </c>
      <c r="E59" s="27">
        <f>204*2</f>
        <v>408</v>
      </c>
      <c r="F59" s="35">
        <f>408/100*15*0.855*0.6*0.334*0.82*0.2</f>
        <v>1.7197253856</v>
      </c>
      <c r="G59" s="35">
        <f>408/100*15*0.855*0.6*0.334*0.08*0.2</f>
        <v>0.1677780864</v>
      </c>
      <c r="H59" s="23"/>
      <c r="I59" s="35">
        <f>408/100*15*0.855*0.6*0.334*0.08*0.2</f>
        <v>0.1677780864</v>
      </c>
      <c r="J59" s="35"/>
      <c r="K59" s="35">
        <f>408/100*15*0.855*0.6*0.388*0.8*0.2</f>
        <v>1.949038848</v>
      </c>
      <c r="L59" s="35">
        <f>408/100*15*0.855*0.6*0.388*0.08*0.4</f>
        <v>0.3898077696</v>
      </c>
      <c r="M59" s="35">
        <f>408/100*15*0.855*0.6*0.388*0.08*0.4</f>
        <v>0.3898077696</v>
      </c>
      <c r="N59" s="23"/>
      <c r="O59" s="35">
        <f>408/100*15*0.855*0.6*0.13*0.08*0.2</f>
        <v>0.065302848</v>
      </c>
      <c r="P59" s="35">
        <f>408/100*15*0.855*0.6*0.13*0.08*0.2</f>
        <v>0.065302848</v>
      </c>
      <c r="Q59" s="35">
        <f>408/100*15*0.855*0.6*0.13*0.82*0.2</f>
        <v>0.669354192</v>
      </c>
      <c r="R59" s="35">
        <f t="shared" ref="R59:T59" si="25">408/100*15*0.855*0.6*0.147*0.82*0.2</f>
        <v>0.7568851248</v>
      </c>
      <c r="S59" s="35">
        <f>408/100*15*0.855*0.6*0.147*0.08*0.2</f>
        <v>0.0738424512</v>
      </c>
      <c r="T59" s="35">
        <f>408/100*15*0.855*0.6*0.147*0.08*0.2</f>
        <v>0.0738424512</v>
      </c>
      <c r="U59" s="35"/>
      <c r="V59" s="58"/>
      <c r="W59" s="54"/>
    </row>
    <row r="60" ht="25" customHeight="1" spans="1:23">
      <c r="A60" s="14">
        <v>10</v>
      </c>
      <c r="B60" s="16"/>
      <c r="C60" s="16" t="s">
        <v>72</v>
      </c>
      <c r="D60" s="26" t="s">
        <v>47</v>
      </c>
      <c r="E60" s="27">
        <v>6025.94</v>
      </c>
      <c r="F60" s="23">
        <f>6025.94/100*15*0.145*0.7*0.43*0.08*0.3</f>
        <v>0.94680774468</v>
      </c>
      <c r="G60" s="23">
        <f>6025.94/100*15*0.145*0.7*0.43*0.08*0.3</f>
        <v>0.94680774468</v>
      </c>
      <c r="H60" s="23">
        <f>6025.94/100*15*0.145*0.7*0.43*0.8*0.3</f>
        <v>9.4680774468</v>
      </c>
      <c r="I60" s="23"/>
      <c r="J60" s="23"/>
      <c r="K60" s="23">
        <f>158.4/100*15*0.145*0.7*0.04*0.82</f>
        <v>0.079101792</v>
      </c>
      <c r="L60" s="23"/>
      <c r="M60" s="23"/>
      <c r="N60" s="23"/>
      <c r="O60" s="23">
        <f>6025.94/100*15*0.145*0.7*0.36*0.82*0.6</f>
        <v>16.24986315288</v>
      </c>
      <c r="P60" s="23">
        <f>6025.94/100*15*0.145*0.7*0.36*0.08*0.6</f>
        <v>1.58535250272</v>
      </c>
      <c r="Q60" s="23">
        <f>6025.94/100*15*0.145*0.7*0.36*0.08*0.6</f>
        <v>1.58535250272</v>
      </c>
      <c r="R60" s="23">
        <f>6025.94/100*15*0.145*0.7*0.17*0.82*0.6</f>
        <v>7.67354648886</v>
      </c>
      <c r="S60" s="23">
        <f>6025.94/100*15*0.145*0.7*0.17*0.08*0.6</f>
        <v>0.74863868184</v>
      </c>
      <c r="T60" s="23">
        <f>6025.94/100*15*0.145*0.7*0.17*0.08*0.6</f>
        <v>0.74863868184</v>
      </c>
      <c r="U60" s="23"/>
      <c r="V60" s="58"/>
      <c r="W60" s="54"/>
    </row>
    <row r="61" ht="25" customHeight="1" spans="1:23">
      <c r="A61" s="18"/>
      <c r="B61" s="16"/>
      <c r="C61" s="16"/>
      <c r="D61" s="26" t="s">
        <v>69</v>
      </c>
      <c r="E61" s="41">
        <v>3012.97</v>
      </c>
      <c r="F61" s="35">
        <f>3012.97/100*15*0.855*0.6*0.334*0.1*0.3*1.2</f>
        <v>2.787740850996</v>
      </c>
      <c r="G61" s="35">
        <f>3012.97/100*15*0.855*0.6*0.334*0.08*0.3*1.2</f>
        <v>2.2301926807968</v>
      </c>
      <c r="H61" s="35">
        <f>3012.97/100*15*0.855*0.6*0.334*0.8*0.3*1.2</f>
        <v>22.301926807968</v>
      </c>
      <c r="I61" s="23"/>
      <c r="J61" s="23"/>
      <c r="K61" s="23"/>
      <c r="L61" s="23"/>
      <c r="M61" s="23"/>
      <c r="N61" s="23"/>
      <c r="O61" s="35">
        <f>3012.97/100*15*0.855*0.6*0.13*0.8*0.3*1.2</f>
        <v>8.68039067376</v>
      </c>
      <c r="P61" s="35">
        <f>3012.97/100*15*0.855*0.6*0.13*0.08*0.3*1.2</f>
        <v>0.868039067376</v>
      </c>
      <c r="Q61" s="35">
        <f>3012.97/100*15*0.855*0.6*0.13*0.08*0.3*1.2</f>
        <v>0.868039067376</v>
      </c>
      <c r="R61" s="35">
        <f>(3012.97+136.72)/100*15*0.855*0.6*0.147*0.8*0.3*1.2</f>
        <v>10.260918975888</v>
      </c>
      <c r="S61" s="35">
        <f>(3012.97+136.72)/100*15*0.855*0.6*0.147*0.08*0.3*1.2</f>
        <v>1.0260918975888</v>
      </c>
      <c r="T61" s="35">
        <f>(3012.97+136.72)/100*15*0.855*0.6*0.147*0.08*0.3*1.2</f>
        <v>1.0260918975888</v>
      </c>
      <c r="U61" s="35"/>
      <c r="V61" s="58"/>
      <c r="W61" s="54"/>
    </row>
    <row r="62" ht="25" customHeight="1" spans="1:23">
      <c r="A62" s="18"/>
      <c r="B62" s="16"/>
      <c r="C62" s="16"/>
      <c r="D62" s="26" t="s">
        <v>51</v>
      </c>
      <c r="E62" s="41">
        <v>122</v>
      </c>
      <c r="F62" s="35"/>
      <c r="G62" s="35"/>
      <c r="H62" s="35"/>
      <c r="I62" s="23"/>
      <c r="J62" s="23"/>
      <c r="K62" s="23"/>
      <c r="L62" s="23"/>
      <c r="M62" s="23"/>
      <c r="N62" s="23"/>
      <c r="O62" s="35"/>
      <c r="P62" s="35"/>
      <c r="Q62" s="35"/>
      <c r="R62" s="35">
        <f>E62/100*15*0.855*0.6*0.147*0.8*0.3*1.3</f>
        <v>0.4305666456</v>
      </c>
      <c r="S62" s="35">
        <f>E62/100*15*0.855*0.6*0.147*0.08*0.3*1.3</f>
        <v>0.04305666456</v>
      </c>
      <c r="T62" s="35">
        <f>E62/100*15*0.855*0.6*0.147*0.08*0.3*1.3</f>
        <v>0.04305666456</v>
      </c>
      <c r="U62" s="35"/>
      <c r="V62" s="58"/>
      <c r="W62" s="54"/>
    </row>
    <row r="63" ht="25" customHeight="1" spans="1:23">
      <c r="A63" s="18"/>
      <c r="B63" s="16"/>
      <c r="C63" s="16"/>
      <c r="D63" s="40" t="s">
        <v>70</v>
      </c>
      <c r="E63" s="41">
        <v>158.8</v>
      </c>
      <c r="F63" s="35">
        <f>158.8/100*15*0.855*0.6*0.334*0.1</f>
        <v>0.408136644</v>
      </c>
      <c r="G63" s="35">
        <f>158.8/100*15*0.855*0.6*0.334*0.08</f>
        <v>0.3265093152</v>
      </c>
      <c r="H63" s="35">
        <f>158.8/100*15*0.855*0.6*0.334*0.8</f>
        <v>3.265093152</v>
      </c>
      <c r="I63" s="23"/>
      <c r="J63" s="35"/>
      <c r="K63" s="35">
        <f>158.8/100*15*0.855*0.6*0.388*0.8</f>
        <v>3.792982464</v>
      </c>
      <c r="L63" s="35">
        <f>158.8/100*15*0.855*0.6*0.388*0.08</f>
        <v>0.3792982464</v>
      </c>
      <c r="M63" s="35">
        <f>158.8/100*15*0.855*0.6*0.388*0.08</f>
        <v>0.3792982464</v>
      </c>
      <c r="N63" s="23"/>
      <c r="O63" s="35">
        <f>158.8/100*15*0.855*0.6*0.13*0.08</f>
        <v>0.127084464</v>
      </c>
      <c r="P63" s="35">
        <f>158.8/100*15*0.855*0.6*0.13*0.08</f>
        <v>0.127084464</v>
      </c>
      <c r="Q63" s="35">
        <f>158.8/100*15*0.855*0.6*0.13*0.82</f>
        <v>1.302615756</v>
      </c>
      <c r="R63" s="35">
        <f>158.8/100*15*0.855*0.6*0.147*0.82</f>
        <v>1.4729578164</v>
      </c>
      <c r="S63" s="35">
        <f>158.8/100*15*0.855*0.6*0.147*0.08</f>
        <v>0.1437032016</v>
      </c>
      <c r="T63" s="35">
        <f>158.8/100*15*0.855*0.6*0.147*0.08</f>
        <v>0.1437032016</v>
      </c>
      <c r="U63" s="35"/>
      <c r="V63" s="58"/>
      <c r="W63" s="54"/>
    </row>
    <row r="64" ht="25" customHeight="1" spans="1:23">
      <c r="A64" s="14">
        <v>11</v>
      </c>
      <c r="B64" s="16"/>
      <c r="C64" s="15" t="s">
        <v>73</v>
      </c>
      <c r="D64" s="26" t="s">
        <v>47</v>
      </c>
      <c r="E64" s="27">
        <v>2354.77</v>
      </c>
      <c r="F64" s="23">
        <f>2354.77/100*15*0.145*0.7*0.43*0.02*0.3</f>
        <v>0.092496542985</v>
      </c>
      <c r="G64" s="23">
        <f>2354.77/100*15*0.145*0.7*0.43*0.08*0.3</f>
        <v>0.36998617194</v>
      </c>
      <c r="H64" s="23">
        <f>2354.77/100*15*0.145*0.7*0.43*0.08*0.3</f>
        <v>0.36998617194</v>
      </c>
      <c r="I64" s="23"/>
      <c r="J64" s="23"/>
      <c r="K64" s="23">
        <f>2354.77/100*15*0.145*0.7*0.43*0.8*0.3+569/100*15*0.145*0.7*0.04*0.82</f>
        <v>3.9840089394</v>
      </c>
      <c r="L64" s="23"/>
      <c r="M64" s="23"/>
      <c r="N64" s="23"/>
      <c r="O64" s="23">
        <f>2354.77/100*15*0.145*0.7*0.36*0.08*0.6</f>
        <v>0.61951172976</v>
      </c>
      <c r="P64" s="23">
        <f>2354.77/100*15*0.145*0.7*0.36*0.08*0.6</f>
        <v>0.61951172976</v>
      </c>
      <c r="Q64" s="23">
        <f>2354.77/100*15*0.145*0.7*0.36*0.82*0.6</f>
        <v>6.34999523004</v>
      </c>
      <c r="R64" s="23">
        <f>2354.77/100*15*0.145*0.7*0.17*0.82*0.6</f>
        <v>2.99860885863</v>
      </c>
      <c r="S64" s="23">
        <f>2354.77/100*15*0.145*0.7*0.17*0.08*0.6</f>
        <v>0.29254720572</v>
      </c>
      <c r="T64" s="23">
        <f>2354.77/100*15*0.145*0.7*0.17*0.08*0.6</f>
        <v>0.29254720572</v>
      </c>
      <c r="U64" s="35"/>
      <c r="V64" s="58"/>
      <c r="W64" s="54"/>
    </row>
    <row r="65" ht="24" customHeight="1" spans="1:23">
      <c r="A65" s="18"/>
      <c r="B65" s="16"/>
      <c r="C65" s="15"/>
      <c r="D65" s="26" t="s">
        <v>32</v>
      </c>
      <c r="E65" s="27">
        <f>603.1*2</f>
        <v>1206.2</v>
      </c>
      <c r="F65" s="62">
        <f>2354.77/100*15*0.855*0.6*0.334*0.02*0.3</f>
        <v>0.363123901206</v>
      </c>
      <c r="G65" s="62">
        <f>2354.77/100*15*0.855*0.6*0.334*0.08*0.3</f>
        <v>1.452495604824</v>
      </c>
      <c r="H65" s="62">
        <f>2354.77/100*15*0.855*0.6*0.334*0.08*0.3</f>
        <v>1.452495604824</v>
      </c>
      <c r="I65" s="23"/>
      <c r="J65" s="35"/>
      <c r="K65" s="62">
        <f>2354.77/100*15*0.855*0.6*0.334*0.8*0.3</f>
        <v>14.52495604824</v>
      </c>
      <c r="L65" s="23"/>
      <c r="M65" s="23"/>
      <c r="N65" s="23"/>
      <c r="O65" s="35"/>
      <c r="P65" s="35"/>
      <c r="Q65" s="35"/>
      <c r="R65" s="35">
        <f>E65/100*15*0.855*0.6*0.147*0.82*0.3</f>
        <v>3.35645160858</v>
      </c>
      <c r="S65" s="35">
        <f>E65/100*15*0.855*0.6*0.147*0.08*0.3</f>
        <v>0.32745869352</v>
      </c>
      <c r="T65" s="35">
        <f>E65/100*15*0.855*0.6*0.147*0.08*0.3</f>
        <v>0.32745869352</v>
      </c>
      <c r="U65" s="35"/>
      <c r="V65" s="58"/>
      <c r="W65" s="80" t="s">
        <v>74</v>
      </c>
    </row>
    <row r="66" s="1" customFormat="1" ht="25" customHeight="1" spans="1:23">
      <c r="A66" s="36"/>
      <c r="B66" s="29"/>
      <c r="C66" s="37"/>
      <c r="D66" s="26" t="s">
        <v>54</v>
      </c>
      <c r="E66" s="27">
        <f>272.5*3</f>
        <v>817.5</v>
      </c>
      <c r="F66" s="63"/>
      <c r="G66" s="63"/>
      <c r="H66" s="63"/>
      <c r="I66" s="23"/>
      <c r="J66" s="35"/>
      <c r="K66" s="63"/>
      <c r="L66" s="35"/>
      <c r="M66" s="35"/>
      <c r="N66" s="35"/>
      <c r="O66" s="35"/>
      <c r="P66" s="35"/>
      <c r="Q66" s="35"/>
      <c r="R66" s="35">
        <f>E66/100*15*0.855*0.6*0.147*0.82*0.3</f>
        <v>2.27482937325</v>
      </c>
      <c r="S66" s="35">
        <f>E66/100*15*0.855*0.6*0.147*0.08*0.3</f>
        <v>0.221934573</v>
      </c>
      <c r="T66" s="35">
        <f>E66/100*15*0.855*0.6*0.147*0.08*0.3</f>
        <v>0.221934573</v>
      </c>
      <c r="U66" s="35"/>
      <c r="V66" s="61"/>
      <c r="W66" s="81"/>
    </row>
    <row r="67" s="1" customFormat="1" ht="25" customHeight="1" spans="1:23">
      <c r="A67" s="36"/>
      <c r="B67" s="29"/>
      <c r="C67" s="37"/>
      <c r="D67" s="26" t="s">
        <v>51</v>
      </c>
      <c r="E67" s="27">
        <v>73.77</v>
      </c>
      <c r="F67" s="63"/>
      <c r="G67" s="63"/>
      <c r="H67" s="63"/>
      <c r="I67" s="23"/>
      <c r="J67" s="35"/>
      <c r="K67" s="63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61"/>
      <c r="W67" s="81"/>
    </row>
    <row r="68" s="1" customFormat="1" ht="25" customHeight="1" spans="1:23">
      <c r="A68" s="36"/>
      <c r="B68" s="29"/>
      <c r="C68" s="37"/>
      <c r="D68" s="26" t="s">
        <v>50</v>
      </c>
      <c r="E68" s="27">
        <v>197.46</v>
      </c>
      <c r="F68" s="63"/>
      <c r="G68" s="63"/>
      <c r="H68" s="63"/>
      <c r="I68" s="23"/>
      <c r="J68" s="35"/>
      <c r="K68" s="63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61"/>
      <c r="W68" s="81"/>
    </row>
    <row r="69" s="1" customFormat="1" ht="25" customHeight="1" spans="1:23">
      <c r="A69" s="36"/>
      <c r="B69" s="29"/>
      <c r="C69" s="37"/>
      <c r="D69" s="26" t="s">
        <v>75</v>
      </c>
      <c r="E69" s="27">
        <v>59.84</v>
      </c>
      <c r="F69" s="45"/>
      <c r="G69" s="45"/>
      <c r="H69" s="45"/>
      <c r="I69" s="23"/>
      <c r="J69" s="35"/>
      <c r="K69" s="4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61"/>
      <c r="W69" s="59"/>
    </row>
    <row r="70" s="1" customFormat="1" ht="25" customHeight="1" spans="1:23">
      <c r="A70" s="28"/>
      <c r="B70" s="29"/>
      <c r="C70" s="38"/>
      <c r="D70" s="26" t="s">
        <v>53</v>
      </c>
      <c r="E70" s="41">
        <v>569</v>
      </c>
      <c r="F70" s="35">
        <f>569/100*15*0.855*0.6*0.334*0.82</f>
        <v>11.991712554</v>
      </c>
      <c r="G70" s="35">
        <f>569/100*15*0.855*0.6*0.334*0.08</f>
        <v>1.169923176</v>
      </c>
      <c r="H70" s="35">
        <f>569/100*15*0.855*0.6*0.334*0.08</f>
        <v>1.169923176</v>
      </c>
      <c r="I70" s="23"/>
      <c r="J70" s="35"/>
      <c r="K70" s="35">
        <f>569/100*15*0.855*0.6*0.388*0.8</f>
        <v>13.59072432</v>
      </c>
      <c r="L70" s="35">
        <f>569/100*15*0.855*0.6*0.388*0.08</f>
        <v>1.359072432</v>
      </c>
      <c r="M70" s="35">
        <f>569/100*15*0.855*0.6*0.388*0.08</f>
        <v>1.359072432</v>
      </c>
      <c r="N70" s="35"/>
      <c r="O70" s="35">
        <f>569/100*15*0.855*0.6*0.13*0.08</f>
        <v>0.45535932</v>
      </c>
      <c r="P70" s="35">
        <f>569/100*15*0.855*0.6*0.13*0.82</f>
        <v>4.66743303</v>
      </c>
      <c r="Q70" s="35">
        <f>569/100*15*0.855*0.6*0.13*0.08</f>
        <v>0.45535932</v>
      </c>
      <c r="R70" s="35">
        <f>569/100*15*0.855*0.6*0.147*0.82*0.2</f>
        <v>1.0555579314</v>
      </c>
      <c r="S70" s="35">
        <f t="shared" ref="R70:T70" si="26">569/100*15*0.855*0.6*0.147*0.08</f>
        <v>0.514906308</v>
      </c>
      <c r="T70" s="35">
        <f t="shared" si="26"/>
        <v>0.514906308</v>
      </c>
      <c r="U70" s="35">
        <f>569/100*15*0.855*0.6*0.147*0.82*0.8</f>
        <v>4.2222317256</v>
      </c>
      <c r="V70" s="61"/>
      <c r="W70" s="57"/>
    </row>
    <row r="71" ht="25" customHeight="1" spans="1:23">
      <c r="A71" s="14">
        <v>12</v>
      </c>
      <c r="B71" s="16"/>
      <c r="C71" s="16" t="s">
        <v>76</v>
      </c>
      <c r="D71" s="26" t="s">
        <v>47</v>
      </c>
      <c r="E71" s="27">
        <v>1560.92</v>
      </c>
      <c r="F71" s="23">
        <f>1560.92/100*15*0.145*0.7*0.43*0.02*0.3</f>
        <v>0.06131371806</v>
      </c>
      <c r="G71" s="23">
        <f>1560.92/100*15*0.145*0.7*0.43*0.08*0.3</f>
        <v>0.24525487224</v>
      </c>
      <c r="H71" s="23">
        <f>1560.92/100*15*0.145*0.7*0.43*0.08*0.3</f>
        <v>0.24525487224</v>
      </c>
      <c r="I71" s="23"/>
      <c r="J71" s="23"/>
      <c r="K71" s="23">
        <f>1560.92/100*15*0.145*0.7*0.43*0.8*0.3+935.5/100*15*0.145*0.7*0.04*0.82</f>
        <v>2.9197187124</v>
      </c>
      <c r="L71" s="23"/>
      <c r="M71" s="23"/>
      <c r="N71" s="23"/>
      <c r="O71" s="23">
        <f>1560.92/100*15*0.145*0.7*0.36*0.08*0.6</f>
        <v>0.41065932096</v>
      </c>
      <c r="P71" s="23">
        <f>1560.92/100*15*0.145*0.7*0.36*0.08*0.6</f>
        <v>0.41065932096</v>
      </c>
      <c r="Q71" s="23">
        <f>1560.92/100*15*0.145*0.7*0.36*0.82*0.6</f>
        <v>4.20925803984</v>
      </c>
      <c r="R71" s="23">
        <f>1560.92/100*15*0.145*0.7*0.17*0.82*0.3</f>
        <v>0.99385259274</v>
      </c>
      <c r="S71" s="23">
        <f>1560.92/100*15*0.145*0.7*0.17*0.08*0.3</f>
        <v>0.09696122856</v>
      </c>
      <c r="T71" s="23">
        <f>1560.92/100*15*0.145*0.7*0.17*0.08*0.3</f>
        <v>0.09696122856</v>
      </c>
      <c r="U71" s="35"/>
      <c r="V71" s="58"/>
      <c r="W71" s="54"/>
    </row>
    <row r="72" ht="24" customHeight="1" spans="1:23">
      <c r="A72" s="18"/>
      <c r="B72" s="16"/>
      <c r="C72" s="16"/>
      <c r="D72" s="26" t="s">
        <v>32</v>
      </c>
      <c r="E72" s="27">
        <f>289.4*2</f>
        <v>578.8</v>
      </c>
      <c r="F72" s="62">
        <f>1509.22/100*15*0.855*0.6*0.334*0.02*0.3</f>
        <v>0.232733495916</v>
      </c>
      <c r="G72" s="62">
        <f>1509.22/100*15*0.855*0.6*0.334*0.08*0.3</f>
        <v>0.930933983664</v>
      </c>
      <c r="H72" s="62">
        <f>1509.22/100*15*0.855*0.6*0.334*0.08*0.3</f>
        <v>0.930933983664</v>
      </c>
      <c r="I72" s="23"/>
      <c r="J72" s="35"/>
      <c r="K72" s="62">
        <f>1509.22/100*15*0.855*0.6*0.334*0.8*0.3</f>
        <v>9.30933983664</v>
      </c>
      <c r="L72" s="23"/>
      <c r="M72" s="23"/>
      <c r="N72" s="23"/>
      <c r="O72" s="35"/>
      <c r="P72" s="35"/>
      <c r="Q72" s="35"/>
      <c r="R72" s="35">
        <f>E72/100*15*0.855*0.6*0.147*0.82*0.3</f>
        <v>1.61060702292</v>
      </c>
      <c r="S72" s="35">
        <f>E72/100*15*0.855*0.6*0.147*0.08*0.3</f>
        <v>0.15713239248</v>
      </c>
      <c r="T72" s="35">
        <f>E72/100*15*0.855*0.6*0.147*0.08*0.3</f>
        <v>0.15713239248</v>
      </c>
      <c r="U72" s="35"/>
      <c r="V72" s="58"/>
      <c r="W72" s="80" t="s">
        <v>74</v>
      </c>
    </row>
    <row r="73" ht="25" customHeight="1" spans="1:23">
      <c r="A73" s="18"/>
      <c r="B73" s="16"/>
      <c r="C73" s="16"/>
      <c r="D73" s="26" t="s">
        <v>54</v>
      </c>
      <c r="E73" s="27">
        <f>336.01+306.85</f>
        <v>642.86</v>
      </c>
      <c r="F73" s="63"/>
      <c r="G73" s="63"/>
      <c r="H73" s="63"/>
      <c r="I73" s="23"/>
      <c r="J73" s="35"/>
      <c r="K73" s="63"/>
      <c r="L73" s="35"/>
      <c r="M73" s="35"/>
      <c r="N73" s="35"/>
      <c r="O73" s="35"/>
      <c r="P73" s="35"/>
      <c r="Q73" s="35"/>
      <c r="R73" s="35">
        <f>E73/100*15*0.855*0.6*0.147*0.82*0.3</f>
        <v>1.788864600474</v>
      </c>
      <c r="S73" s="35">
        <f>E73/100*15*0.855*0.6*0.147*0.08*0.3</f>
        <v>0.174523375656</v>
      </c>
      <c r="T73" s="35">
        <f>E73/100*15*0.855*0.6*0.147*0.08*0.3</f>
        <v>0.174523375656</v>
      </c>
      <c r="U73" s="35"/>
      <c r="V73" s="58"/>
      <c r="W73" s="81"/>
    </row>
    <row r="74" ht="25" customHeight="1" spans="1:23">
      <c r="A74" s="18"/>
      <c r="B74" s="16"/>
      <c r="C74" s="16"/>
      <c r="D74" s="26" t="s">
        <v>51</v>
      </c>
      <c r="E74" s="27">
        <v>87.53</v>
      </c>
      <c r="F74" s="63"/>
      <c r="G74" s="63"/>
      <c r="H74" s="63"/>
      <c r="I74" s="23"/>
      <c r="J74" s="35"/>
      <c r="K74" s="63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58"/>
      <c r="W74" s="81"/>
    </row>
    <row r="75" ht="25" customHeight="1" spans="1:23">
      <c r="A75" s="18"/>
      <c r="B75" s="16"/>
      <c r="C75" s="16"/>
      <c r="D75" s="26" t="s">
        <v>50</v>
      </c>
      <c r="E75" s="27">
        <v>251.73</v>
      </c>
      <c r="F75" s="45"/>
      <c r="G75" s="45"/>
      <c r="H75" s="45"/>
      <c r="I75" s="23"/>
      <c r="J75" s="35"/>
      <c r="K75" s="4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58"/>
      <c r="W75" s="59"/>
    </row>
    <row r="76" ht="25" customHeight="1" spans="1:23">
      <c r="A76" s="18"/>
      <c r="B76" s="16"/>
      <c r="C76" s="16"/>
      <c r="D76" s="39" t="s">
        <v>53</v>
      </c>
      <c r="E76" s="41">
        <v>935.5</v>
      </c>
      <c r="F76" s="35">
        <f>935.5/100*15*0.855*0.6*0.334*0.82*0.2*1.2</f>
        <v>4.73177381832</v>
      </c>
      <c r="G76" s="35">
        <f>935.5/100*15*0.855*0.6*0.334*0.08*0.2</f>
        <v>0.3846970584</v>
      </c>
      <c r="H76" s="35">
        <f>935.5/100*15*0.855*0.6*0.334*0.08*0.2</f>
        <v>0.3846970584</v>
      </c>
      <c r="I76" s="23"/>
      <c r="J76" s="35"/>
      <c r="K76" s="35">
        <f>935.5/100*15*0.855*0.6*0.388*0.8*0.4*1.2</f>
        <v>10.7254461312</v>
      </c>
      <c r="L76" s="35">
        <f>935.5/100*15*0.855*0.6*0.388*0.08*0.4</f>
        <v>0.8937871776</v>
      </c>
      <c r="M76" s="35">
        <f>935.5/100*15*0.855*0.6*0.388*0.08*0.4</f>
        <v>0.8937871776</v>
      </c>
      <c r="N76" s="35"/>
      <c r="O76" s="35">
        <f>935.5/100*15*0.855*0.6*0.13*0.08</f>
        <v>0.74866194</v>
      </c>
      <c r="P76" s="35">
        <f>935.5/100*15*0.855*0.6*0.13*0.82*0.2*1.2</f>
        <v>1.8417083724</v>
      </c>
      <c r="Q76" s="35">
        <f>935.5/100*15*0.855*0.6*0.13*0.08*0.2</f>
        <v>0.149732388</v>
      </c>
      <c r="R76" s="35">
        <f>935.5/100*15*0.855*0.6*0.147*0.08*0.2</f>
        <v>0.1693127772</v>
      </c>
      <c r="S76" s="35"/>
      <c r="T76" s="35"/>
      <c r="U76" s="35">
        <f>935.5/100*15*0.855*0.6*0.147*0.82*0.2</f>
        <v>1.7354559663</v>
      </c>
      <c r="V76" s="58"/>
      <c r="W76" s="57"/>
    </row>
    <row r="77" ht="25" customHeight="1" spans="1:23">
      <c r="A77" s="14">
        <v>13</v>
      </c>
      <c r="B77" s="16"/>
      <c r="C77" s="19" t="s">
        <v>77</v>
      </c>
      <c r="D77" s="26" t="s">
        <v>47</v>
      </c>
      <c r="E77" s="27">
        <v>3396.59</v>
      </c>
      <c r="F77" s="23">
        <f>E77/100*15*0.145*0.7*0.43*0.1*0.3</f>
        <v>0.667098767475</v>
      </c>
      <c r="G77" s="23">
        <f>E77/100*15*0.145*0.7*0.43*0.08*0.3</f>
        <v>0.53367901398</v>
      </c>
      <c r="H77" s="23">
        <f>E77/100*15*0.145*0.7*0.43*0.8*0.3</f>
        <v>5.3367901398</v>
      </c>
      <c r="I77" s="23"/>
      <c r="J77" s="23"/>
      <c r="K77" s="23"/>
      <c r="L77" s="23"/>
      <c r="M77" s="23"/>
      <c r="N77" s="23"/>
      <c r="O77" s="23"/>
      <c r="P77" s="23"/>
      <c r="Q77" s="23"/>
      <c r="R77" s="23">
        <f>E77/100*15*0.145*0.7*0.17*0.82*0.3</f>
        <v>2.162641120605</v>
      </c>
      <c r="S77" s="23">
        <f>E77/100*15*0.145*0.7*0.17*0.08*0.3</f>
        <v>0.21098937762</v>
      </c>
      <c r="T77" s="23">
        <f>E77/100*15*0.145*0.7*0.17*0.08*0.3</f>
        <v>0.21098937762</v>
      </c>
      <c r="U77" s="35"/>
      <c r="V77" s="58"/>
      <c r="W77" s="54"/>
    </row>
    <row r="78" ht="24" customHeight="1" spans="1:23">
      <c r="A78" s="18"/>
      <c r="B78" s="16"/>
      <c r="C78" s="15"/>
      <c r="D78" s="27" t="s">
        <v>32</v>
      </c>
      <c r="E78" s="27">
        <f>834.81+790.07</f>
        <v>1624.88</v>
      </c>
      <c r="F78" s="64">
        <f>3144.86/100*15*0.855*0.6*0.334*0.1*0.3</f>
        <v>2.42480970954</v>
      </c>
      <c r="G78" s="64">
        <f>3144.86/100*15*0.855*0.6*0.334*0.08*0.3</f>
        <v>1.939847767632</v>
      </c>
      <c r="H78" s="64">
        <f>3144.86/100*15*0.855*0.6*0.334*0.8*0.3</f>
        <v>19.39847767632</v>
      </c>
      <c r="I78" s="23"/>
      <c r="J78" s="23"/>
      <c r="K78" s="23"/>
      <c r="L78" s="23"/>
      <c r="M78" s="23"/>
      <c r="N78" s="23"/>
      <c r="O78" s="23"/>
      <c r="P78" s="23"/>
      <c r="Q78" s="23"/>
      <c r="R78" s="35">
        <f>E78/100*15*0.855*0.6*0.147*0.82*0.3</f>
        <v>4.521498167592</v>
      </c>
      <c r="S78" s="35">
        <f>E78/100*15*0.855*0.6*0.147*0.08*0.3</f>
        <v>0.441121772448</v>
      </c>
      <c r="T78" s="35">
        <f>E78/100*15*0.855*0.6*0.147*0.08*0.3</f>
        <v>0.441121772448</v>
      </c>
      <c r="U78" s="35"/>
      <c r="V78" s="58"/>
      <c r="W78" s="80" t="s">
        <v>74</v>
      </c>
    </row>
    <row r="79" ht="25" customHeight="1" spans="1:23">
      <c r="A79" s="18"/>
      <c r="B79" s="16"/>
      <c r="C79" s="15"/>
      <c r="D79" s="27" t="s">
        <v>54</v>
      </c>
      <c r="E79" s="27">
        <f>724.95+662.7</f>
        <v>1387.65</v>
      </c>
      <c r="F79" s="65"/>
      <c r="G79" s="65"/>
      <c r="H79" s="65"/>
      <c r="I79" s="23"/>
      <c r="J79" s="23"/>
      <c r="K79" s="23"/>
      <c r="L79" s="23"/>
      <c r="M79" s="23"/>
      <c r="N79" s="23"/>
      <c r="O79" s="23"/>
      <c r="P79" s="23"/>
      <c r="Q79" s="23"/>
      <c r="R79" s="35">
        <f>E79/100*15*0.855*0.6*0.147*0.82*0.3</f>
        <v>3.861366336135</v>
      </c>
      <c r="S79" s="35">
        <f>E79/100*15*0.855*0.6*0.147*0.08*0.3</f>
        <v>0.37671866694</v>
      </c>
      <c r="T79" s="35">
        <f>E79/100*15*0.855*0.6*0.147*0.08*0.3</f>
        <v>0.37671866694</v>
      </c>
      <c r="U79" s="35"/>
      <c r="V79" s="58"/>
      <c r="W79" s="81"/>
    </row>
    <row r="80" ht="25" customHeight="1" spans="1:23">
      <c r="A80" s="18"/>
      <c r="B80" s="16"/>
      <c r="C80" s="15"/>
      <c r="D80" s="27" t="s">
        <v>51</v>
      </c>
      <c r="E80" s="27">
        <v>132.33</v>
      </c>
      <c r="F80" s="65"/>
      <c r="G80" s="65"/>
      <c r="H80" s="65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35"/>
      <c r="U80" s="35"/>
      <c r="V80" s="58"/>
      <c r="W80" s="81"/>
    </row>
    <row r="81" ht="25" customHeight="1" spans="1:23">
      <c r="A81" s="18"/>
      <c r="B81" s="16"/>
      <c r="C81" s="15"/>
      <c r="D81" s="27" t="s">
        <v>50</v>
      </c>
      <c r="E81" s="27">
        <v>251.73</v>
      </c>
      <c r="F81" s="66"/>
      <c r="G81" s="66"/>
      <c r="H81" s="6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35"/>
      <c r="U81" s="35"/>
      <c r="V81" s="58"/>
      <c r="W81" s="59"/>
    </row>
    <row r="82" ht="25" customHeight="1" spans="1:23">
      <c r="A82" s="67">
        <v>14</v>
      </c>
      <c r="B82" s="16"/>
      <c r="C82" s="19" t="s">
        <v>78</v>
      </c>
      <c r="D82" s="26" t="s">
        <v>47</v>
      </c>
      <c r="E82" s="27">
        <v>2012.26</v>
      </c>
      <c r="F82" s="23">
        <f>2012.26/100*15*0.145*0.7*0.43*0.1*0.3</f>
        <v>0.39521289465</v>
      </c>
      <c r="G82" s="23">
        <f>2012.26/100*15*0.145*0.7*0.43*0.08*0.3</f>
        <v>0.31617031572</v>
      </c>
      <c r="H82" s="23">
        <f>2012.26/100*15*0.145*0.7*0.43*0.8*0.3</f>
        <v>3.1617031572</v>
      </c>
      <c r="I82" s="23"/>
      <c r="J82" s="23"/>
      <c r="K82" s="23">
        <f>935.5/100*15*0.145*0.7*0.04*0.82</f>
        <v>0.46716999</v>
      </c>
      <c r="L82" s="23"/>
      <c r="M82" s="23"/>
      <c r="N82" s="23"/>
      <c r="O82" s="23">
        <f>2012.26/100*15*0.145*0.7*0.36*0.08*0.6</f>
        <v>0.52940145888</v>
      </c>
      <c r="P82" s="23">
        <f>2012.26/100*15*0.145*0.7*0.36*0.08*0.6</f>
        <v>0.52940145888</v>
      </c>
      <c r="Q82" s="23">
        <f>2012.26/100*15*0.145*0.7*0.36*0.8*0.6</f>
        <v>5.2940145888</v>
      </c>
      <c r="R82" s="23">
        <f>2012.26/100*15*0.145*0.7*0.17*0.82*0.3</f>
        <v>1.28122505847</v>
      </c>
      <c r="S82" s="23">
        <f>2012.26/100*15*0.145*0.7*0.17*0.08*0.3</f>
        <v>0.12499756668</v>
      </c>
      <c r="T82" s="23">
        <f>2012.26/100*15*0.145*0.7*0.17*0.08*0.3</f>
        <v>0.12499756668</v>
      </c>
      <c r="U82" s="35"/>
      <c r="V82" s="58"/>
      <c r="W82" s="54"/>
    </row>
    <row r="83" ht="26" customHeight="1" spans="1:23">
      <c r="A83" s="68"/>
      <c r="B83" s="16"/>
      <c r="C83" s="15"/>
      <c r="D83" s="27" t="s">
        <v>32</v>
      </c>
      <c r="E83" s="27">
        <f>707.15+568.31</f>
        <v>1275.46</v>
      </c>
      <c r="F83" s="64">
        <f>2012.26/100*15*0.855*0.6*0.334*0.1*0.3</f>
        <v>1.55153093814</v>
      </c>
      <c r="G83" s="64">
        <f>2012.26/100*15*0.855*0.6*0.334*0.08*0.3</f>
        <v>1.241224750512</v>
      </c>
      <c r="H83" s="64">
        <f>2012.26/100*15*0.855*0.6*0.334*0.8*0.3</f>
        <v>12.41224750512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35"/>
      <c r="U83" s="35"/>
      <c r="V83" s="58"/>
      <c r="W83" s="80" t="s">
        <v>74</v>
      </c>
    </row>
    <row r="84" ht="25" customHeight="1" spans="1:23">
      <c r="A84" s="68"/>
      <c r="B84" s="16"/>
      <c r="C84" s="15"/>
      <c r="D84" s="27" t="s">
        <v>54</v>
      </c>
      <c r="E84" s="27">
        <f>272.51*2</f>
        <v>545.02</v>
      </c>
      <c r="F84" s="65"/>
      <c r="G84" s="65"/>
      <c r="H84" s="65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35"/>
      <c r="U84" s="35"/>
      <c r="V84" s="58"/>
      <c r="W84" s="81"/>
    </row>
    <row r="85" ht="25" customHeight="1" spans="1:23">
      <c r="A85" s="68"/>
      <c r="B85" s="16"/>
      <c r="C85" s="15"/>
      <c r="D85" s="27" t="s">
        <v>51</v>
      </c>
      <c r="E85" s="27">
        <v>142.25</v>
      </c>
      <c r="F85" s="65"/>
      <c r="G85" s="65"/>
      <c r="H85" s="65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35"/>
      <c r="U85" s="35"/>
      <c r="V85" s="58"/>
      <c r="W85" s="81"/>
    </row>
    <row r="86" ht="25" customHeight="1" spans="1:23">
      <c r="A86" s="68"/>
      <c r="B86" s="16"/>
      <c r="C86" s="15"/>
      <c r="D86" s="27" t="s">
        <v>79</v>
      </c>
      <c r="E86" s="27">
        <v>49.55</v>
      </c>
      <c r="F86" s="66"/>
      <c r="G86" s="66"/>
      <c r="H86" s="66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35"/>
      <c r="U86" s="35"/>
      <c r="V86" s="58"/>
      <c r="W86" s="59"/>
    </row>
    <row r="87" ht="25" customHeight="1" spans="1:23">
      <c r="A87" s="69"/>
      <c r="B87" s="16"/>
      <c r="C87" s="15"/>
      <c r="D87" s="39" t="s">
        <v>53</v>
      </c>
      <c r="E87" s="27">
        <v>935.5</v>
      </c>
      <c r="F87" s="23">
        <f>935.5/100*15*0.855*0.6*0.334*0.82*0.2</f>
        <v>3.9431448486</v>
      </c>
      <c r="G87" s="23">
        <f>935.5/100*15*0.855*0.6*0.334*0.08*0.2</f>
        <v>0.3846970584</v>
      </c>
      <c r="H87" s="23">
        <f>935.5/100*15*0.855*0.6*0.334*0.08*0.2</f>
        <v>0.3846970584</v>
      </c>
      <c r="I87" s="23"/>
      <c r="J87" s="23"/>
      <c r="K87" s="23">
        <f>935.5/100*15*0.855*0.6*0.388*0.8*0.4</f>
        <v>8.937871776</v>
      </c>
      <c r="L87" s="23">
        <f>935.5/100*15*0.855*0.6*0.388*0.08*0.4</f>
        <v>0.8937871776</v>
      </c>
      <c r="M87" s="23">
        <f>935.5/100*15*0.855*0.6*0.388*0.08*0.4</f>
        <v>0.8937871776</v>
      </c>
      <c r="N87" s="23"/>
      <c r="O87" s="23">
        <f>935.5/100*15*0.855*0.6*0.13*0.08</f>
        <v>0.74866194</v>
      </c>
      <c r="P87" s="23">
        <f>935.5/100*15*0.855*0.6*0.13*0.82*0.2</f>
        <v>1.534756977</v>
      </c>
      <c r="Q87" s="23">
        <f>935.5/100*15*0.855*0.6*0.13*0.08*0.2</f>
        <v>0.149732388</v>
      </c>
      <c r="R87" s="35">
        <f>935.5/100*15*0.855*0.6*0.147*0.82*0.2*0.2</f>
        <v>0.34709119326</v>
      </c>
      <c r="S87" s="23">
        <f t="shared" ref="R87:T87" si="27">935.5/100*15*0.855*0.6*0.147*0.08*0.2</f>
        <v>0.1693127772</v>
      </c>
      <c r="T87" s="23">
        <f t="shared" si="27"/>
        <v>0.1693127772</v>
      </c>
      <c r="U87" s="35">
        <f>935.5/100*15*0.855*0.6*0.147*0.82*0.2*0.8</f>
        <v>1.38836477304</v>
      </c>
      <c r="V87" s="58"/>
      <c r="W87" s="57"/>
    </row>
    <row r="88" ht="25" customHeight="1" spans="1:23">
      <c r="A88" s="70">
        <v>15</v>
      </c>
      <c r="B88" s="16"/>
      <c r="C88" s="19" t="s">
        <v>80</v>
      </c>
      <c r="D88" s="26" t="s">
        <v>47</v>
      </c>
      <c r="E88" s="27">
        <v>2151.37</v>
      </c>
      <c r="F88" s="23">
        <f>2151.37/100*15*0.145*0.7*0.43*0.82*0.3</f>
        <v>3.464782460685</v>
      </c>
      <c r="G88" s="23">
        <f>2151.37/100*15*0.145*0.7*0.43*0.08*0.3</f>
        <v>0.33802755714</v>
      </c>
      <c r="H88" s="23">
        <f>2151.37/100*15*0.145*0.7*0.43*0.08*0.3</f>
        <v>0.33802755714</v>
      </c>
      <c r="I88" s="23"/>
      <c r="J88" s="23"/>
      <c r="K88" s="23">
        <f>568.32/100*15*0.145*0.7*0.04*0.82*2</f>
        <v>0.5676152832</v>
      </c>
      <c r="L88" s="23"/>
      <c r="M88" s="23"/>
      <c r="N88" s="23"/>
      <c r="O88" s="23"/>
      <c r="P88" s="23"/>
      <c r="Q88" s="23"/>
      <c r="R88" s="23">
        <f>2151.37/100*15*0.145*0.7*0.17*0.82*0.3</f>
        <v>1.369797717015</v>
      </c>
      <c r="S88" s="23">
        <f>2151.37/100*15*0.145*0.7*0.17*0.08*0.3</f>
        <v>0.13363880166</v>
      </c>
      <c r="T88" s="23">
        <f>2151.37/100*15*0.145*0.7*0.17*0.08*0.3</f>
        <v>0.13363880166</v>
      </c>
      <c r="U88" s="35"/>
      <c r="V88" s="58"/>
      <c r="W88" s="54"/>
    </row>
    <row r="89" ht="26" customHeight="1" spans="1:23">
      <c r="A89" s="70"/>
      <c r="B89" s="16"/>
      <c r="C89" s="15"/>
      <c r="D89" s="27" t="s">
        <v>32</v>
      </c>
      <c r="E89" s="27">
        <f>532.26*2</f>
        <v>1064.52</v>
      </c>
      <c r="F89" s="64">
        <f>2151.37/100*15*0.855*0.6*0.334*0.8*0.3</f>
        <v>13.27032138744</v>
      </c>
      <c r="G89" s="64">
        <f>2151.37/100*15*0.855*0.6*0.334*0.08*0.3</f>
        <v>1.327032138744</v>
      </c>
      <c r="H89" s="64">
        <f>2151.37/100*15*0.855*0.6*0.334*0.08*0.3</f>
        <v>1.327032138744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35"/>
      <c r="U89" s="35"/>
      <c r="V89" s="58"/>
      <c r="W89" s="54"/>
    </row>
    <row r="90" ht="25" customHeight="1" spans="1:23">
      <c r="A90" s="70"/>
      <c r="B90" s="16"/>
      <c r="C90" s="15"/>
      <c r="D90" s="27" t="s">
        <v>54</v>
      </c>
      <c r="E90" s="27">
        <f>238.29*3</f>
        <v>714.87</v>
      </c>
      <c r="F90" s="65"/>
      <c r="G90" s="65"/>
      <c r="H90" s="65"/>
      <c r="I90" s="23"/>
      <c r="J90" s="23"/>
      <c r="K90" s="23"/>
      <c r="L90" s="23"/>
      <c r="M90" s="23"/>
      <c r="N90" s="23"/>
      <c r="O90" s="23"/>
      <c r="P90" s="23"/>
      <c r="Q90" s="23"/>
      <c r="R90" s="35">
        <f>E90/100*15*0.855*0.6*0.147*0.82*0.3</f>
        <v>1.989244371933</v>
      </c>
      <c r="S90" s="35">
        <f>E90/100*15*0.855*0.6*0.147*0.08*0.3</f>
        <v>0.194072621652</v>
      </c>
      <c r="T90" s="35">
        <f>E90/100*15*0.855*0.6*0.147*0.08*0.3</f>
        <v>0.194072621652</v>
      </c>
      <c r="U90" s="35"/>
      <c r="V90" s="58"/>
      <c r="W90" s="54"/>
    </row>
    <row r="91" ht="25" customHeight="1" spans="1:23">
      <c r="A91" s="70"/>
      <c r="B91" s="16"/>
      <c r="C91" s="15"/>
      <c r="D91" s="27" t="s">
        <v>51</v>
      </c>
      <c r="E91" s="27">
        <v>163.41</v>
      </c>
      <c r="F91" s="65"/>
      <c r="G91" s="65"/>
      <c r="H91" s="65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35"/>
      <c r="U91" s="35"/>
      <c r="V91" s="58"/>
      <c r="W91" s="54"/>
    </row>
    <row r="92" ht="25" customHeight="1" spans="1:23">
      <c r="A92" s="70"/>
      <c r="B92" s="16"/>
      <c r="C92" s="15"/>
      <c r="D92" s="27" t="s">
        <v>50</v>
      </c>
      <c r="E92" s="27">
        <v>208.57</v>
      </c>
      <c r="F92" s="66"/>
      <c r="G92" s="66"/>
      <c r="H92" s="66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5"/>
      <c r="U92" s="35"/>
      <c r="V92" s="58"/>
      <c r="W92" s="54"/>
    </row>
    <row r="93" ht="25" customHeight="1" spans="1:23">
      <c r="A93" s="70"/>
      <c r="B93" s="16"/>
      <c r="C93" s="71"/>
      <c r="D93" s="39" t="s">
        <v>53</v>
      </c>
      <c r="E93" s="27">
        <v>568.32</v>
      </c>
      <c r="F93" s="23">
        <f>568.32/100*15*0.855*0.6*0.334*0.1</f>
        <v>1.4606562816</v>
      </c>
      <c r="G93" s="23">
        <f>568.32/100*15*0.855*0.6*0.334*0.08</f>
        <v>1.16852502528</v>
      </c>
      <c r="H93" s="23">
        <f>568.32/100*15*0.855*0.6*0.334*0.8*1.2</f>
        <v>14.02230030336</v>
      </c>
      <c r="I93" s="23"/>
      <c r="J93" s="23"/>
      <c r="K93" s="23">
        <f>568.32/100*15*0.855*0.6*0.388*0.8*1.4*1.2</f>
        <v>22.805130313728</v>
      </c>
      <c r="L93" s="23">
        <f>568.32/100*15*0.855*0.6*0.388*0.08*1.4</f>
        <v>1.900427526144</v>
      </c>
      <c r="M93" s="23">
        <f>568.32/100*15*0.855*0.6*0.388*0.08*1.4</f>
        <v>1.900427526144</v>
      </c>
      <c r="N93" s="23"/>
      <c r="O93" s="23">
        <f>568.32/100*15*0.855*0.6*0.13*0.08</f>
        <v>0.4548151296</v>
      </c>
      <c r="P93" s="23">
        <f>568.32/100*15*0.855*0.6*0.13*0.8*1.2</f>
        <v>5.4577815552</v>
      </c>
      <c r="Q93" s="23">
        <f>568.32/100*15*0.855*0.6*0.13*0.08</f>
        <v>0.4548151296</v>
      </c>
      <c r="R93" s="23">
        <f>568.32/100*15*0.855*0.6*0.147*0.8*1.2</f>
        <v>6.17149145088</v>
      </c>
      <c r="S93" s="23">
        <f>568.32/100*15*0.855*0.6*0.147*0.08</f>
        <v>0.51429095424</v>
      </c>
      <c r="T93" s="23">
        <f>568.32/100*15*0.855*0.6*0.147*0.08</f>
        <v>0.51429095424</v>
      </c>
      <c r="U93" s="35"/>
      <c r="V93" s="58"/>
      <c r="W93" s="57"/>
    </row>
    <row r="94" ht="25" customHeight="1" spans="1:23">
      <c r="A94" s="14">
        <v>16</v>
      </c>
      <c r="B94" s="16"/>
      <c r="C94" s="16" t="s">
        <v>81</v>
      </c>
      <c r="D94" s="26" t="s">
        <v>47</v>
      </c>
      <c r="E94" s="27">
        <v>6075.73</v>
      </c>
      <c r="F94" s="23">
        <f>6075.73/100*15*0.145*0.7*0.43*0.1*0.3</f>
        <v>1.193288561325</v>
      </c>
      <c r="G94" s="23">
        <f>6075.73/100*15*0.145*0.7*0.43*0.08*0.3</f>
        <v>0.95463084906</v>
      </c>
      <c r="H94" s="23">
        <f>6075.73/100*15*0.145*0.7*0.43*0.8*0.3</f>
        <v>9.5463084906</v>
      </c>
      <c r="I94" s="23"/>
      <c r="J94" s="23"/>
      <c r="K94" s="23">
        <f>935.5/100*15*0.145*0.7*0.04*0.82</f>
        <v>0.46716999</v>
      </c>
      <c r="L94" s="23"/>
      <c r="M94" s="23"/>
      <c r="N94" s="23"/>
      <c r="O94" s="23">
        <f>6075.73/100*15*0.145*0.7*0.36*0.08*0.6</f>
        <v>1.59845165424</v>
      </c>
      <c r="P94" s="23">
        <f>6075.73/100*15*0.145*0.7*0.36*0.08*0.6</f>
        <v>1.59845165424</v>
      </c>
      <c r="Q94" s="23">
        <f>6075.73/100*15*0.145*0.7*0.36*0.82*0.6</f>
        <v>16.38412945596</v>
      </c>
      <c r="R94" s="23">
        <f>6075.73/100*15*0.145*0.7*0.17*0.82*0.6</f>
        <v>7.73695002087</v>
      </c>
      <c r="S94" s="23">
        <f>6075.73/100*15*0.145*0.7*0.17*0.08*0.6</f>
        <v>0.75482439228</v>
      </c>
      <c r="T94" s="23">
        <f>6075.73/100*15*0.145*0.7*0.17*0.08*0.6</f>
        <v>0.75482439228</v>
      </c>
      <c r="U94" s="35"/>
      <c r="V94" s="58"/>
      <c r="W94" s="57"/>
    </row>
    <row r="95" ht="24" customHeight="1" spans="1:23">
      <c r="A95" s="18"/>
      <c r="B95" s="16"/>
      <c r="C95" s="16"/>
      <c r="D95" s="27" t="s">
        <v>82</v>
      </c>
      <c r="E95" s="27">
        <f>331.55*2</f>
        <v>663.1</v>
      </c>
      <c r="F95" s="64">
        <f>6075.73/100*15*0.855*0.6*0.334*0.1*0.3</f>
        <v>4.68462478347</v>
      </c>
      <c r="G95" s="64">
        <f>6075.73/100*15*0.855*0.6*0.334*0.08*0.3</f>
        <v>3.747699826776</v>
      </c>
      <c r="H95" s="64">
        <f>6075.73/100*15*0.855*0.6*0.334*0.8*0.3</f>
        <v>37.47699826776</v>
      </c>
      <c r="I95" s="23"/>
      <c r="J95" s="23"/>
      <c r="K95" s="23"/>
      <c r="L95" s="23"/>
      <c r="M95" s="23"/>
      <c r="N95" s="23"/>
      <c r="O95" s="23"/>
      <c r="P95" s="23"/>
      <c r="Q95" s="23"/>
      <c r="R95" s="23">
        <f>6075.73/100*15*0.855*0.6*0.147*0.82*0.3</f>
        <v>16.906726688607</v>
      </c>
      <c r="S95" s="23"/>
      <c r="T95" s="35"/>
      <c r="U95" s="35"/>
      <c r="V95" s="58"/>
      <c r="W95" s="80" t="s">
        <v>74</v>
      </c>
    </row>
    <row r="96" ht="25" customHeight="1" spans="1:23">
      <c r="A96" s="18"/>
      <c r="B96" s="16"/>
      <c r="C96" s="16"/>
      <c r="D96" s="27" t="s">
        <v>83</v>
      </c>
      <c r="E96" s="27">
        <f>414.83*2</f>
        <v>829.66</v>
      </c>
      <c r="F96" s="65"/>
      <c r="G96" s="65"/>
      <c r="H96" s="65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35"/>
      <c r="U96" s="35"/>
      <c r="V96" s="58"/>
      <c r="W96" s="81"/>
    </row>
    <row r="97" ht="25" customHeight="1" spans="1:23">
      <c r="A97" s="18"/>
      <c r="B97" s="16"/>
      <c r="C97" s="16"/>
      <c r="D97" s="27" t="s">
        <v>84</v>
      </c>
      <c r="E97" s="27">
        <f>414.83*2</f>
        <v>829.66</v>
      </c>
      <c r="F97" s="65"/>
      <c r="G97" s="65"/>
      <c r="H97" s="65"/>
      <c r="I97" s="23"/>
      <c r="J97" s="23"/>
      <c r="K97" s="23"/>
      <c r="L97" s="23"/>
      <c r="M97" s="23"/>
      <c r="N97" s="23"/>
      <c r="O97" s="23"/>
      <c r="P97" s="23"/>
      <c r="Q97" s="23"/>
      <c r="R97" s="35">
        <f>E97/100*15*0.855*0.6*0.147*0.82*0.3</f>
        <v>2.308666590594</v>
      </c>
      <c r="S97" s="35">
        <f>E97/100*15*0.855*0.6*0.147*0.08*0.3</f>
        <v>0.225235764936</v>
      </c>
      <c r="T97" s="35">
        <f>E97/100*15*0.855*0.6*0.147*0.08*0.3</f>
        <v>0.225235764936</v>
      </c>
      <c r="U97" s="35"/>
      <c r="V97" s="58"/>
      <c r="W97" s="81"/>
    </row>
    <row r="98" ht="25" customHeight="1" spans="1:23">
      <c r="A98" s="18"/>
      <c r="B98" s="16"/>
      <c r="C98" s="16"/>
      <c r="D98" s="27" t="s">
        <v>85</v>
      </c>
      <c r="E98" s="27">
        <f>383.18*3</f>
        <v>1149.54</v>
      </c>
      <c r="F98" s="65"/>
      <c r="G98" s="65"/>
      <c r="H98" s="65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35"/>
      <c r="U98" s="35"/>
      <c r="V98" s="58"/>
      <c r="W98" s="81"/>
    </row>
    <row r="99" ht="25" customHeight="1" spans="1:23">
      <c r="A99" s="18"/>
      <c r="B99" s="16"/>
      <c r="C99" s="16"/>
      <c r="D99" s="27" t="s">
        <v>86</v>
      </c>
      <c r="E99" s="27">
        <f>277.67*3</f>
        <v>833.01</v>
      </c>
      <c r="F99" s="65"/>
      <c r="G99" s="65"/>
      <c r="H99" s="65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35"/>
      <c r="U99" s="35"/>
      <c r="V99" s="58"/>
      <c r="W99" s="81"/>
    </row>
    <row r="100" ht="25" customHeight="1" spans="1:23">
      <c r="A100" s="18"/>
      <c r="B100" s="16"/>
      <c r="C100" s="16"/>
      <c r="D100" s="27" t="s">
        <v>51</v>
      </c>
      <c r="E100" s="27">
        <v>86.43</v>
      </c>
      <c r="F100" s="65"/>
      <c r="G100" s="65"/>
      <c r="H100" s="65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35"/>
      <c r="U100" s="35"/>
      <c r="V100" s="58"/>
      <c r="W100" s="81"/>
    </row>
    <row r="101" ht="25" customHeight="1" spans="1:23">
      <c r="A101" s="18"/>
      <c r="B101" s="16"/>
      <c r="C101" s="16"/>
      <c r="D101" s="27" t="s">
        <v>50</v>
      </c>
      <c r="E101" s="27">
        <v>606.4</v>
      </c>
      <c r="F101" s="65"/>
      <c r="G101" s="65"/>
      <c r="H101" s="65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35"/>
      <c r="U101" s="35"/>
      <c r="V101" s="58"/>
      <c r="W101" s="81"/>
    </row>
    <row r="102" ht="25" customHeight="1" spans="1:23">
      <c r="A102" s="18"/>
      <c r="B102" s="16"/>
      <c r="C102" s="16"/>
      <c r="D102" s="27" t="s">
        <v>87</v>
      </c>
      <c r="E102" s="27">
        <v>868.55</v>
      </c>
      <c r="F102" s="65"/>
      <c r="G102" s="65"/>
      <c r="H102" s="65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35"/>
      <c r="U102" s="35"/>
      <c r="V102" s="58"/>
      <c r="W102" s="81"/>
    </row>
    <row r="103" ht="25" customHeight="1" spans="1:23">
      <c r="A103" s="18"/>
      <c r="B103" s="16"/>
      <c r="C103" s="16"/>
      <c r="D103" s="27" t="s">
        <v>79</v>
      </c>
      <c r="E103" s="27">
        <v>209.38</v>
      </c>
      <c r="F103" s="66"/>
      <c r="G103" s="66"/>
      <c r="H103" s="66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35"/>
      <c r="U103" s="35"/>
      <c r="V103" s="58"/>
      <c r="W103" s="59"/>
    </row>
    <row r="104" ht="25" customHeight="1" spans="1:23">
      <c r="A104" s="18"/>
      <c r="B104" s="16"/>
      <c r="C104" s="16"/>
      <c r="D104" s="39" t="s">
        <v>53</v>
      </c>
      <c r="E104" s="27">
        <v>1071.53</v>
      </c>
      <c r="F104" s="23">
        <f>1071.53/100*15*0.855*0.6*0.334*0.82*1.2</f>
        <v>27.099078565176</v>
      </c>
      <c r="G104" s="23">
        <f>E104/100*15*0.855*0.6*0.334*0.08</f>
        <v>2.20317711912</v>
      </c>
      <c r="H104" s="23">
        <f>E104/100*15*0.855*0.6*0.334*0.08</f>
        <v>2.20317711912</v>
      </c>
      <c r="I104" s="23"/>
      <c r="J104" s="23"/>
      <c r="K104" s="23">
        <f>1071.53/100*15*0.855*0.6*0.388*0.08+1071.53/100*15*0.855*0.6*0.388*0.8*1.2*0.15</f>
        <v>7.166262341952</v>
      </c>
      <c r="L104" s="23">
        <f>1071.53/100*15*0.855*0.6*0.388*0.08</f>
        <v>2.55937940784</v>
      </c>
      <c r="M104" s="23">
        <f>1071.53/100*15*0.855*0.6*0.388*0.8*1.2*0.85</f>
        <v>26.105669959968</v>
      </c>
      <c r="N104" s="23"/>
      <c r="O104" s="23">
        <f>1071.53/100*15*0.855*0.6*0.13*0.82*1.2</f>
        <v>10.54754554932</v>
      </c>
      <c r="P104" s="23">
        <f>1071.53/100*15*0.855*0.6*0.13*0.08</f>
        <v>0.8575240284</v>
      </c>
      <c r="Q104" s="23">
        <f>1071.53/100*15*0.855*0.6*0.13*0.08</f>
        <v>0.8575240284</v>
      </c>
      <c r="R104" s="35">
        <f>1071.53/100*15*0.855*0.6*0.147*0.82*0.2*1.2</f>
        <v>2.3853679934616</v>
      </c>
      <c r="S104" s="23">
        <f>1071.53/100*15*0.855*0.6*0.147*0.08</f>
        <v>0.96966178596</v>
      </c>
      <c r="T104" s="23">
        <f>1071.53/100*15*0.855*0.6*0.147*0.08</f>
        <v>0.96966178596</v>
      </c>
      <c r="U104" s="35">
        <f>1071.53/100*15*0.855*0.6*0.147*0.82*0.8*1.2</f>
        <v>9.5414719738464</v>
      </c>
      <c r="V104" s="58"/>
      <c r="W104" s="57" t="s">
        <v>58</v>
      </c>
    </row>
    <row r="105" ht="25" customHeight="1" spans="1:23">
      <c r="A105" s="14">
        <v>17</v>
      </c>
      <c r="B105" s="16"/>
      <c r="C105" s="16" t="s">
        <v>88</v>
      </c>
      <c r="D105" s="26" t="s">
        <v>47</v>
      </c>
      <c r="E105" s="27">
        <v>1935.69</v>
      </c>
      <c r="F105" s="23">
        <f>E105/100*15*0.145*0.7*0.43*0.82*0.3</f>
        <v>3.117429712845</v>
      </c>
      <c r="G105" s="23">
        <f>E105/100*15*0.145*0.7*0.43*0.08*0.3</f>
        <v>0.30413948418</v>
      </c>
      <c r="H105" s="23">
        <f>E105/100*15*0.145*0.7*0.43*0.08*0.3</f>
        <v>0.30413948418</v>
      </c>
      <c r="I105" s="23"/>
      <c r="J105" s="23"/>
      <c r="K105" s="23">
        <f>863.4/100*15*0.145*0.7*0.04*0.82</f>
        <v>0.431164692</v>
      </c>
      <c r="L105" s="23"/>
      <c r="M105" s="23"/>
      <c r="N105" s="23"/>
      <c r="O105" s="23">
        <f>E105/100*15*0.145*0.7*0.36*0.08*0.6</f>
        <v>0.50925681072</v>
      </c>
      <c r="P105" s="23">
        <f>E105/100*15*0.145*0.7*0.36*0.08*0.6</f>
        <v>0.50925681072</v>
      </c>
      <c r="Q105" s="23">
        <f>E105/100*15*0.145*0.7*0.36*0.82*0.6</f>
        <v>5.21988230988</v>
      </c>
      <c r="R105" s="23">
        <f>E105/100*15*0.145*0.7*0.17*0.82*0.3</f>
        <v>1.232472212055</v>
      </c>
      <c r="S105" s="23">
        <f>E105/100*15*0.145*0.7*0.17*0.08*0.3</f>
        <v>0.12024119142</v>
      </c>
      <c r="T105" s="23">
        <f>E105/100*15*0.145*0.7*0.17*0.08*0.3</f>
        <v>0.12024119142</v>
      </c>
      <c r="U105" s="35"/>
      <c r="V105" s="58"/>
      <c r="W105" s="54"/>
    </row>
    <row r="106" ht="24" customHeight="1" spans="1:23">
      <c r="A106" s="18"/>
      <c r="B106" s="16"/>
      <c r="C106" s="16"/>
      <c r="D106" s="27" t="s">
        <v>32</v>
      </c>
      <c r="E106" s="27">
        <f>247.38+240.24+24.88</f>
        <v>512.5</v>
      </c>
      <c r="F106" s="64">
        <f>E105/100*15*0.855*0.6*0.334*0.8*0.3</f>
        <v>11.93993985528</v>
      </c>
      <c r="G106" s="64">
        <f>E105/100*15*0.855*0.6*0.334*0.08*0.3</f>
        <v>1.193993985528</v>
      </c>
      <c r="H106" s="64">
        <f>E105/100*15*0.855*0.6*0.334*0.08*0.3</f>
        <v>1.193993985528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35"/>
      <c r="U106" s="35"/>
      <c r="V106" s="58"/>
      <c r="W106" s="80" t="s">
        <v>74</v>
      </c>
    </row>
    <row r="107" ht="25" customHeight="1" spans="1:23">
      <c r="A107" s="18"/>
      <c r="B107" s="16"/>
      <c r="C107" s="16"/>
      <c r="D107" s="27" t="s">
        <v>89</v>
      </c>
      <c r="E107" s="27">
        <f>204.09*2</f>
        <v>408.18</v>
      </c>
      <c r="F107" s="65"/>
      <c r="G107" s="65"/>
      <c r="H107" s="6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58"/>
      <c r="W107" s="81"/>
    </row>
    <row r="108" ht="25" customHeight="1" spans="1:23">
      <c r="A108" s="18"/>
      <c r="B108" s="16"/>
      <c r="C108" s="16"/>
      <c r="D108" s="27" t="s">
        <v>90</v>
      </c>
      <c r="E108" s="27">
        <f>248.88*2+24.88</f>
        <v>522.64</v>
      </c>
      <c r="F108" s="65"/>
      <c r="G108" s="65"/>
      <c r="H108" s="6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58"/>
      <c r="W108" s="81"/>
    </row>
    <row r="109" ht="25" customHeight="1" spans="1:23">
      <c r="A109" s="18"/>
      <c r="B109" s="16"/>
      <c r="C109" s="16"/>
      <c r="D109" s="27" t="s">
        <v>51</v>
      </c>
      <c r="E109" s="27">
        <v>98.96</v>
      </c>
      <c r="F109" s="65"/>
      <c r="G109" s="65"/>
      <c r="H109" s="6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58"/>
      <c r="W109" s="81"/>
    </row>
    <row r="110" ht="25" customHeight="1" spans="1:23">
      <c r="A110" s="18"/>
      <c r="B110" s="16"/>
      <c r="C110" s="16"/>
      <c r="D110" s="27" t="s">
        <v>50</v>
      </c>
      <c r="E110" s="27">
        <v>307.77</v>
      </c>
      <c r="F110" s="65"/>
      <c r="G110" s="65"/>
      <c r="H110" s="6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58"/>
      <c r="W110" s="81"/>
    </row>
    <row r="111" ht="25" customHeight="1" spans="1:23">
      <c r="A111" s="18"/>
      <c r="B111" s="16"/>
      <c r="C111" s="16"/>
      <c r="D111" s="27" t="s">
        <v>79</v>
      </c>
      <c r="E111" s="27">
        <v>85.64</v>
      </c>
      <c r="F111" s="66"/>
      <c r="G111" s="66"/>
      <c r="H111" s="66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58"/>
      <c r="W111" s="59"/>
    </row>
    <row r="112" ht="25" customHeight="1" spans="1:23">
      <c r="A112" s="18"/>
      <c r="B112" s="16"/>
      <c r="C112" s="16"/>
      <c r="D112" s="39" t="s">
        <v>53</v>
      </c>
      <c r="E112" s="41">
        <v>863.4</v>
      </c>
      <c r="F112" s="35">
        <f>863.4/100*15*0.855*0.6*0.334*0.82*0.1+863.4/100*15*0.855*0.6*0.334*0.8*1.2*0.15</f>
        <v>5.01505354692</v>
      </c>
      <c r="G112" s="35">
        <f>863.4/100*15*0.855*0.6*0.334*0.08</f>
        <v>1.7752401936</v>
      </c>
      <c r="H112" s="35">
        <f>863.4/100*15*0.855*0.6*0.334*0.8*1.2</f>
        <v>21.3028823232</v>
      </c>
      <c r="I112" s="35"/>
      <c r="J112" s="35"/>
      <c r="K112" s="35">
        <f>863.4/100*15*0.855*0.6*0.388*0.8*1.2</f>
        <v>24.7470609024</v>
      </c>
      <c r="L112" s="35">
        <f>863.4/100*15*0.855*0.6*0.388*0.08</f>
        <v>2.0622550752</v>
      </c>
      <c r="M112" s="35">
        <f>863.4/100*15*0.855*0.6*0.388*0.08</f>
        <v>2.0622550752</v>
      </c>
      <c r="N112" s="35"/>
      <c r="O112" s="35">
        <f>863.4/100*15*0.855*0.6*0.13*0.08</f>
        <v>0.690961752</v>
      </c>
      <c r="P112" s="35">
        <f>863.4/100*15*0.855*0.6*0.13*0.82*1.2</f>
        <v>8.4988295496</v>
      </c>
      <c r="Q112" s="35">
        <f>863.4/100*15*0.855*0.6*0.13*0.08</f>
        <v>0.690961752</v>
      </c>
      <c r="R112" s="35">
        <f>863.4/100*15*0.855*0.6*0.147*0.82*1.2</f>
        <v>9.61021495224</v>
      </c>
      <c r="S112" s="35">
        <f>863.4/100*15*0.855*0.6*0.147*0.08</f>
        <v>0.7813182888</v>
      </c>
      <c r="T112" s="35">
        <f>863.4/100*15*0.855*0.6*0.147*0.08</f>
        <v>0.7813182888</v>
      </c>
      <c r="U112" s="35"/>
      <c r="V112" s="58"/>
      <c r="W112" s="57" t="s">
        <v>58</v>
      </c>
    </row>
    <row r="113" ht="30" customHeight="1" spans="1:23">
      <c r="A113" s="72">
        <v>21</v>
      </c>
      <c r="B113" s="16"/>
      <c r="C113" s="16"/>
      <c r="D113" s="26" t="s">
        <v>91</v>
      </c>
      <c r="E113" s="41"/>
      <c r="F113" s="35">
        <f>D120*0.075</f>
        <v>83.7139623908046</v>
      </c>
      <c r="G113" s="35"/>
      <c r="H113" s="35"/>
      <c r="I113" s="35"/>
      <c r="J113" s="35"/>
      <c r="K113" s="35"/>
      <c r="L113" s="35"/>
      <c r="M113" s="35"/>
      <c r="N113" s="35"/>
      <c r="O113" s="35"/>
      <c r="P113" s="73"/>
      <c r="Q113" s="73"/>
      <c r="R113" s="73"/>
      <c r="S113" s="73"/>
      <c r="T113" s="73"/>
      <c r="U113" s="73"/>
      <c r="V113" s="58"/>
      <c r="W113" s="57"/>
    </row>
    <row r="114" ht="30" customHeight="1" spans="1:23">
      <c r="A114" s="72">
        <v>22</v>
      </c>
      <c r="B114" s="16"/>
      <c r="C114" s="16"/>
      <c r="D114" s="73" t="s">
        <v>92</v>
      </c>
      <c r="E114" s="74"/>
      <c r="F114" s="74"/>
      <c r="G114" s="74"/>
      <c r="H114" s="74"/>
      <c r="I114" s="74"/>
      <c r="J114" s="45"/>
      <c r="K114" s="45"/>
      <c r="L114" s="45"/>
      <c r="M114" s="45">
        <f>D121*0.075</f>
        <v>65.9403923716548</v>
      </c>
      <c r="N114" s="74"/>
      <c r="O114" s="73"/>
      <c r="P114" s="73"/>
      <c r="Q114" s="73"/>
      <c r="R114" s="73"/>
      <c r="S114" s="73"/>
      <c r="T114" s="73"/>
      <c r="U114" s="73"/>
      <c r="V114" s="45"/>
      <c r="W114" s="54"/>
    </row>
    <row r="115" ht="30" customHeight="1" spans="1:23">
      <c r="A115" s="72">
        <v>23</v>
      </c>
      <c r="B115" s="16"/>
      <c r="C115" s="16"/>
      <c r="D115" s="73" t="s">
        <v>93</v>
      </c>
      <c r="E115" s="74"/>
      <c r="F115" s="74"/>
      <c r="G115" s="74"/>
      <c r="H115" s="74"/>
      <c r="I115" s="74"/>
      <c r="J115" s="74"/>
      <c r="K115" s="74"/>
      <c r="L115" s="74"/>
      <c r="M115" s="74"/>
      <c r="N115" s="45"/>
      <c r="O115" s="45"/>
      <c r="P115" s="45"/>
      <c r="Q115" s="45">
        <f>D122*0.075</f>
        <v>38.3602978541422</v>
      </c>
      <c r="R115" s="73"/>
      <c r="S115" s="73"/>
      <c r="T115" s="73"/>
      <c r="U115" s="73"/>
      <c r="V115" s="45"/>
      <c r="W115" s="54"/>
    </row>
    <row r="116" ht="30" customHeight="1" spans="1:23">
      <c r="A116" s="72">
        <v>24</v>
      </c>
      <c r="B116" s="16"/>
      <c r="C116" s="16"/>
      <c r="D116" s="73" t="s">
        <v>94</v>
      </c>
      <c r="E116" s="74"/>
      <c r="F116" s="74"/>
      <c r="G116" s="74"/>
      <c r="H116" s="74"/>
      <c r="I116" s="74"/>
      <c r="J116" s="74"/>
      <c r="K116" s="74"/>
      <c r="L116" s="74"/>
      <c r="M116" s="74"/>
      <c r="N116" s="45"/>
      <c r="O116" s="45"/>
      <c r="P116" s="73"/>
      <c r="Q116" s="73"/>
      <c r="R116" s="45">
        <f>D123*0.075</f>
        <v>36.2944728965206</v>
      </c>
      <c r="S116" s="74"/>
      <c r="T116" s="74"/>
      <c r="U116" s="74"/>
      <c r="V116" s="45"/>
      <c r="W116" s="54"/>
    </row>
    <row r="117" ht="30" customHeight="1" spans="1:23">
      <c r="A117" s="72">
        <v>25</v>
      </c>
      <c r="B117" s="71"/>
      <c r="C117" s="16"/>
      <c r="D117" s="73" t="s">
        <v>95</v>
      </c>
      <c r="E117" s="75"/>
      <c r="F117" s="75"/>
      <c r="G117" s="75"/>
      <c r="H117" s="75"/>
      <c r="I117" s="75"/>
      <c r="J117" s="75"/>
      <c r="K117" s="75">
        <f>(C124+D124)*0.06</f>
        <v>225.118283573601</v>
      </c>
      <c r="L117" s="75"/>
      <c r="M117" s="75"/>
      <c r="N117" s="75"/>
      <c r="O117" s="75"/>
      <c r="P117" s="75"/>
      <c r="Q117" s="75"/>
      <c r="R117" s="82"/>
      <c r="S117" s="63"/>
      <c r="T117" s="63"/>
      <c r="U117" s="63"/>
      <c r="V117" s="45"/>
      <c r="W117" s="54"/>
    </row>
    <row r="118" ht="30" customHeight="1" spans="1:23">
      <c r="A118" s="70">
        <v>26</v>
      </c>
      <c r="B118" s="16" t="s">
        <v>96</v>
      </c>
      <c r="C118" s="70"/>
      <c r="D118" s="70"/>
      <c r="E118" s="23"/>
      <c r="F118" s="23">
        <f>SUM(F14:F112)*0.2</f>
        <v>108.942836731105</v>
      </c>
      <c r="G118" s="23">
        <f>SUM(G14:G112)*0.2</f>
        <v>37.1374928266594</v>
      </c>
      <c r="H118" s="23">
        <f>SUM(H14:H112)*0.2</f>
        <v>61.1528139371592</v>
      </c>
      <c r="I118" s="23">
        <f>SUM(I14:I112)*0.2</f>
        <v>16.0040895472224</v>
      </c>
      <c r="J118" s="23"/>
      <c r="K118" s="23">
        <f t="shared" ref="K118:U118" si="28">SUM(K14:K112)*0.2</f>
        <v>116.535608209128</v>
      </c>
      <c r="L118" s="23">
        <f t="shared" si="28"/>
        <v>12.8417671480896</v>
      </c>
      <c r="M118" s="23">
        <f t="shared" si="28"/>
        <v>43.8087361081872</v>
      </c>
      <c r="N118" s="23"/>
      <c r="O118" s="23">
        <f t="shared" si="28"/>
        <v>27.1724789121525</v>
      </c>
      <c r="P118" s="23">
        <f t="shared" si="28"/>
        <v>27.7796217179232</v>
      </c>
      <c r="Q118" s="23">
        <f t="shared" si="28"/>
        <v>47.3420269809702</v>
      </c>
      <c r="R118" s="23">
        <f t="shared" si="28"/>
        <v>42.3933896465598</v>
      </c>
      <c r="S118" s="23">
        <f t="shared" si="28"/>
        <v>7.34275427792976</v>
      </c>
      <c r="T118" s="23">
        <f t="shared" si="28"/>
        <v>7.34275427792976</v>
      </c>
      <c r="U118" s="23">
        <f t="shared" si="28"/>
        <v>39.7063628549691</v>
      </c>
      <c r="V118" s="66"/>
      <c r="W118" s="23" t="s">
        <v>97</v>
      </c>
    </row>
    <row r="119" ht="30" customHeight="1" spans="1:23">
      <c r="A119" s="76" t="s">
        <v>98</v>
      </c>
      <c r="B119" s="77"/>
      <c r="C119" s="70"/>
      <c r="D119" s="70"/>
      <c r="E119" s="78"/>
      <c r="F119" s="78">
        <f>SUM(F5:F117)+F118</f>
        <v>840.643222815832</v>
      </c>
      <c r="G119" s="78">
        <f>SUM(G5:G117)+G118</f>
        <v>222.824956959956</v>
      </c>
      <c r="H119" s="78">
        <f>SUM(H5:H117)+H118</f>
        <v>381.324256422955</v>
      </c>
      <c r="I119" s="78">
        <f>SUM(I5:I117)+I118</f>
        <v>115.444854067334</v>
      </c>
      <c r="J119" s="78">
        <f>SUM(J5:J117)+J118</f>
        <v>6.96933072</v>
      </c>
      <c r="K119" s="78">
        <f t="shared" ref="K119:S119" si="29">SUM(K5:K117)+K118</f>
        <v>945.942992028369</v>
      </c>
      <c r="L119" s="78">
        <f t="shared" si="29"/>
        <v>77.0506028885376</v>
      </c>
      <c r="M119" s="78">
        <f t="shared" si="29"/>
        <v>328.792809020778</v>
      </c>
      <c r="N119" s="78"/>
      <c r="O119" s="78">
        <f t="shared" si="29"/>
        <v>163.034873472915</v>
      </c>
      <c r="P119" s="78">
        <f t="shared" si="29"/>
        <v>166.677730307539</v>
      </c>
      <c r="Q119" s="78">
        <f t="shared" si="29"/>
        <v>322.412459739963</v>
      </c>
      <c r="R119" s="78">
        <f t="shared" si="29"/>
        <v>290.654810775879</v>
      </c>
      <c r="S119" s="78"/>
      <c r="T119" s="78"/>
      <c r="U119" s="78"/>
      <c r="V119" s="83">
        <f>SUM(F119:U119)</f>
        <v>3861.77289922006</v>
      </c>
      <c r="W119" s="78"/>
    </row>
    <row r="120" ht="30" customHeight="1" spans="1:23">
      <c r="A120" s="70" t="s">
        <v>99</v>
      </c>
      <c r="B120" s="70"/>
      <c r="C120" s="70"/>
      <c r="D120" s="35">
        <f>SUM(F14:I112)</f>
        <v>1116.18616521073</v>
      </c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84"/>
    </row>
    <row r="121" ht="30" customHeight="1" spans="1:23">
      <c r="A121" s="70" t="s">
        <v>100</v>
      </c>
      <c r="B121" s="70"/>
      <c r="C121" s="70"/>
      <c r="D121" s="35">
        <f>SUM(K14:N112)</f>
        <v>879.205231622064</v>
      </c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84"/>
    </row>
    <row r="122" ht="30" customHeight="1" spans="1:23">
      <c r="A122" s="70" t="s">
        <v>101</v>
      </c>
      <c r="B122" s="70"/>
      <c r="C122" s="70"/>
      <c r="D122" s="35">
        <f>SUM(O14:Q112)</f>
        <v>511.47063805523</v>
      </c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84"/>
    </row>
    <row r="123" ht="30" customHeight="1" spans="1:23">
      <c r="A123" s="70" t="s">
        <v>102</v>
      </c>
      <c r="B123" s="70"/>
      <c r="C123" s="70"/>
      <c r="D123" s="35">
        <f>SUM(R14:U112)</f>
        <v>483.926305286942</v>
      </c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84"/>
    </row>
    <row r="124" ht="30" customHeight="1" spans="1:23">
      <c r="A124" s="70" t="s">
        <v>103</v>
      </c>
      <c r="B124" s="70"/>
      <c r="C124" s="35">
        <f>SUM(F118:U118)</f>
        <v>595.502733175985</v>
      </c>
      <c r="D124" s="35">
        <f>SUM(F5:U112)</f>
        <v>3156.46865971736</v>
      </c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84"/>
    </row>
    <row r="130" ht="17" customHeight="1" spans="9:9">
      <c r="I130" s="85"/>
    </row>
  </sheetData>
  <mergeCells count="88">
    <mergeCell ref="A1:W1"/>
    <mergeCell ref="F2:U2"/>
    <mergeCell ref="F3:J3"/>
    <mergeCell ref="K3:N3"/>
    <mergeCell ref="O3:Q3"/>
    <mergeCell ref="R3:U3"/>
    <mergeCell ref="A119:B119"/>
    <mergeCell ref="A120:B120"/>
    <mergeCell ref="F120:W120"/>
    <mergeCell ref="A121:B121"/>
    <mergeCell ref="F121:W121"/>
    <mergeCell ref="A122:B122"/>
    <mergeCell ref="F122:W122"/>
    <mergeCell ref="A123:B123"/>
    <mergeCell ref="F123:W123"/>
    <mergeCell ref="A124:B124"/>
    <mergeCell ref="F124:W124"/>
    <mergeCell ref="A2:A4"/>
    <mergeCell ref="A5:A13"/>
    <mergeCell ref="A14:A19"/>
    <mergeCell ref="A20:A29"/>
    <mergeCell ref="A30:A36"/>
    <mergeCell ref="A37:A43"/>
    <mergeCell ref="A44:A45"/>
    <mergeCell ref="A46:A50"/>
    <mergeCell ref="A51:A54"/>
    <mergeCell ref="A55:A59"/>
    <mergeCell ref="A60:A63"/>
    <mergeCell ref="A64:A70"/>
    <mergeCell ref="A71:A76"/>
    <mergeCell ref="A77:A78"/>
    <mergeCell ref="A82:A87"/>
    <mergeCell ref="A88:A93"/>
    <mergeCell ref="A94:A104"/>
    <mergeCell ref="A105:A112"/>
    <mergeCell ref="B2:B4"/>
    <mergeCell ref="B5:B13"/>
    <mergeCell ref="B14:B116"/>
    <mergeCell ref="C2:C4"/>
    <mergeCell ref="C14:C19"/>
    <mergeCell ref="C20:C29"/>
    <mergeCell ref="C30:C36"/>
    <mergeCell ref="C37:C43"/>
    <mergeCell ref="C44:C45"/>
    <mergeCell ref="C46:C50"/>
    <mergeCell ref="C51:C54"/>
    <mergeCell ref="C55:C59"/>
    <mergeCell ref="C60:C63"/>
    <mergeCell ref="C64:C70"/>
    <mergeCell ref="C71:C76"/>
    <mergeCell ref="C77:C81"/>
    <mergeCell ref="C82:C87"/>
    <mergeCell ref="C88:C93"/>
    <mergeCell ref="C94:C104"/>
    <mergeCell ref="C105:C112"/>
    <mergeCell ref="D2:D4"/>
    <mergeCell ref="E2:E4"/>
    <mergeCell ref="F65:F69"/>
    <mergeCell ref="F72:F75"/>
    <mergeCell ref="F78:F81"/>
    <mergeCell ref="F83:F86"/>
    <mergeCell ref="F89:F92"/>
    <mergeCell ref="F95:F103"/>
    <mergeCell ref="F106:F111"/>
    <mergeCell ref="G65:G69"/>
    <mergeCell ref="G72:G75"/>
    <mergeCell ref="G78:G81"/>
    <mergeCell ref="G83:G86"/>
    <mergeCell ref="G89:G92"/>
    <mergeCell ref="G95:G103"/>
    <mergeCell ref="G106:G111"/>
    <mergeCell ref="H65:H69"/>
    <mergeCell ref="H72:H75"/>
    <mergeCell ref="H78:H81"/>
    <mergeCell ref="H83:H86"/>
    <mergeCell ref="H89:H92"/>
    <mergeCell ref="H95:H103"/>
    <mergeCell ref="H106:H111"/>
    <mergeCell ref="K65:K69"/>
    <mergeCell ref="K72:K75"/>
    <mergeCell ref="V2:V4"/>
    <mergeCell ref="W2:W4"/>
    <mergeCell ref="W65:W69"/>
    <mergeCell ref="W72:W75"/>
    <mergeCell ref="W78:W81"/>
    <mergeCell ref="W83:W86"/>
    <mergeCell ref="W95:W103"/>
    <mergeCell ref="W106:W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刘扬</cp:lastModifiedBy>
  <cp:revision>1</cp:revision>
  <dcterms:created xsi:type="dcterms:W3CDTF">2014-04-18T07:33:00Z</dcterms:created>
  <cp:lastPrinted>2020-06-12T06:50:00Z</cp:lastPrinted>
  <dcterms:modified xsi:type="dcterms:W3CDTF">2024-11-15T08:48:10Z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6DCA19DD46104CB6AA0CA33142185702</vt:lpwstr>
  </property>
</Properties>
</file>