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273"/>
  </bookViews>
  <sheets>
    <sheet name="樟吉改扩建项目房建施工图（施工图）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<sst xmlns="http://schemas.openxmlformats.org/spreadsheetml/2006/main" count="206" uniqueCount="124">
  <si>
    <t>樟吉高速改扩建项目——房建施工图设计工日计算表（施工图）</t>
  </si>
  <si>
    <t>序号</t>
  </si>
  <si>
    <t>设计阶段</t>
  </si>
  <si>
    <t>子项名称</t>
  </si>
  <si>
    <t>单体名称</t>
  </si>
  <si>
    <r>
      <rPr>
        <b/>
        <sz val="11"/>
        <color rgb="FF000000"/>
        <rFont val="宋体"/>
        <charset val="134"/>
      </rPr>
      <t>面积（m</t>
    </r>
    <r>
      <rPr>
        <b/>
        <vertAlign val="superscript"/>
        <sz val="11"/>
        <color rgb="FF000000"/>
        <rFont val="宋体"/>
        <charset val="134"/>
      </rPr>
      <t>2</t>
    </r>
    <r>
      <rPr>
        <b/>
        <sz val="11"/>
        <color rgb="FF000000"/>
        <rFont val="宋体"/>
        <charset val="134"/>
      </rPr>
      <t>)</t>
    </r>
  </si>
  <si>
    <t>设计工日</t>
  </si>
  <si>
    <t>总工日</t>
  </si>
  <si>
    <t>备注</t>
  </si>
  <si>
    <t>建筑专业</t>
  </si>
  <si>
    <t>结构专业</t>
  </si>
  <si>
    <t>给排水专业</t>
  </si>
  <si>
    <t>电气专业</t>
  </si>
  <si>
    <t>周予进</t>
  </si>
  <si>
    <t>胡启力</t>
  </si>
  <si>
    <t>陶澍</t>
  </si>
  <si>
    <t>刘慧彬</t>
  </si>
  <si>
    <t>尹敏威</t>
  </si>
  <si>
    <t>肖超群</t>
  </si>
  <si>
    <t>张瑞琪</t>
  </si>
  <si>
    <t>刘国印</t>
  </si>
  <si>
    <t>胡冬清</t>
  </si>
  <si>
    <t>尚红伟</t>
  </si>
  <si>
    <t>韩名贤</t>
  </si>
  <si>
    <t>李钊臣</t>
  </si>
  <si>
    <t>外委</t>
  </si>
  <si>
    <t>邓磊</t>
  </si>
  <si>
    <t>刘扬</t>
  </si>
  <si>
    <t>魏强</t>
  </si>
  <si>
    <t>熊高亮</t>
  </si>
  <si>
    <t>朱凤琪</t>
  </si>
  <si>
    <t>梁翾翾</t>
  </si>
  <si>
    <t>温春辉</t>
  </si>
  <si>
    <t>郭勤</t>
  </si>
  <si>
    <t>周金民</t>
  </si>
  <si>
    <t>左淦龙</t>
  </si>
  <si>
    <t>龚霏</t>
  </si>
  <si>
    <t>施设方案</t>
  </si>
  <si>
    <t>南安清障停车场</t>
  </si>
  <si>
    <t>峡江站办合址</t>
  </si>
  <si>
    <t>吉水收费大棚</t>
  </si>
  <si>
    <t>吉水阳光房</t>
  </si>
  <si>
    <t>吉安南大棚改扩建</t>
  </si>
  <si>
    <t>峡江服务区</t>
  </si>
  <si>
    <t>收费大棚立面方案（补）</t>
  </si>
  <si>
    <t>所站、服务区保通</t>
  </si>
  <si>
    <t>改为现金结算</t>
  </si>
  <si>
    <t>施工图</t>
  </si>
  <si>
    <t xml:space="preserve">南安收费站
</t>
  </si>
  <si>
    <t>站务房</t>
  </si>
  <si>
    <t>办公楼（北入）</t>
  </si>
  <si>
    <t>宿舍楼（北入）</t>
  </si>
  <si>
    <t xml:space="preserve">  </t>
  </si>
  <si>
    <t>食堂</t>
  </si>
  <si>
    <t>设备房</t>
  </si>
  <si>
    <t>设备房系数1.3</t>
  </si>
  <si>
    <t>收费大棚</t>
  </si>
  <si>
    <t>总图</t>
  </si>
  <si>
    <t xml:space="preserve">峡江收费站
</t>
  </si>
  <si>
    <t>办公楼(南入）</t>
  </si>
  <si>
    <t>宿舍楼(南入）</t>
  </si>
  <si>
    <t>门卫</t>
  </si>
  <si>
    <t>巴邱养护站综合楼</t>
  </si>
  <si>
    <t>巴邱养护站食堂</t>
  </si>
  <si>
    <t>巴邱养护站设备库</t>
  </si>
  <si>
    <t xml:space="preserve">盘谷收费站
</t>
  </si>
  <si>
    <t>办公楼（南入）</t>
  </si>
  <si>
    <t>宿舍楼（南入）</t>
  </si>
  <si>
    <t xml:space="preserve">吉水收费站
</t>
  </si>
  <si>
    <t>阳光房</t>
  </si>
  <si>
    <t xml:space="preserve">吉安北收费站
</t>
  </si>
  <si>
    <t>（系数表定稿）大棚建筑、结构专业系数1.2</t>
  </si>
  <si>
    <t>路政综合楼</t>
  </si>
  <si>
    <t>路政设备房</t>
  </si>
  <si>
    <t>路政门卫</t>
  </si>
  <si>
    <t>兴桥养护站</t>
  </si>
  <si>
    <t>设备库</t>
  </si>
  <si>
    <t xml:space="preserve">吉安南收费站
</t>
  </si>
  <si>
    <t>交警综合楼</t>
  </si>
  <si>
    <t>应急指挥中心管理用房</t>
  </si>
  <si>
    <t>应急指挥中心食堂</t>
  </si>
  <si>
    <t>应急指挥中心设备房</t>
  </si>
  <si>
    <t xml:space="preserve">吉安西管理中心
</t>
  </si>
  <si>
    <t>吉安西管理中心食堂扩建</t>
  </si>
  <si>
    <t>改扩建系数1.3</t>
  </si>
  <si>
    <t>东区</t>
  </si>
  <si>
    <t>综合楼</t>
  </si>
  <si>
    <t>（系数表定稿）综合楼各专业系数1.2</t>
  </si>
  <si>
    <t>办公楼</t>
  </si>
  <si>
    <t>维修车间</t>
  </si>
  <si>
    <t>西区</t>
  </si>
  <si>
    <t>警务执法室</t>
  </si>
  <si>
    <t>庐陵服务区</t>
  </si>
  <si>
    <t>（系数表定稿）综合楼建筑、结构专业系数1.2</t>
  </si>
  <si>
    <t>驿站</t>
  </si>
  <si>
    <t>老南安收费站
修缮</t>
  </si>
  <si>
    <t>修缮系数0.3</t>
  </si>
  <si>
    <t>宿舍楼</t>
  </si>
  <si>
    <t>车库</t>
  </si>
  <si>
    <t>停车棚</t>
  </si>
  <si>
    <t>站办楼</t>
  </si>
  <si>
    <t>泛光设计</t>
  </si>
  <si>
    <t>吉安南收费大棚</t>
  </si>
  <si>
    <t>申请</t>
  </si>
  <si>
    <t>大棚泛光亮化设计，申请现金结算另计</t>
  </si>
  <si>
    <t>吉安北收费大棚</t>
  </si>
  <si>
    <t>过渡板房</t>
  </si>
  <si>
    <t>套图</t>
  </si>
  <si>
    <t>图纸工日</t>
  </si>
  <si>
    <t>另计</t>
  </si>
  <si>
    <t>建筑专业负责人</t>
  </si>
  <si>
    <t>结构专业负责人</t>
  </si>
  <si>
    <t>给排水专业负责人</t>
  </si>
  <si>
    <t>电气专业负责人</t>
  </si>
  <si>
    <t>项目负责人</t>
  </si>
  <si>
    <t>合计</t>
  </si>
  <si>
    <r>
      <rPr>
        <sz val="11"/>
        <color rgb="FFFF0000"/>
        <rFont val="宋体"/>
        <charset val="134"/>
      </rPr>
      <t>施工图批复新建面积43285m</t>
    </r>
    <r>
      <rPr>
        <vertAlign val="superscript"/>
        <sz val="11"/>
        <color rgb="FFFF0000"/>
        <rFont val="宋体"/>
        <charset val="134"/>
      </rPr>
      <t>2</t>
    </r>
    <r>
      <rPr>
        <sz val="11"/>
        <color rgb="FFFF0000"/>
        <rFont val="宋体"/>
        <charset val="134"/>
      </rPr>
      <t>，不含收费大棚及修缮</t>
    </r>
  </si>
  <si>
    <t>建筑专业总工日：</t>
  </si>
  <si>
    <t>该工日含外委，仅用来计算专业负责人工日</t>
  </si>
  <si>
    <t>结构专业总工日：</t>
  </si>
  <si>
    <t>给排水专业总工日：</t>
  </si>
  <si>
    <t>电气专业总工日：</t>
  </si>
  <si>
    <t>项目总工日：</t>
  </si>
  <si>
    <t>该工日含外委，仅用来计算项目负责人工日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</si>
</sst>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;[Red]0.00"/>
    <numFmt numFmtId="177" formatCode="0.00_);[Red]\(0.00\)"/>
    <numFmt numFmtId="178" formatCode="0.00_ "/>
  </numFmts>
  <fonts count="34">
    <font>
      <sz val="11"/>
      <color indexed="8"/>
      <name val="宋体"/>
      <charset val="134"/>
    </font>
    <font>
      <sz val="11"/>
      <color rgb="FFFF0000"/>
      <name val="宋体"/>
      <charset val="134"/>
    </font>
    <font>
      <b/>
      <sz val="20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rgb="FF000000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vertAlign val="superscript"/>
      <sz val="11"/>
      <color rgb="FF000000"/>
      <name val="宋体"/>
      <charset val="134"/>
    </font>
    <font>
      <vertAlign val="superscript"/>
      <sz val="11"/>
      <color rgb="FFFF000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6C0D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4" borderId="5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0" applyNumberFormat="0" applyFill="0" applyAlignment="0" applyProtection="0">
      <alignment vertical="center"/>
    </xf>
    <xf numFmtId="0" fontId="19" fillId="0" borderId="60" applyNumberFormat="0" applyFill="0" applyAlignment="0" applyProtection="0">
      <alignment vertical="center"/>
    </xf>
    <xf numFmtId="0" fontId="20" fillId="0" borderId="6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5" borderId="62" applyNumberFormat="0" applyAlignment="0" applyProtection="0">
      <alignment vertical="center"/>
    </xf>
    <xf numFmtId="0" fontId="22" fillId="16" borderId="63" applyNumberFormat="0" applyAlignment="0" applyProtection="0">
      <alignment vertical="center"/>
    </xf>
    <xf numFmtId="0" fontId="23" fillId="16" borderId="62" applyNumberFormat="0" applyAlignment="0" applyProtection="0">
      <alignment vertical="center"/>
    </xf>
    <xf numFmtId="0" fontId="24" fillId="17" borderId="64" applyNumberFormat="0" applyAlignment="0" applyProtection="0">
      <alignment vertical="center"/>
    </xf>
    <xf numFmtId="0" fontId="25" fillId="0" borderId="65" applyNumberFormat="0" applyFill="0" applyAlignment="0" applyProtection="0">
      <alignment vertical="center"/>
    </xf>
    <xf numFmtId="0" fontId="26" fillId="0" borderId="66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</cellStyleXfs>
  <cellXfs count="22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6" fontId="1" fillId="0" borderId="13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76" fontId="1" fillId="0" borderId="16" xfId="0" applyNumberFormat="1" applyFont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4" borderId="13" xfId="0" applyFont="1" applyFill="1" applyBorder="1" applyAlignment="1">
      <alignment horizontal="left" vertical="center"/>
    </xf>
    <xf numFmtId="177" fontId="5" fillId="4" borderId="13" xfId="0" applyNumberFormat="1" applyFont="1" applyFill="1" applyBorder="1" applyAlignment="1">
      <alignment horizontal="center" vertical="center"/>
    </xf>
    <xf numFmtId="176" fontId="0" fillId="0" borderId="18" xfId="0" applyNumberFormat="1" applyFont="1" applyBorder="1" applyAlignment="1">
      <alignment horizontal="center" vertical="center"/>
    </xf>
    <xf numFmtId="176" fontId="0" fillId="0" borderId="19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4" borderId="13" xfId="0" applyFont="1" applyFill="1" applyBorder="1">
      <alignment vertical="center"/>
    </xf>
    <xf numFmtId="176" fontId="0" fillId="0" borderId="8" xfId="0" applyNumberFormat="1" applyFont="1" applyBorder="1" applyAlignment="1">
      <alignment horizontal="center" vertical="center"/>
    </xf>
    <xf numFmtId="176" fontId="0" fillId="0" borderId="16" xfId="0" applyNumberFormat="1" applyFont="1" applyBorder="1" applyAlignment="1">
      <alignment horizontal="center" vertical="center"/>
    </xf>
    <xf numFmtId="0" fontId="5" fillId="2" borderId="13" xfId="0" applyFont="1" applyFill="1" applyBorder="1">
      <alignment vertical="center"/>
    </xf>
    <xf numFmtId="177" fontId="5" fillId="2" borderId="13" xfId="0" applyNumberFormat="1" applyFont="1" applyFill="1" applyBorder="1" applyAlignment="1">
      <alignment horizontal="center" vertical="center"/>
    </xf>
    <xf numFmtId="176" fontId="0" fillId="2" borderId="8" xfId="0" applyNumberFormat="1" applyFont="1" applyFill="1" applyBorder="1" applyAlignment="1">
      <alignment horizontal="center" vertical="center"/>
    </xf>
    <xf numFmtId="176" fontId="0" fillId="2" borderId="16" xfId="0" applyNumberFormat="1" applyFont="1" applyFill="1" applyBorder="1" applyAlignment="1">
      <alignment horizontal="center" vertical="center"/>
    </xf>
    <xf numFmtId="0" fontId="5" fillId="5" borderId="13" xfId="0" applyFont="1" applyFill="1" applyBorder="1">
      <alignment vertical="center"/>
    </xf>
    <xf numFmtId="0" fontId="5" fillId="5" borderId="13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6" fillId="6" borderId="13" xfId="0" applyFont="1" applyFill="1" applyBorder="1" applyAlignment="1">
      <alignment vertical="center"/>
    </xf>
    <xf numFmtId="177" fontId="7" fillId="6" borderId="20" xfId="0" applyNumberFormat="1" applyFont="1" applyFill="1" applyBorder="1" applyAlignment="1">
      <alignment horizontal="center" vertical="center"/>
    </xf>
    <xf numFmtId="176" fontId="0" fillId="0" borderId="21" xfId="0" applyNumberFormat="1" applyFont="1" applyBorder="1" applyAlignment="1">
      <alignment horizontal="center" vertical="center"/>
    </xf>
    <xf numFmtId="176" fontId="0" fillId="0" borderId="11" xfId="0" applyNumberFormat="1" applyFont="1" applyBorder="1" applyAlignment="1">
      <alignment horizontal="center" vertical="center"/>
    </xf>
    <xf numFmtId="0" fontId="5" fillId="4" borderId="10" xfId="0" applyFont="1" applyFill="1" applyBorder="1" applyAlignment="1">
      <alignment horizontal="left" vertical="center"/>
    </xf>
    <xf numFmtId="177" fontId="5" fillId="4" borderId="10" xfId="0" applyNumberFormat="1" applyFont="1" applyFill="1" applyBorder="1" applyAlignment="1">
      <alignment horizontal="center" vertical="center"/>
    </xf>
    <xf numFmtId="176" fontId="0" fillId="0" borderId="22" xfId="0" applyNumberFormat="1" applyFont="1" applyBorder="1" applyAlignment="1">
      <alignment horizontal="center" vertical="center"/>
    </xf>
    <xf numFmtId="176" fontId="0" fillId="0" borderId="13" xfId="0" applyNumberFormat="1" applyFont="1" applyBorder="1" applyAlignment="1">
      <alignment horizontal="center" vertical="center"/>
    </xf>
    <xf numFmtId="176" fontId="0" fillId="2" borderId="22" xfId="0" applyNumberFormat="1" applyFont="1" applyFill="1" applyBorder="1" applyAlignment="1">
      <alignment horizontal="center" vertical="center"/>
    </xf>
    <xf numFmtId="176" fontId="0" fillId="2" borderId="13" xfId="0" applyNumberFormat="1" applyFont="1" applyFill="1" applyBorder="1" applyAlignment="1">
      <alignment horizontal="center" vertical="center"/>
    </xf>
    <xf numFmtId="0" fontId="5" fillId="0" borderId="13" xfId="0" applyFont="1" applyFill="1" applyBorder="1">
      <alignment vertical="center"/>
    </xf>
    <xf numFmtId="177" fontId="5" fillId="0" borderId="13" xfId="0" applyNumberFormat="1" applyFont="1" applyFill="1" applyBorder="1" applyAlignment="1">
      <alignment horizontal="center" vertical="center"/>
    </xf>
    <xf numFmtId="177" fontId="7" fillId="6" borderId="13" xfId="0" applyNumberFormat="1" applyFont="1" applyFill="1" applyBorder="1" applyAlignment="1">
      <alignment horizontal="center" vertical="center"/>
    </xf>
    <xf numFmtId="177" fontId="7" fillId="6" borderId="1" xfId="0" applyNumberFormat="1" applyFont="1" applyFill="1" applyBorder="1" applyAlignment="1">
      <alignment horizontal="center" vertical="center"/>
    </xf>
    <xf numFmtId="0" fontId="5" fillId="7" borderId="13" xfId="0" applyFont="1" applyFill="1" applyBorder="1">
      <alignment vertical="center"/>
    </xf>
    <xf numFmtId="0" fontId="5" fillId="7" borderId="13" xfId="0" applyFont="1" applyFill="1" applyBorder="1" applyAlignment="1">
      <alignment horizontal="center" vertical="center"/>
    </xf>
    <xf numFmtId="0" fontId="5" fillId="8" borderId="13" xfId="0" applyFont="1" applyFill="1" applyBorder="1">
      <alignment vertical="center"/>
    </xf>
    <xf numFmtId="177" fontId="5" fillId="8" borderId="13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0" fontId="0" fillId="3" borderId="13" xfId="0" applyFont="1" applyFill="1" applyBorder="1" applyAlignment="1">
      <alignment horizontal="center" vertical="center" wrapText="1"/>
    </xf>
    <xf numFmtId="0" fontId="5" fillId="3" borderId="13" xfId="0" applyFont="1" applyFill="1" applyBorder="1">
      <alignment vertical="center"/>
    </xf>
    <xf numFmtId="177" fontId="5" fillId="3" borderId="13" xfId="0" applyNumberFormat="1" applyFont="1" applyFill="1" applyBorder="1" applyAlignment="1">
      <alignment horizontal="center" vertical="center"/>
    </xf>
    <xf numFmtId="176" fontId="0" fillId="3" borderId="8" xfId="0" applyNumberFormat="1" applyFont="1" applyFill="1" applyBorder="1" applyAlignment="1">
      <alignment horizontal="center" vertical="center"/>
    </xf>
    <xf numFmtId="176" fontId="0" fillId="3" borderId="16" xfId="0" applyNumberFormat="1" applyFont="1" applyFill="1" applyBorder="1" applyAlignment="1">
      <alignment horizontal="center" vertical="center"/>
    </xf>
    <xf numFmtId="176" fontId="0" fillId="0" borderId="23" xfId="0" applyNumberFormat="1" applyFont="1" applyBorder="1" applyAlignment="1">
      <alignment horizontal="center" vertical="center"/>
    </xf>
    <xf numFmtId="176" fontId="0" fillId="0" borderId="1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10" xfId="0" applyFont="1" applyFill="1" applyBorder="1" applyAlignment="1">
      <alignment vertical="center"/>
    </xf>
    <xf numFmtId="177" fontId="5" fillId="0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9" borderId="10" xfId="0" applyFont="1" applyFill="1" applyBorder="1" applyAlignment="1">
      <alignment vertical="center"/>
    </xf>
    <xf numFmtId="177" fontId="7" fillId="9" borderId="6" xfId="0" applyNumberFormat="1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left" vertical="center"/>
    </xf>
    <xf numFmtId="177" fontId="5" fillId="4" borderId="24" xfId="0" applyNumberFormat="1" applyFont="1" applyFill="1" applyBorder="1" applyAlignment="1">
      <alignment horizontal="center" vertical="center"/>
    </xf>
    <xf numFmtId="176" fontId="0" fillId="0" borderId="24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6" borderId="13" xfId="0" applyFont="1" applyFill="1" applyBorder="1" applyAlignment="1">
      <alignment horizontal="left" vertical="center"/>
    </xf>
    <xf numFmtId="0" fontId="5" fillId="6" borderId="13" xfId="0" applyFont="1" applyFill="1" applyBorder="1">
      <alignment vertical="center"/>
    </xf>
    <xf numFmtId="177" fontId="5" fillId="6" borderId="13" xfId="0" applyNumberFormat="1" applyFont="1" applyFill="1" applyBorder="1" applyAlignment="1">
      <alignment horizontal="center" vertical="center"/>
    </xf>
    <xf numFmtId="176" fontId="0" fillId="0" borderId="12" xfId="0" applyNumberFormat="1" applyFont="1" applyBorder="1" applyAlignment="1">
      <alignment horizontal="center" vertical="center"/>
    </xf>
    <xf numFmtId="176" fontId="0" fillId="0" borderId="15" xfId="0" applyNumberFormat="1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78" fontId="1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76" fontId="0" fillId="0" borderId="25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0" borderId="10" xfId="0" applyNumberFormat="1" applyFont="1" applyBorder="1" applyAlignment="1">
      <alignment horizontal="center" vertical="center"/>
    </xf>
    <xf numFmtId="176" fontId="0" fillId="0" borderId="6" xfId="0" applyNumberFormat="1" applyFont="1" applyBorder="1" applyAlignment="1">
      <alignment horizontal="center" vertical="center"/>
    </xf>
    <xf numFmtId="176" fontId="0" fillId="3" borderId="13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0" borderId="5" xfId="0" applyNumberFormat="1" applyFont="1" applyBorder="1" applyAlignment="1">
      <alignment horizontal="center" vertical="center"/>
    </xf>
    <xf numFmtId="176" fontId="0" fillId="0" borderId="26" xfId="0" applyNumberFormat="1" applyFont="1" applyBorder="1" applyAlignment="1">
      <alignment horizontal="center" vertical="center"/>
    </xf>
    <xf numFmtId="176" fontId="0" fillId="0" borderId="27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6" fontId="0" fillId="0" borderId="28" xfId="0" applyNumberFormat="1" applyFont="1" applyBorder="1" applyAlignment="1">
      <alignment horizontal="center" vertical="center"/>
    </xf>
    <xf numFmtId="176" fontId="0" fillId="0" borderId="20" xfId="0" applyNumberFormat="1" applyFont="1" applyBorder="1" applyAlignment="1">
      <alignment horizontal="center" vertical="center"/>
    </xf>
    <xf numFmtId="176" fontId="0" fillId="2" borderId="20" xfId="0" applyNumberFormat="1" applyFont="1" applyFill="1" applyBorder="1" applyAlignment="1">
      <alignment horizontal="center" vertical="center"/>
    </xf>
    <xf numFmtId="176" fontId="0" fillId="0" borderId="29" xfId="0" applyNumberFormat="1" applyFont="1" applyBorder="1" applyAlignment="1">
      <alignment horizontal="center" vertical="center"/>
    </xf>
    <xf numFmtId="176" fontId="0" fillId="0" borderId="30" xfId="0" applyNumberFormat="1" applyFont="1" applyBorder="1" applyAlignment="1">
      <alignment horizontal="center" vertical="center"/>
    </xf>
    <xf numFmtId="176" fontId="0" fillId="0" borderId="31" xfId="0" applyNumberFormat="1" applyFont="1" applyBorder="1" applyAlignment="1">
      <alignment horizontal="center" vertical="center"/>
    </xf>
    <xf numFmtId="176" fontId="0" fillId="2" borderId="10" xfId="0" applyNumberFormat="1" applyFont="1" applyFill="1" applyBorder="1" applyAlignment="1">
      <alignment horizontal="center" vertical="center"/>
    </xf>
    <xf numFmtId="176" fontId="0" fillId="0" borderId="2" xfId="0" applyNumberFormat="1" applyFont="1" applyBorder="1" applyAlignment="1">
      <alignment horizontal="center" vertical="center"/>
    </xf>
    <xf numFmtId="176" fontId="0" fillId="3" borderId="20" xfId="0" applyNumberFormat="1" applyFont="1" applyFill="1" applyBorder="1" applyAlignment="1">
      <alignment horizontal="center" vertical="center"/>
    </xf>
    <xf numFmtId="176" fontId="0" fillId="0" borderId="9" xfId="0" applyNumberFormat="1" applyFont="1" applyBorder="1" applyAlignment="1">
      <alignment horizontal="center" vertical="center"/>
    </xf>
    <xf numFmtId="176" fontId="0" fillId="0" borderId="32" xfId="0" applyNumberFormat="1" applyFont="1" applyBorder="1" applyAlignment="1">
      <alignment horizontal="center" vertical="center"/>
    </xf>
    <xf numFmtId="176" fontId="0" fillId="0" borderId="33" xfId="0" applyNumberFormat="1" applyFont="1" applyBorder="1" applyAlignment="1">
      <alignment horizontal="center" vertical="center"/>
    </xf>
    <xf numFmtId="176" fontId="0" fillId="0" borderId="34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6" fontId="0" fillId="0" borderId="35" xfId="0" applyNumberFormat="1" applyFont="1" applyBorder="1" applyAlignment="1">
      <alignment horizontal="center" vertical="center"/>
    </xf>
    <xf numFmtId="176" fontId="0" fillId="0" borderId="36" xfId="0" applyNumberFormat="1" applyFont="1" applyBorder="1" applyAlignment="1">
      <alignment horizontal="center" vertical="center"/>
    </xf>
    <xf numFmtId="176" fontId="0" fillId="0" borderId="37" xfId="0" applyNumberFormat="1" applyFont="1" applyBorder="1" applyAlignment="1">
      <alignment horizontal="center" vertical="center"/>
    </xf>
    <xf numFmtId="176" fontId="0" fillId="2" borderId="37" xfId="0" applyNumberFormat="1" applyFont="1" applyFill="1" applyBorder="1" applyAlignment="1">
      <alignment horizontal="center" vertical="center"/>
    </xf>
    <xf numFmtId="176" fontId="0" fillId="0" borderId="38" xfId="0" applyNumberFormat="1" applyFont="1" applyBorder="1" applyAlignment="1">
      <alignment horizontal="center" vertical="center"/>
    </xf>
    <xf numFmtId="176" fontId="0" fillId="0" borderId="39" xfId="0" applyNumberFormat="1" applyFont="1" applyBorder="1" applyAlignment="1">
      <alignment horizontal="center" vertical="center"/>
    </xf>
    <xf numFmtId="176" fontId="0" fillId="0" borderId="40" xfId="0" applyNumberFormat="1" applyFont="1" applyBorder="1" applyAlignment="1">
      <alignment horizontal="center" vertical="center"/>
    </xf>
    <xf numFmtId="176" fontId="0" fillId="0" borderId="41" xfId="0" applyNumberFormat="1" applyFont="1" applyBorder="1" applyAlignment="1">
      <alignment horizontal="center" vertical="center"/>
    </xf>
    <xf numFmtId="176" fontId="0" fillId="0" borderId="42" xfId="0" applyNumberFormat="1" applyFont="1" applyBorder="1" applyAlignment="1">
      <alignment horizontal="center" vertical="center"/>
    </xf>
    <xf numFmtId="176" fontId="0" fillId="0" borderId="43" xfId="0" applyNumberFormat="1" applyFont="1" applyBorder="1" applyAlignment="1">
      <alignment horizontal="center" vertical="center"/>
    </xf>
    <xf numFmtId="176" fontId="0" fillId="2" borderId="43" xfId="0" applyNumberFormat="1" applyFont="1" applyFill="1" applyBorder="1" applyAlignment="1">
      <alignment horizontal="center" vertical="center"/>
    </xf>
    <xf numFmtId="176" fontId="0" fillId="0" borderId="44" xfId="0" applyNumberFormat="1" applyFont="1" applyBorder="1" applyAlignment="1">
      <alignment horizontal="center" vertical="center"/>
    </xf>
    <xf numFmtId="176" fontId="0" fillId="3" borderId="22" xfId="0" applyNumberFormat="1" applyFont="1" applyFill="1" applyBorder="1" applyAlignment="1">
      <alignment horizontal="center" vertical="center"/>
    </xf>
    <xf numFmtId="176" fontId="0" fillId="3" borderId="37" xfId="0" applyNumberFormat="1" applyFont="1" applyFill="1" applyBorder="1" applyAlignment="1">
      <alignment horizontal="center" vertical="center"/>
    </xf>
    <xf numFmtId="176" fontId="0" fillId="0" borderId="45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5" fillId="7" borderId="13" xfId="0" applyFont="1" applyFill="1" applyBorder="1" applyAlignment="1">
      <alignment horizontal="left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left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left"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8" fillId="0" borderId="13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/>
    </xf>
    <xf numFmtId="177" fontId="7" fillId="0" borderId="15" xfId="0" applyNumberFormat="1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vertical="center"/>
    </xf>
    <xf numFmtId="177" fontId="6" fillId="12" borderId="1" xfId="0" applyNumberFormat="1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vertical="center"/>
    </xf>
    <xf numFmtId="177" fontId="7" fillId="9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left" vertical="center"/>
    </xf>
    <xf numFmtId="0" fontId="9" fillId="7" borderId="10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76" fontId="0" fillId="0" borderId="46" xfId="0" applyNumberFormat="1" applyFont="1" applyBorder="1" applyAlignment="1">
      <alignment horizontal="center" vertical="center"/>
    </xf>
    <xf numFmtId="176" fontId="0" fillId="0" borderId="47" xfId="0" applyNumberFormat="1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6" fontId="1" fillId="0" borderId="11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77" fontId="0" fillId="0" borderId="15" xfId="0" applyNumberFormat="1" applyFont="1" applyBorder="1" applyAlignment="1">
      <alignment horizontal="center" vertical="center"/>
    </xf>
    <xf numFmtId="0" fontId="0" fillId="13" borderId="48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0" fillId="13" borderId="16" xfId="0" applyNumberFormat="1" applyFont="1" applyFill="1" applyBorder="1" applyAlignment="1">
      <alignment horizontal="center" vertical="center"/>
    </xf>
    <xf numFmtId="176" fontId="0" fillId="0" borderId="7" xfId="0" applyNumberFormat="1" applyFont="1" applyBorder="1" applyAlignment="1">
      <alignment horizontal="left" vertical="center"/>
    </xf>
    <xf numFmtId="176" fontId="0" fillId="2" borderId="5" xfId="0" applyNumberFormat="1" applyFont="1" applyFill="1" applyBorder="1" applyAlignment="1">
      <alignment horizontal="center" vertical="center"/>
    </xf>
    <xf numFmtId="176" fontId="0" fillId="0" borderId="17" xfId="0" applyNumberFormat="1" applyFont="1" applyBorder="1" applyAlignment="1">
      <alignment horizontal="center" vertical="center"/>
    </xf>
    <xf numFmtId="176" fontId="0" fillId="0" borderId="49" xfId="0" applyNumberFormat="1" applyFont="1" applyBorder="1" applyAlignment="1">
      <alignment horizontal="center" vertical="center"/>
    </xf>
    <xf numFmtId="176" fontId="0" fillId="0" borderId="50" xfId="0" applyNumberFormat="1" applyFont="1" applyBorder="1" applyAlignment="1">
      <alignment horizontal="center" vertical="center"/>
    </xf>
    <xf numFmtId="176" fontId="9" fillId="10" borderId="7" xfId="0" applyNumberFormat="1" applyFont="1" applyFill="1" applyBorder="1" applyAlignment="1">
      <alignment horizontal="center" vertical="center"/>
    </xf>
    <xf numFmtId="176" fontId="0" fillId="10" borderId="13" xfId="0" applyNumberFormat="1" applyFont="1" applyFill="1" applyBorder="1" applyAlignment="1">
      <alignment vertical="center"/>
    </xf>
    <xf numFmtId="176" fontId="0" fillId="2" borderId="15" xfId="0" applyNumberFormat="1" applyFont="1" applyFill="1" applyBorder="1" applyAlignment="1">
      <alignment horizontal="center" vertical="center"/>
    </xf>
    <xf numFmtId="176" fontId="0" fillId="2" borderId="32" xfId="0" applyNumberFormat="1" applyFont="1" applyFill="1" applyBorder="1" applyAlignment="1">
      <alignment horizontal="center" vertical="center"/>
    </xf>
    <xf numFmtId="176" fontId="0" fillId="0" borderId="51" xfId="0" applyNumberFormat="1" applyFont="1" applyBorder="1" applyAlignment="1">
      <alignment horizontal="center" vertical="center"/>
    </xf>
    <xf numFmtId="176" fontId="9" fillId="10" borderId="11" xfId="0" applyNumberFormat="1" applyFont="1" applyFill="1" applyBorder="1" applyAlignment="1">
      <alignment horizontal="center" vertical="center"/>
    </xf>
    <xf numFmtId="176" fontId="0" fillId="0" borderId="52" xfId="0" applyNumberFormat="1" applyFont="1" applyBorder="1" applyAlignment="1">
      <alignment horizontal="center" vertical="center"/>
    </xf>
    <xf numFmtId="178" fontId="0" fillId="0" borderId="37" xfId="0" applyNumberFormat="1" applyBorder="1" applyAlignment="1">
      <alignment horizontal="center" vertical="center"/>
    </xf>
    <xf numFmtId="176" fontId="0" fillId="0" borderId="53" xfId="0" applyNumberFormat="1" applyFont="1" applyBorder="1" applyAlignment="1">
      <alignment horizontal="center" vertical="center"/>
    </xf>
    <xf numFmtId="176" fontId="0" fillId="0" borderId="54" xfId="0" applyNumberFormat="1" applyFont="1" applyBorder="1" applyAlignment="1">
      <alignment horizontal="center" vertical="center"/>
    </xf>
    <xf numFmtId="176" fontId="0" fillId="0" borderId="55" xfId="0" applyNumberFormat="1" applyFont="1" applyBorder="1" applyAlignment="1">
      <alignment horizontal="center" vertical="center"/>
    </xf>
    <xf numFmtId="176" fontId="0" fillId="0" borderId="56" xfId="0" applyNumberFormat="1" applyFont="1" applyBorder="1" applyAlignment="1">
      <alignment horizontal="center" vertical="center"/>
    </xf>
    <xf numFmtId="176" fontId="0" fillId="0" borderId="57" xfId="0" applyNumberFormat="1" applyFont="1" applyBorder="1" applyAlignment="1">
      <alignment horizontal="center" vertical="center"/>
    </xf>
    <xf numFmtId="176" fontId="0" fillId="0" borderId="58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177" fontId="0" fillId="0" borderId="13" xfId="0" applyNumberFormat="1" applyFont="1" applyBorder="1" applyAlignment="1">
      <alignment horizontal="center" vertical="center"/>
    </xf>
    <xf numFmtId="177" fontId="0" fillId="0" borderId="16" xfId="0" applyNumberFormat="1" applyFont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176" fontId="0" fillId="0" borderId="11" xfId="0" applyNumberFormat="1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8810"/>
      <color rgb="00F3541A"/>
      <color rgb="00FF6C0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14"/>
  <sheetViews>
    <sheetView tabSelected="1" zoomScale="80" zoomScaleNormal="80" workbookViewId="0">
      <pane xSplit="5" ySplit="4" topLeftCell="F94" activePane="bottomRight" state="frozen"/>
      <selection/>
      <selection pane="topRight"/>
      <selection pane="bottomLeft"/>
      <selection pane="bottomRight" activeCell="L99" sqref="L99"/>
    </sheetView>
  </sheetViews>
  <sheetFormatPr defaultColWidth="9" defaultRowHeight="13.5"/>
  <cols>
    <col min="1" max="1" width="5.375" customWidth="1"/>
    <col min="2" max="2" width="13.625" customWidth="1"/>
    <col min="3" max="3" width="17" customWidth="1"/>
    <col min="4" max="4" width="25.375" customWidth="1"/>
    <col min="5" max="5" width="10.625" customWidth="1"/>
    <col min="6" max="25" width="9" customWidth="1"/>
    <col min="26" max="27" width="10.125" customWidth="1"/>
    <col min="28" max="30" width="9" customWidth="1"/>
    <col min="31" max="31" width="10.125" customWidth="1"/>
    <col min="32" max="32" width="9" customWidth="1"/>
    <col min="33" max="33" width="43.5916666666667" customWidth="1"/>
    <col min="34" max="34" width="12.625"/>
  </cols>
  <sheetData>
    <row r="1" ht="36.95" customHeight="1" spans="1:3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140"/>
    </row>
    <row r="2" ht="30" customHeight="1" spans="1:33">
      <c r="A2" s="6" t="s">
        <v>1</v>
      </c>
      <c r="B2" s="7" t="s">
        <v>2</v>
      </c>
      <c r="C2" s="7" t="s">
        <v>3</v>
      </c>
      <c r="D2" s="8" t="s">
        <v>4</v>
      </c>
      <c r="E2" s="9" t="s">
        <v>5</v>
      </c>
      <c r="F2" s="10" t="s">
        <v>6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7" t="s">
        <v>7</v>
      </c>
      <c r="AG2" s="95" t="s">
        <v>8</v>
      </c>
    </row>
    <row r="3" ht="30" customHeight="1" spans="1:33">
      <c r="A3" s="12"/>
      <c r="B3" s="7"/>
      <c r="C3" s="7"/>
      <c r="D3" s="8"/>
      <c r="E3" s="13"/>
      <c r="F3" s="8" t="s">
        <v>9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08"/>
      <c r="S3" s="109" t="s">
        <v>10</v>
      </c>
      <c r="T3" s="110"/>
      <c r="U3" s="110"/>
      <c r="V3" s="110"/>
      <c r="W3" s="94"/>
      <c r="X3" s="94" t="s">
        <v>11</v>
      </c>
      <c r="Y3" s="94"/>
      <c r="Z3" s="95"/>
      <c r="AA3" s="95"/>
      <c r="AB3" s="109" t="s">
        <v>12</v>
      </c>
      <c r="AC3" s="110"/>
      <c r="AD3" s="110"/>
      <c r="AE3" s="110"/>
      <c r="AF3" s="95"/>
      <c r="AG3" s="95"/>
    </row>
    <row r="4" ht="30" customHeight="1" spans="1:33">
      <c r="A4" s="12"/>
      <c r="B4" s="15"/>
      <c r="C4" s="15"/>
      <c r="D4" s="8"/>
      <c r="E4" s="16"/>
      <c r="F4" s="17" t="s">
        <v>13</v>
      </c>
      <c r="G4" s="18" t="s">
        <v>14</v>
      </c>
      <c r="H4" s="18" t="s">
        <v>15</v>
      </c>
      <c r="I4" s="18" t="s">
        <v>16</v>
      </c>
      <c r="J4" s="17" t="s">
        <v>17</v>
      </c>
      <c r="K4" s="17" t="s">
        <v>18</v>
      </c>
      <c r="L4" s="91" t="s">
        <v>19</v>
      </c>
      <c r="M4" s="91" t="s">
        <v>20</v>
      </c>
      <c r="N4" s="92" t="s">
        <v>21</v>
      </c>
      <c r="O4" s="93" t="s">
        <v>22</v>
      </c>
      <c r="P4" s="93" t="s">
        <v>23</v>
      </c>
      <c r="Q4" s="93" t="s">
        <v>24</v>
      </c>
      <c r="R4" s="17" t="s">
        <v>25</v>
      </c>
      <c r="S4" s="17" t="s">
        <v>26</v>
      </c>
      <c r="T4" s="17" t="s">
        <v>27</v>
      </c>
      <c r="U4" s="17" t="s">
        <v>28</v>
      </c>
      <c r="V4" s="17" t="s">
        <v>29</v>
      </c>
      <c r="W4" s="17" t="s">
        <v>25</v>
      </c>
      <c r="X4" s="95" t="s">
        <v>30</v>
      </c>
      <c r="Y4" s="18" t="s">
        <v>31</v>
      </c>
      <c r="Z4" s="95" t="s">
        <v>32</v>
      </c>
      <c r="AA4" s="95" t="s">
        <v>33</v>
      </c>
      <c r="AB4" s="17" t="s">
        <v>34</v>
      </c>
      <c r="AC4" s="17" t="s">
        <v>35</v>
      </c>
      <c r="AD4" s="17" t="s">
        <v>36</v>
      </c>
      <c r="AE4" s="95" t="s">
        <v>25</v>
      </c>
      <c r="AF4" s="95"/>
      <c r="AG4" s="95"/>
    </row>
    <row r="5" ht="30" customHeight="1" spans="1:33">
      <c r="A5" s="19">
        <v>0</v>
      </c>
      <c r="B5" s="20" t="s">
        <v>37</v>
      </c>
      <c r="C5" s="21" t="s">
        <v>38</v>
      </c>
      <c r="D5" s="22"/>
      <c r="E5" s="22"/>
      <c r="F5" s="23">
        <f>(E97/100*15*(0.145*0.15*0.8)+(E95+E96)/100*15*(0.855*0.2*0.88)*0.4)*0.8</f>
        <v>6.114094416</v>
      </c>
      <c r="G5" s="23"/>
      <c r="H5" s="23"/>
      <c r="I5" s="94"/>
      <c r="J5" s="27"/>
      <c r="K5" s="27"/>
      <c r="L5" s="27"/>
      <c r="M5" s="27"/>
      <c r="N5" s="27"/>
      <c r="O5" s="27"/>
      <c r="P5" s="27"/>
      <c r="Q5" s="27"/>
      <c r="R5" s="27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</row>
    <row r="6" ht="30" customHeight="1" spans="1:33">
      <c r="A6" s="24"/>
      <c r="B6" s="20"/>
      <c r="C6" s="21" t="s">
        <v>39</v>
      </c>
      <c r="D6" s="22"/>
      <c r="E6" s="22"/>
      <c r="F6" s="23">
        <f>(E99/100*15*(0.145*0.15*0.8)+(E98)/100*15*(0.855*0.2*0.88)*0.4)*0.8</f>
        <v>10.57268592</v>
      </c>
      <c r="G6" s="23"/>
      <c r="H6" s="23"/>
      <c r="I6" s="94"/>
      <c r="J6" s="27"/>
      <c r="K6" s="27"/>
      <c r="L6" s="27"/>
      <c r="M6" s="27"/>
      <c r="N6" s="27"/>
      <c r="O6" s="27"/>
      <c r="P6" s="27"/>
      <c r="Q6" s="27"/>
      <c r="R6" s="27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</row>
    <row r="7" ht="30" customHeight="1" spans="1:33">
      <c r="A7" s="24"/>
      <c r="B7" s="20"/>
      <c r="C7" s="25" t="s">
        <v>40</v>
      </c>
      <c r="D7" s="26"/>
      <c r="E7" s="22"/>
      <c r="F7" s="23"/>
      <c r="G7" s="23"/>
      <c r="H7" s="23"/>
      <c r="I7" s="94"/>
      <c r="J7" s="27"/>
      <c r="K7" s="27"/>
      <c r="L7" s="23">
        <f>E40/100*15*(0.855*0.2*0.88)*0.4*0.8</f>
        <v>5.6024787456</v>
      </c>
      <c r="M7" s="27"/>
      <c r="N7" s="27"/>
      <c r="O7" s="27"/>
      <c r="P7" s="27"/>
      <c r="Q7" s="27"/>
      <c r="R7" s="27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</row>
    <row r="8" ht="30" customHeight="1" spans="1:33">
      <c r="A8" s="24"/>
      <c r="B8" s="20"/>
      <c r="C8" s="25" t="s">
        <v>41</v>
      </c>
      <c r="D8" s="26"/>
      <c r="E8" s="22"/>
      <c r="F8" s="23"/>
      <c r="G8" s="23"/>
      <c r="H8" s="23"/>
      <c r="I8" s="94"/>
      <c r="J8" s="27"/>
      <c r="K8" s="27"/>
      <c r="L8" s="27"/>
      <c r="M8" s="23">
        <f>E39/100*15*(0.855*0.2*0.88)*0.8*0.8</f>
        <v>0.89565696</v>
      </c>
      <c r="N8" s="27"/>
      <c r="O8" s="27"/>
      <c r="P8" s="27"/>
      <c r="Q8" s="27"/>
      <c r="R8" s="27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</row>
    <row r="9" ht="30" customHeight="1" spans="1:33">
      <c r="A9" s="24"/>
      <c r="B9" s="20"/>
      <c r="C9" s="25" t="s">
        <v>42</v>
      </c>
      <c r="D9" s="26"/>
      <c r="E9" s="22"/>
      <c r="F9" s="23">
        <f>E57/100*15*(0.855*0.2*0.88)*0.5*1.3*0.8</f>
        <v>16.013976264</v>
      </c>
      <c r="G9" s="23"/>
      <c r="H9" s="23"/>
      <c r="I9" s="94"/>
      <c r="J9" s="23"/>
      <c r="K9" s="23"/>
      <c r="L9" s="23"/>
      <c r="M9" s="54"/>
      <c r="N9" s="39"/>
      <c r="O9" s="39"/>
      <c r="P9" s="39"/>
      <c r="Q9" s="39"/>
      <c r="R9" s="27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</row>
    <row r="10" ht="30" customHeight="1" spans="1:33">
      <c r="A10" s="24"/>
      <c r="B10" s="20"/>
      <c r="C10" s="25" t="s">
        <v>43</v>
      </c>
      <c r="D10" s="26"/>
      <c r="E10" s="22"/>
      <c r="F10" s="23"/>
      <c r="G10" s="23"/>
      <c r="H10" s="27"/>
      <c r="I10" s="23">
        <f>(E74/100*15*(0.145*0.15*0.8)+(E65+E66+E68+E73)/100*15*(0.855*0.2*0.88)*0.4)*0.8</f>
        <v>69.5972949696</v>
      </c>
      <c r="J10" s="95"/>
      <c r="K10" s="94"/>
      <c r="L10" s="94"/>
      <c r="M10" s="27"/>
      <c r="N10" s="27"/>
      <c r="O10" s="27"/>
      <c r="P10" s="27"/>
      <c r="Q10" s="27"/>
      <c r="R10" s="23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</row>
    <row r="11" ht="30" customHeight="1" spans="1:33">
      <c r="A11" s="24"/>
      <c r="B11" s="20"/>
      <c r="C11" s="25" t="s">
        <v>44</v>
      </c>
      <c r="D11" s="26"/>
      <c r="E11" s="22"/>
      <c r="F11" s="28"/>
      <c r="G11" s="28"/>
      <c r="H11" s="29"/>
      <c r="I11" s="28"/>
      <c r="J11" s="96">
        <f>((E18+E29+E36+E48)/100*15*(0.855*0.2*0.88)*0.5)*0.8</f>
        <v>34.932517488</v>
      </c>
      <c r="K11" s="97"/>
      <c r="L11" s="97"/>
      <c r="M11" s="29"/>
      <c r="N11" s="29"/>
      <c r="O11" s="29"/>
      <c r="P11" s="29"/>
      <c r="Q11" s="29"/>
      <c r="R11" s="23"/>
      <c r="S11" s="30"/>
      <c r="T11" s="30"/>
      <c r="U11" s="30"/>
      <c r="V11" s="30"/>
      <c r="W11" s="30"/>
      <c r="X11" s="95"/>
      <c r="Y11" s="95"/>
      <c r="Z11" s="95"/>
      <c r="AA11" s="95"/>
      <c r="AB11" s="95"/>
      <c r="AC11" s="95"/>
      <c r="AD11" s="95"/>
      <c r="AE11" s="95"/>
      <c r="AF11" s="95"/>
      <c r="AG11" s="95"/>
    </row>
    <row r="12" ht="30" customHeight="1" spans="1:33">
      <c r="A12" s="24"/>
      <c r="B12" s="20"/>
      <c r="C12" s="25" t="s">
        <v>45</v>
      </c>
      <c r="D12" s="26"/>
      <c r="E12" s="22"/>
      <c r="F12" s="28"/>
      <c r="G12" s="30"/>
      <c r="H12" s="29"/>
      <c r="I12" s="30"/>
      <c r="J12" s="29"/>
      <c r="K12" s="29"/>
      <c r="L12" s="29"/>
      <c r="M12" s="29"/>
      <c r="N12" s="29"/>
      <c r="O12" s="29"/>
      <c r="P12" s="29"/>
      <c r="Q12" s="29"/>
      <c r="R12" s="23"/>
      <c r="S12" s="30"/>
      <c r="T12" s="30"/>
      <c r="U12" s="30"/>
      <c r="V12" s="30"/>
      <c r="W12" s="30"/>
      <c r="X12" s="95"/>
      <c r="Y12" s="95"/>
      <c r="Z12" s="95"/>
      <c r="AA12" s="124"/>
      <c r="AB12" s="95"/>
      <c r="AC12" s="30"/>
      <c r="AD12" s="30"/>
      <c r="AE12" s="30"/>
      <c r="AF12" s="95"/>
      <c r="AG12" s="95" t="s">
        <v>46</v>
      </c>
    </row>
    <row r="13" ht="24.95" customHeight="1" spans="1:33">
      <c r="A13" s="31">
        <v>1</v>
      </c>
      <c r="B13" s="25" t="s">
        <v>47</v>
      </c>
      <c r="C13" s="25" t="s">
        <v>48</v>
      </c>
      <c r="D13" s="32" t="s">
        <v>49</v>
      </c>
      <c r="E13" s="33">
        <v>246.88</v>
      </c>
      <c r="F13" s="34">
        <f>E13/100*15*0.855*0.6*0.334*0.08</f>
        <v>0.50761095552</v>
      </c>
      <c r="G13" s="35">
        <f>E13/100*15*0.855*0.6*0.334*0.8</f>
        <v>5.0761095552</v>
      </c>
      <c r="H13" s="35">
        <f>E13/100*15*0.855*0.6*0.334*0.1</f>
        <v>0.6345136944</v>
      </c>
      <c r="I13" s="82"/>
      <c r="J13" s="35"/>
      <c r="K13" s="35"/>
      <c r="L13" s="35"/>
      <c r="M13" s="82"/>
      <c r="N13" s="98"/>
      <c r="O13" s="98"/>
      <c r="P13" s="98"/>
      <c r="Q13" s="98"/>
      <c r="R13" s="98"/>
      <c r="S13" s="34">
        <f>E13/100*15*0.855*0.6*0.388*0.82</f>
        <v>6.04421787456</v>
      </c>
      <c r="T13" s="82">
        <f>E13/100*15*0.855*0.6*0.388*0.08</f>
        <v>0.58967979264</v>
      </c>
      <c r="U13" s="82"/>
      <c r="V13" s="82">
        <f>E13/100*15*0.855*0.6*0.388*0.08</f>
        <v>0.58967979264</v>
      </c>
      <c r="W13" s="111"/>
      <c r="X13" s="35">
        <f>E13/100*15*0.855*0.6*0.13*0.08</f>
        <v>0.1975731264</v>
      </c>
      <c r="Y13" s="35">
        <f>E13/100*15*0.855*0.6*0.13*0.82</f>
        <v>2.0251245456</v>
      </c>
      <c r="Z13" s="82">
        <f>E13/100*15*0.855*0.6*0.13*0.08</f>
        <v>0.1975731264</v>
      </c>
      <c r="AA13" s="35"/>
      <c r="AB13" s="125">
        <f>E13/100*15*0.855*0.6*0.147*0.82</f>
        <v>2.28994852464</v>
      </c>
      <c r="AC13" s="82">
        <f>E13/100*15*0.855*0.6*0.147*0.08</f>
        <v>0.22340961216</v>
      </c>
      <c r="AD13" s="111">
        <f>E13/100*15*0.855*0.6*0.147*0.08</f>
        <v>0.22340961216</v>
      </c>
      <c r="AE13" s="126"/>
      <c r="AF13" s="39"/>
      <c r="AG13" s="141"/>
    </row>
    <row r="14" ht="24.95" customHeight="1" spans="1:33">
      <c r="A14" s="36"/>
      <c r="B14" s="20"/>
      <c r="C14" s="20"/>
      <c r="D14" s="37" t="s">
        <v>50</v>
      </c>
      <c r="E14" s="33">
        <v>695.4</v>
      </c>
      <c r="F14" s="38">
        <f>E14/100*15*0.855*0.6*0.334*0.08</f>
        <v>1.4298147216</v>
      </c>
      <c r="G14" s="39">
        <f>E14/100*15*0.855*0.6*0.334*0.8</f>
        <v>14.298147216</v>
      </c>
      <c r="H14" s="39">
        <f>E14/100*15*0.855*0.6*0.334*0.1</f>
        <v>1.787268402</v>
      </c>
      <c r="I14" s="39"/>
      <c r="J14" s="54"/>
      <c r="K14" s="54"/>
      <c r="L14" s="54"/>
      <c r="M14" s="54"/>
      <c r="N14" s="99"/>
      <c r="O14" s="99"/>
      <c r="P14" s="99"/>
      <c r="Q14" s="99"/>
      <c r="R14" s="99"/>
      <c r="S14" s="38">
        <f>E14/100*15*0.855*0.6*0.388*0.82</f>
        <v>17.0250693048</v>
      </c>
      <c r="T14" s="54">
        <f>E14/100*15*0.855*0.6*0.388*0.08</f>
        <v>1.6609823712</v>
      </c>
      <c r="U14" s="54"/>
      <c r="V14" s="54">
        <f>E14/100*15*0.855*0.6*0.388*0.08</f>
        <v>1.6609823712</v>
      </c>
      <c r="W14" s="112"/>
      <c r="X14" s="39">
        <f>E14/100*15*0.855*0.6*0.13*0.08</f>
        <v>0.556514712</v>
      </c>
      <c r="Y14" s="39">
        <f>E14/100*15*0.855*0.6*0.13*0.08</f>
        <v>0.556514712</v>
      </c>
      <c r="Z14" s="54">
        <f>E14/100*15*0.855*0.6*0.13*0.82</f>
        <v>5.704275798</v>
      </c>
      <c r="AA14" s="39"/>
      <c r="AB14" s="53">
        <f>E14/100*15*0.855*0.6*0.147*0.82</f>
        <v>6.4502195562</v>
      </c>
      <c r="AC14" s="54">
        <f>E14/100*15*0.855*0.6*0.147*0.08</f>
        <v>0.6292897128</v>
      </c>
      <c r="AD14" s="112">
        <f>E14/100*15*0.855*0.6*0.147*0.08</f>
        <v>0.6292897128</v>
      </c>
      <c r="AE14" s="127"/>
      <c r="AF14" s="39"/>
      <c r="AG14" s="141"/>
    </row>
    <row r="15" ht="24.95" customHeight="1" spans="1:39">
      <c r="A15" s="36"/>
      <c r="B15" s="20"/>
      <c r="C15" s="20"/>
      <c r="D15" s="37" t="s">
        <v>51</v>
      </c>
      <c r="E15" s="33">
        <v>743.4</v>
      </c>
      <c r="F15" s="38">
        <f t="shared" ref="F15:F18" si="0">E15/100*15*0.855*0.6*0.334*0.08</f>
        <v>1.5285077136</v>
      </c>
      <c r="G15" s="39">
        <f t="shared" ref="G15:G18" si="1">E15/100*15*0.855*0.6*0.334*0.8</f>
        <v>15.285077136</v>
      </c>
      <c r="H15" s="39">
        <f t="shared" ref="H15:H18" si="2">E15/100*15*0.855*0.6*0.334*0.1</f>
        <v>1.910634642</v>
      </c>
      <c r="I15" s="39"/>
      <c r="J15" s="54"/>
      <c r="K15" s="54"/>
      <c r="L15" s="54"/>
      <c r="M15" s="54"/>
      <c r="N15" s="99"/>
      <c r="O15" s="99"/>
      <c r="P15" s="99"/>
      <c r="Q15" s="99"/>
      <c r="R15" s="99"/>
      <c r="S15" s="38">
        <f>E15/100*15*0.855*0.6*0.388*0.82</f>
        <v>18.2002250808</v>
      </c>
      <c r="T15" s="54">
        <f>E15/100*15*0.855*0.6*0.388*0.08</f>
        <v>1.7756317152</v>
      </c>
      <c r="U15" s="54"/>
      <c r="V15" s="54">
        <f t="shared" ref="V15:V18" si="3">E15/100*15*0.855*0.6*0.388*0.08</f>
        <v>1.7756317152</v>
      </c>
      <c r="W15" s="112"/>
      <c r="X15" s="39">
        <f>E15/100*15*0.855*0.6*0.13*0.82</f>
        <v>6.098013558</v>
      </c>
      <c r="Y15" s="39">
        <f>E15/100*15*0.855*0.6*0.13*0.08</f>
        <v>0.594928152</v>
      </c>
      <c r="Z15" s="54">
        <f>E15/100*15*0.855*0.6*0.13*0.08</f>
        <v>0.594928152</v>
      </c>
      <c r="AA15" s="39"/>
      <c r="AB15" s="53">
        <f t="shared" ref="AB15:AB16" si="4">E15/100*15*0.855*0.6*0.147*0.82</f>
        <v>6.8954461002</v>
      </c>
      <c r="AC15" s="54">
        <f t="shared" ref="AC15:AC21" si="5">E15/100*15*0.855*0.6*0.147*0.08</f>
        <v>0.6727264488</v>
      </c>
      <c r="AD15" s="112">
        <f t="shared" ref="AD15:AD21" si="6">E15/100*15*0.855*0.6*0.147*0.08</f>
        <v>0.6727264488</v>
      </c>
      <c r="AE15" s="127"/>
      <c r="AF15" s="39"/>
      <c r="AG15" s="141"/>
      <c r="AM15" t="s">
        <v>52</v>
      </c>
    </row>
    <row r="16" ht="24.95" customHeight="1" spans="1:33">
      <c r="A16" s="36"/>
      <c r="B16" s="20"/>
      <c r="C16" s="20"/>
      <c r="D16" s="37" t="s">
        <v>53</v>
      </c>
      <c r="E16" s="33">
        <v>134.2</v>
      </c>
      <c r="F16" s="38">
        <f t="shared" si="0"/>
        <v>0.2759291568</v>
      </c>
      <c r="G16" s="39">
        <f t="shared" si="1"/>
        <v>2.759291568</v>
      </c>
      <c r="H16" s="39">
        <f t="shared" si="2"/>
        <v>0.344911446</v>
      </c>
      <c r="I16" s="39"/>
      <c r="J16" s="54"/>
      <c r="K16" s="54"/>
      <c r="L16" s="54"/>
      <c r="M16" s="54"/>
      <c r="N16" s="99"/>
      <c r="O16" s="99"/>
      <c r="P16" s="99"/>
      <c r="Q16" s="99"/>
      <c r="R16" s="99"/>
      <c r="S16" s="53">
        <f>E16/100*15*0.855*0.6*0.388*0.1</f>
        <v>0.400675572</v>
      </c>
      <c r="T16" s="54">
        <f>E16/100*15*0.855*0.6*0.388*0.8</f>
        <v>3.205404576</v>
      </c>
      <c r="U16" s="54"/>
      <c r="V16" s="54">
        <f t="shared" si="3"/>
        <v>0.3205404576</v>
      </c>
      <c r="W16" s="112"/>
      <c r="X16" s="39">
        <f>E16/100*15*0.855*0.6*0.13*0.82</f>
        <v>1.100825154</v>
      </c>
      <c r="Y16" s="39">
        <f>E16/100*15*0.855*0.6*0.13*0.82</f>
        <v>1.100825154</v>
      </c>
      <c r="Z16" s="54">
        <f>E16/100*15*0.855*0.6*0.13*0.08</f>
        <v>0.107397576</v>
      </c>
      <c r="AA16" s="39"/>
      <c r="AB16" s="53">
        <f t="shared" si="4"/>
        <v>1.2447792126</v>
      </c>
      <c r="AC16" s="54">
        <f t="shared" si="5"/>
        <v>0.1214418744</v>
      </c>
      <c r="AD16" s="112">
        <f t="shared" si="6"/>
        <v>0.1214418744</v>
      </c>
      <c r="AE16" s="127"/>
      <c r="AF16" s="39"/>
      <c r="AG16" s="141"/>
    </row>
    <row r="17" s="1" customFormat="1" ht="24.95" customHeight="1" spans="1:33">
      <c r="A17" s="36"/>
      <c r="B17" s="20"/>
      <c r="C17" s="20"/>
      <c r="D17" s="40" t="s">
        <v>54</v>
      </c>
      <c r="E17" s="41">
        <v>45.61</v>
      </c>
      <c r="F17" s="42">
        <f>E17/100*15*0.855*0.6*0.334*0.08*1.3</f>
        <v>0.121912574472</v>
      </c>
      <c r="G17" s="43">
        <f>E17/100*15*0.855*0.6*0.334*0.8*1.3</f>
        <v>1.21912574472</v>
      </c>
      <c r="H17" s="43">
        <f>E17/100*15*0.855*0.6*0.334*0.1*1.3</f>
        <v>0.15239071809</v>
      </c>
      <c r="I17" s="43"/>
      <c r="J17" s="43"/>
      <c r="K17" s="56"/>
      <c r="L17" s="43"/>
      <c r="M17" s="43"/>
      <c r="N17" s="100"/>
      <c r="O17" s="100"/>
      <c r="P17" s="100"/>
      <c r="Q17" s="100"/>
      <c r="R17" s="100"/>
      <c r="S17" s="42">
        <f>E17/100*15*0.855*0.6*0.388*0.82*1.3</f>
        <v>1.451635654716</v>
      </c>
      <c r="T17" s="103">
        <f>E17/100*15*0.855*0.6*0.388*0.08*1.3</f>
        <v>0.141622990704</v>
      </c>
      <c r="U17" s="56"/>
      <c r="V17" s="103">
        <f>E17/100*15*0.855*0.6*0.388*0.08*1.3</f>
        <v>0.141622990704</v>
      </c>
      <c r="W17" s="113"/>
      <c r="X17" s="43">
        <f>E17/100*15*0.855*0.6*0.13*0.08*1.3</f>
        <v>0.04745100204</v>
      </c>
      <c r="Y17" s="43">
        <f>E17/100*15*0.855*0.6*0.13*0.08*1.3</f>
        <v>0.04745100204</v>
      </c>
      <c r="Z17" s="56">
        <f>E17/100*15*0.855*0.6*0.13*0.82*1.3</f>
        <v>0.48637277091</v>
      </c>
      <c r="AA17" s="43"/>
      <c r="AB17" s="55">
        <f>E17/100*15*0.855*0.6*0.147*0.82*1.3</f>
        <v>0.549975364029</v>
      </c>
      <c r="AC17" s="56">
        <f>E17/100*15*0.855*0.6*0.147*0.08*1.3</f>
        <v>0.053656133076</v>
      </c>
      <c r="AD17" s="113">
        <f>E17/100*15*0.855*0.6*0.147*0.08*1.3</f>
        <v>0.053656133076</v>
      </c>
      <c r="AE17" s="128"/>
      <c r="AF17" s="43"/>
      <c r="AG17" s="142" t="s">
        <v>55</v>
      </c>
    </row>
    <row r="18" ht="24.95" customHeight="1" spans="1:33">
      <c r="A18" s="36"/>
      <c r="B18" s="20"/>
      <c r="C18" s="20"/>
      <c r="D18" s="44" t="s">
        <v>56</v>
      </c>
      <c r="E18" s="45">
        <v>813.63</v>
      </c>
      <c r="F18" s="38">
        <f t="shared" si="0"/>
        <v>1.67290789752</v>
      </c>
      <c r="G18" s="39">
        <f t="shared" si="1"/>
        <v>16.7290789752</v>
      </c>
      <c r="H18" s="39">
        <f t="shared" si="2"/>
        <v>2.0911348719</v>
      </c>
      <c r="I18" s="54"/>
      <c r="J18" s="54"/>
      <c r="K18" s="54"/>
      <c r="L18" s="54"/>
      <c r="M18" s="54"/>
      <c r="N18" s="99"/>
      <c r="O18" s="99"/>
      <c r="P18" s="99"/>
      <c r="Q18" s="99"/>
      <c r="R18" s="99"/>
      <c r="S18" s="38">
        <f>E18/100*15*0.855*0.6*0.388*0.1</f>
        <v>2.4292225458</v>
      </c>
      <c r="T18" s="54">
        <f>E18/100*15*0.855*0.6*0.388*0.8</f>
        <v>19.4337803664</v>
      </c>
      <c r="U18" s="54"/>
      <c r="V18" s="54">
        <f t="shared" si="3"/>
        <v>1.94337803664</v>
      </c>
      <c r="W18" s="112"/>
      <c r="X18" s="39">
        <f>E18/100*15*0.855*0.6*0.13*0.08</f>
        <v>0.6511318164</v>
      </c>
      <c r="Y18" s="39">
        <f>E18/100*15*0.855*0.6*0.13*0.82</f>
        <v>6.6741011181</v>
      </c>
      <c r="Z18" s="54">
        <f>E18/100*15*0.855*0.6*0.13*0.08</f>
        <v>0.6511318164</v>
      </c>
      <c r="AA18" s="39"/>
      <c r="AB18" s="53">
        <f>E18/100*15*0.855*0.6*0.147*0.82</f>
        <v>7.54686818739</v>
      </c>
      <c r="AC18" s="54">
        <f t="shared" si="5"/>
        <v>0.73627982316</v>
      </c>
      <c r="AD18" s="112">
        <f t="shared" si="6"/>
        <v>0.73627982316</v>
      </c>
      <c r="AE18" s="127"/>
      <c r="AF18" s="39"/>
      <c r="AG18" s="141"/>
    </row>
    <row r="19" ht="24.95" customHeight="1" spans="1:33">
      <c r="A19" s="36"/>
      <c r="B19" s="20"/>
      <c r="C19" s="46"/>
      <c r="D19" s="47" t="s">
        <v>57</v>
      </c>
      <c r="E19" s="48">
        <f>SUM(E13:E18)</f>
        <v>2679.12</v>
      </c>
      <c r="F19" s="49">
        <f>E19/100*15*(0.145*0.7*0.43)*0.08</f>
        <v>1.4031623088</v>
      </c>
      <c r="G19" s="50">
        <f>E19/100*15*(0.145*0.7*0.43)*0.8*0.95</f>
        <v>13.3300419336</v>
      </c>
      <c r="H19" s="50">
        <f>E19/100*15*(0.145*0.7*0.43)*0.1</f>
        <v>1.753952886</v>
      </c>
      <c r="I19" s="50"/>
      <c r="J19" s="50"/>
      <c r="K19" s="50"/>
      <c r="L19" s="50"/>
      <c r="M19" s="101"/>
      <c r="N19" s="102">
        <f>E19/100*15*(0.145*0.7*0.43)*0.8*0.05</f>
        <v>0.7015811544</v>
      </c>
      <c r="O19" s="102"/>
      <c r="P19" s="102"/>
      <c r="Q19" s="102"/>
      <c r="R19" s="102"/>
      <c r="S19" s="49"/>
      <c r="T19" s="114">
        <f>E19/100*15*0.145*0.7*0.04*0.8</f>
        <v>1.305267264</v>
      </c>
      <c r="U19" s="114"/>
      <c r="V19" s="114"/>
      <c r="W19" s="115"/>
      <c r="X19" s="50">
        <f>E19/100*15*(0.145*0.7*0.36)*0.08</f>
        <v>1.1747405376</v>
      </c>
      <c r="Y19" s="50">
        <f>E19/100*15*(0.145*0.7*0.36)*0.08</f>
        <v>1.1747405376</v>
      </c>
      <c r="Z19" s="50"/>
      <c r="AA19" s="50">
        <f>E19/100*15*(0.145*0.7*0.36)*0.82</f>
        <v>12.0410905104</v>
      </c>
      <c r="AB19" s="129">
        <f>E19/100*15*(0.145*0.7*0.17)*0.82</f>
        <v>5.6860705188</v>
      </c>
      <c r="AC19" s="114">
        <f>E19/100*15*(0.145*0.7*0.17)*0.08</f>
        <v>0.5547385872</v>
      </c>
      <c r="AD19" s="115">
        <f>E19/100*15*(0.145*0.7*0.17)*0.08</f>
        <v>0.5547385872</v>
      </c>
      <c r="AE19" s="130"/>
      <c r="AF19" s="39"/>
      <c r="AG19" s="141"/>
    </row>
    <row r="20" ht="24.95" customHeight="1" spans="1:33">
      <c r="A20" s="31">
        <v>2</v>
      </c>
      <c r="B20" s="20"/>
      <c r="C20" s="21" t="s">
        <v>58</v>
      </c>
      <c r="D20" s="51" t="s">
        <v>49</v>
      </c>
      <c r="E20" s="52">
        <v>212.8</v>
      </c>
      <c r="F20" s="34">
        <f>E20/100*15*0.855*0.6*0.334*0.08</f>
        <v>0.4375389312</v>
      </c>
      <c r="G20" s="35">
        <f>E20/100*15*0.855*0.6*0.334*0.8</f>
        <v>4.375389312</v>
      </c>
      <c r="H20" s="35">
        <f>E20/100*15*0.855*0.6*0.334*0.1</f>
        <v>0.546923664</v>
      </c>
      <c r="I20" s="82"/>
      <c r="J20" s="35"/>
      <c r="K20" s="35"/>
      <c r="L20" s="35"/>
      <c r="M20" s="82"/>
      <c r="N20" s="98"/>
      <c r="O20" s="98"/>
      <c r="P20" s="98"/>
      <c r="Q20" s="98"/>
      <c r="R20" s="98"/>
      <c r="S20" s="34">
        <f>E20/100*15*0.855*0.6*0.388*0.82</f>
        <v>5.2098572736</v>
      </c>
      <c r="T20" s="82">
        <f>E20/100*15*0.855*0.6*0.388*0.08</f>
        <v>0.5082787584</v>
      </c>
      <c r="U20" s="101"/>
      <c r="V20" s="82">
        <f>E20/100*15*0.855*0.6*0.388*0.08</f>
        <v>0.5082787584</v>
      </c>
      <c r="W20" s="116"/>
      <c r="X20" s="35">
        <f>E20/100*15*0.855*0.6*0.13*0.08</f>
        <v>0.170299584</v>
      </c>
      <c r="Y20" s="35">
        <f>E20/100*15*0.855*0.6*0.13*0.82</f>
        <v>1.745570736</v>
      </c>
      <c r="Z20" s="82">
        <f>E20/100*15*0.855*0.6*0.13*0.08</f>
        <v>0.170299584</v>
      </c>
      <c r="AA20" s="35"/>
      <c r="AB20" s="125">
        <f>E20/100*15*0.855*0.6*0.147*0.82</f>
        <v>1.9738376784</v>
      </c>
      <c r="AC20" s="82">
        <f t="shared" si="5"/>
        <v>0.1925695296</v>
      </c>
      <c r="AD20" s="111">
        <f t="shared" si="6"/>
        <v>0.1925695296</v>
      </c>
      <c r="AE20" s="131"/>
      <c r="AF20" s="39"/>
      <c r="AG20" s="141"/>
    </row>
    <row r="21" ht="24.95" customHeight="1" spans="1:33">
      <c r="A21" s="36"/>
      <c r="B21" s="20"/>
      <c r="C21" s="21"/>
      <c r="D21" s="37" t="s">
        <v>59</v>
      </c>
      <c r="E21" s="33">
        <v>1145.28</v>
      </c>
      <c r="F21" s="53">
        <f>E21/100*15*0.855*0.6*0.334*0.08</f>
        <v>2.35481478912</v>
      </c>
      <c r="G21" s="54">
        <f>E21/100*15*0.855*0.6*0.334*0.8</f>
        <v>23.5481478912</v>
      </c>
      <c r="H21" s="39">
        <f>E21/100*15*0.855*0.6*0.334*0.1</f>
        <v>2.9435184864</v>
      </c>
      <c r="I21" s="39"/>
      <c r="J21" s="54"/>
      <c r="K21" s="54"/>
      <c r="L21" s="54"/>
      <c r="M21" s="54"/>
      <c r="N21" s="99"/>
      <c r="O21" s="99"/>
      <c r="P21" s="99"/>
      <c r="Q21" s="99"/>
      <c r="R21" s="99"/>
      <c r="S21" s="38">
        <f>E21/100*15*0.855*0.6*0.388*0.82</f>
        <v>28.03921681536</v>
      </c>
      <c r="T21" s="54">
        <f>E21/100*15*0.855*0.6*0.388*0.08</f>
        <v>2.73553334784</v>
      </c>
      <c r="U21" s="54"/>
      <c r="V21" s="54">
        <f>E21/100*15*0.855*0.6*0.388*0.08</f>
        <v>2.73553334784</v>
      </c>
      <c r="W21" s="112"/>
      <c r="X21" s="38">
        <f>E21/100*15*0.855*0.6*0.13*0.08</f>
        <v>0.9165446784</v>
      </c>
      <c r="Y21" s="39">
        <f>E21/100*15*0.855*0.6*0.13*0.08</f>
        <v>0.9165446784</v>
      </c>
      <c r="Z21" s="54">
        <f>E21/100*15*0.855*0.6*0.13*0.82</f>
        <v>9.3945829536</v>
      </c>
      <c r="AA21" s="39"/>
      <c r="AB21" s="53">
        <f>E21/100*15*0.855*0.6*0.147*0.82</f>
        <v>10.62310533984</v>
      </c>
      <c r="AC21" s="54">
        <f t="shared" si="5"/>
        <v>1.03640052096</v>
      </c>
      <c r="AD21" s="112">
        <f t="shared" si="6"/>
        <v>1.03640052096</v>
      </c>
      <c r="AE21" s="127"/>
      <c r="AF21" s="39"/>
      <c r="AG21" s="141"/>
    </row>
    <row r="22" ht="24.95" customHeight="1" spans="1:39">
      <c r="A22" s="36"/>
      <c r="B22" s="20"/>
      <c r="C22" s="21"/>
      <c r="D22" s="37" t="s">
        <v>60</v>
      </c>
      <c r="E22" s="33">
        <v>939.6</v>
      </c>
      <c r="F22" s="53">
        <f t="shared" ref="F22:F29" si="7">E22/100*15*0.855*0.6*0.334*0.08</f>
        <v>1.9319153184</v>
      </c>
      <c r="G22" s="54">
        <f t="shared" ref="G22:G29" si="8">E22/100*15*0.855*0.6*0.334*0.8</f>
        <v>19.319153184</v>
      </c>
      <c r="H22" s="39">
        <f t="shared" ref="H22:H29" si="9">E22/100*15*0.855*0.6*0.334*0.1</f>
        <v>2.414894148</v>
      </c>
      <c r="I22" s="39"/>
      <c r="J22" s="54"/>
      <c r="K22" s="54"/>
      <c r="L22" s="54"/>
      <c r="M22" s="54"/>
      <c r="N22" s="99"/>
      <c r="O22" s="99"/>
      <c r="P22" s="99"/>
      <c r="Q22" s="99"/>
      <c r="R22" s="99"/>
      <c r="S22" s="38">
        <f>E22/100*15*0.855*0.6*0.388*0.82</f>
        <v>23.0036743152</v>
      </c>
      <c r="T22" s="54">
        <f>E22/100*15*0.855*0.6*0.388*0.08</f>
        <v>2.2442609088</v>
      </c>
      <c r="U22" s="54"/>
      <c r="V22" s="54">
        <f t="shared" ref="T22:V29" si="10">E22/100*15*0.855*0.6*0.388*0.08</f>
        <v>2.2442609088</v>
      </c>
      <c r="W22" s="112"/>
      <c r="X22" s="38">
        <f>E22/100*15*0.855*0.6*0.13*0.82</f>
        <v>7.707416652</v>
      </c>
      <c r="Y22" s="39">
        <f>E22/100*15*0.855*0.6*0.13*0.08</f>
        <v>0.751943088</v>
      </c>
      <c r="Z22" s="54">
        <f>E22/100*15*0.855*0.6*0.13*0.08</f>
        <v>0.751943088</v>
      </c>
      <c r="AA22" s="39"/>
      <c r="AB22" s="53">
        <f t="shared" ref="AB22:AB23" si="11">E22/100*15*0.855*0.6*0.147*0.82</f>
        <v>8.7153095988</v>
      </c>
      <c r="AC22" s="54">
        <f t="shared" ref="AC22:AC25" si="12">E22/100*15*0.855*0.6*0.147*0.08</f>
        <v>0.8502741072</v>
      </c>
      <c r="AD22" s="112">
        <f t="shared" ref="AD22:AD25" si="13">E22/100*15*0.855*0.6*0.147*0.08</f>
        <v>0.8502741072</v>
      </c>
      <c r="AE22" s="127"/>
      <c r="AF22" s="39"/>
      <c r="AG22" s="141"/>
      <c r="AM22" t="s">
        <v>52</v>
      </c>
    </row>
    <row r="23" ht="24.95" customHeight="1" spans="1:33">
      <c r="A23" s="36"/>
      <c r="B23" s="20"/>
      <c r="C23" s="21"/>
      <c r="D23" s="37" t="s">
        <v>53</v>
      </c>
      <c r="E23" s="33">
        <v>192.76</v>
      </c>
      <c r="F23" s="53">
        <f t="shared" si="7"/>
        <v>0.39633460704</v>
      </c>
      <c r="G23" s="54">
        <f t="shared" si="8"/>
        <v>3.9633460704</v>
      </c>
      <c r="H23" s="39">
        <f t="shared" si="9"/>
        <v>0.4954182588</v>
      </c>
      <c r="I23" s="39"/>
      <c r="J23" s="54"/>
      <c r="K23" s="54"/>
      <c r="L23" s="54"/>
      <c r="M23" s="54"/>
      <c r="N23" s="99"/>
      <c r="O23" s="99"/>
      <c r="P23" s="99"/>
      <c r="Q23" s="99"/>
      <c r="R23" s="99"/>
      <c r="S23" s="38">
        <f>E23/100*15*0.855*0.6*0.388*0.1</f>
        <v>0.5755158216</v>
      </c>
      <c r="T23" s="101">
        <f>E23/100*15*0.855*0.6*0.388*0.8</f>
        <v>4.6041265728</v>
      </c>
      <c r="U23" s="54"/>
      <c r="V23" s="54">
        <f t="shared" si="10"/>
        <v>0.46041265728</v>
      </c>
      <c r="W23" s="112"/>
      <c r="X23" s="38">
        <f>E23/100*15*0.855*0.6*0.13*0.08</f>
        <v>0.1542619728</v>
      </c>
      <c r="Y23" s="39">
        <f>E23/100*15*0.855*0.6*0.13*0.82</f>
        <v>1.5811852212</v>
      </c>
      <c r="Z23" s="54">
        <f>E23/100*15*0.855*0.6*0.13*0.08</f>
        <v>0.1542619728</v>
      </c>
      <c r="AA23" s="39"/>
      <c r="AB23" s="53">
        <f t="shared" si="11"/>
        <v>1.78795559628</v>
      </c>
      <c r="AC23" s="54">
        <f t="shared" si="12"/>
        <v>0.17443469232</v>
      </c>
      <c r="AD23" s="112">
        <f t="shared" si="13"/>
        <v>0.17443469232</v>
      </c>
      <c r="AE23" s="127"/>
      <c r="AF23" s="39"/>
      <c r="AG23" s="141"/>
    </row>
    <row r="24" s="1" customFormat="1" ht="24.95" customHeight="1" spans="1:33">
      <c r="A24" s="36"/>
      <c r="B24" s="20"/>
      <c r="C24" s="21"/>
      <c r="D24" s="40" t="s">
        <v>54</v>
      </c>
      <c r="E24" s="41">
        <v>45.61</v>
      </c>
      <c r="F24" s="55">
        <f>E24/100*15*0.855*0.6*0.334*0.08*0.2*1.3</f>
        <v>0.0243825148944</v>
      </c>
      <c r="G24" s="56">
        <f>E24/100*15*0.855*0.6*0.334*0.8*0.2*1.3</f>
        <v>0.243825148944</v>
      </c>
      <c r="H24" s="43">
        <f>E24/100*15*0.855*0.6*0.334*0.1*0.2*1.3</f>
        <v>0.030478143618</v>
      </c>
      <c r="I24" s="43"/>
      <c r="J24" s="43"/>
      <c r="K24" s="56"/>
      <c r="L24" s="43"/>
      <c r="M24" s="43"/>
      <c r="N24" s="100"/>
      <c r="O24" s="100"/>
      <c r="P24" s="100"/>
      <c r="Q24" s="100"/>
      <c r="R24" s="100"/>
      <c r="S24" s="42">
        <f>E24/100*15*0.855*0.6*0.388*0.82*0.2*1.3</f>
        <v>0.2903271309432</v>
      </c>
      <c r="T24" s="117">
        <f>E24/100*15*0.855*0.6*0.388*0.08*0.2*1.3</f>
        <v>0.0283245981408</v>
      </c>
      <c r="U24" s="56"/>
      <c r="V24" s="103">
        <f>E24/100*15*0.855*0.6*0.388*0.08*0.2*1.3</f>
        <v>0.0283245981408</v>
      </c>
      <c r="W24" s="113"/>
      <c r="X24" s="43">
        <f>E24/100*15*0.855*0.6*0.13*0.08*1.3*0.5</f>
        <v>0.02372550102</v>
      </c>
      <c r="Y24" s="43">
        <f>E24/100*15*0.855*0.6*0.13*0.08*1.3*0.5</f>
        <v>0.02372550102</v>
      </c>
      <c r="Z24" s="56">
        <f>E17/100*15*0.855*0.6*0.13*0.82*1.3*0.5</f>
        <v>0.243186385455</v>
      </c>
      <c r="AA24" s="43"/>
      <c r="AB24" s="55">
        <f>E24/100*15*0.855*0.6*0.147*0.82*1.3*0.5</f>
        <v>0.2749876820145</v>
      </c>
      <c r="AC24" s="56">
        <f>E24/100*15*0.855*0.6*0.147*0.08*1.3*0.5</f>
        <v>0.026828066538</v>
      </c>
      <c r="AD24" s="113">
        <f>E24/100*15*0.855*0.6*0.147*0.08*1.3*0.5</f>
        <v>0.026828066538</v>
      </c>
      <c r="AE24" s="128"/>
      <c r="AF24" s="43"/>
      <c r="AG24" s="142" t="s">
        <v>55</v>
      </c>
    </row>
    <row r="25" ht="24.95" customHeight="1" spans="1:33">
      <c r="A25" s="36"/>
      <c r="B25" s="20"/>
      <c r="C25" s="21"/>
      <c r="D25" s="37" t="s">
        <v>61</v>
      </c>
      <c r="E25" s="33">
        <v>33.28</v>
      </c>
      <c r="F25" s="53">
        <f t="shared" si="7"/>
        <v>0.06842714112</v>
      </c>
      <c r="G25" s="54">
        <f t="shared" si="8"/>
        <v>0.6842714112</v>
      </c>
      <c r="H25" s="39">
        <f t="shared" si="9"/>
        <v>0.0855339264</v>
      </c>
      <c r="I25" s="54"/>
      <c r="J25" s="54"/>
      <c r="K25" s="54"/>
      <c r="L25" s="54"/>
      <c r="M25" s="54"/>
      <c r="N25" s="99"/>
      <c r="O25" s="99"/>
      <c r="P25" s="99"/>
      <c r="Q25" s="99"/>
      <c r="R25" s="99"/>
      <c r="S25" s="38">
        <f>E25/100*15*0.855*0.6*0.388*0.82</f>
        <v>0.81477467136</v>
      </c>
      <c r="T25" s="54">
        <f>E25/100*15*0.855*0.6*0.388*0.08</f>
        <v>0.07949021184</v>
      </c>
      <c r="U25" s="54"/>
      <c r="V25" s="54">
        <f t="shared" si="10"/>
        <v>0.07949021184</v>
      </c>
      <c r="W25" s="112"/>
      <c r="X25" s="38">
        <f>E25/100*15*0.855*0.6*0.13*0.08</f>
        <v>0.0266333184</v>
      </c>
      <c r="Y25" s="39">
        <f>E25/100*15*0.855*0.6*0.13*0.82</f>
        <v>0.2729915136</v>
      </c>
      <c r="Z25" s="54">
        <f>E25/100*15*0.855*0.6*0.13*0.08</f>
        <v>0.0266333184</v>
      </c>
      <c r="AA25" s="39"/>
      <c r="AB25" s="53">
        <f t="shared" ref="AB25:AB29" si="14">E25/100*15*0.855*0.6*0.147*0.82</f>
        <v>0.30869040384</v>
      </c>
      <c r="AC25" s="54">
        <f t="shared" si="12"/>
        <v>0.03011613696</v>
      </c>
      <c r="AD25" s="112">
        <f t="shared" si="13"/>
        <v>0.03011613696</v>
      </c>
      <c r="AE25" s="127"/>
      <c r="AF25" s="39"/>
      <c r="AG25" s="141"/>
    </row>
    <row r="26" ht="24.95" customHeight="1" spans="1:33">
      <c r="A26" s="36"/>
      <c r="B26" s="20"/>
      <c r="C26" s="21"/>
      <c r="D26" s="57" t="s">
        <v>62</v>
      </c>
      <c r="E26" s="58">
        <v>1243.04</v>
      </c>
      <c r="F26" s="53">
        <f t="shared" si="7"/>
        <v>2.55581951616</v>
      </c>
      <c r="G26" s="54">
        <f t="shared" si="8"/>
        <v>25.5581951616</v>
      </c>
      <c r="H26" s="39">
        <f t="shared" si="9"/>
        <v>3.1947743952</v>
      </c>
      <c r="I26" s="39"/>
      <c r="J26" s="39"/>
      <c r="K26" s="54"/>
      <c r="L26" s="39"/>
      <c r="M26" s="39"/>
      <c r="N26" s="99"/>
      <c r="O26" s="99"/>
      <c r="P26" s="99"/>
      <c r="Q26" s="99"/>
      <c r="R26" s="99"/>
      <c r="S26" s="38">
        <f>E26/100*15*0.855*0.6*0.388*0.1</f>
        <v>3.7112948064</v>
      </c>
      <c r="T26" s="101">
        <f>E26/100*15*0.855*0.6*0.388*0.8</f>
        <v>29.6903584512</v>
      </c>
      <c r="U26" s="54"/>
      <c r="V26" s="54">
        <f t="shared" si="10"/>
        <v>2.96903584512</v>
      </c>
      <c r="W26" s="112"/>
      <c r="X26" s="38">
        <f>E26/100*15*0.855*0.6*0.13*0.08</f>
        <v>0.9947800512</v>
      </c>
      <c r="Y26" s="39">
        <f>E26/100*15*0.855*0.6*0.13*0.08</f>
        <v>0.9947800512</v>
      </c>
      <c r="Z26" s="54">
        <f>E26/100*15*0.855*0.6*0.13*0.82</f>
        <v>10.1964955248</v>
      </c>
      <c r="AA26" s="39"/>
      <c r="AB26" s="53">
        <f t="shared" si="14"/>
        <v>11.52988340112</v>
      </c>
      <c r="AC26" s="54">
        <f t="shared" ref="AC26:AC32" si="15">E26/100*15*0.855*0.6*0.147*0.08</f>
        <v>1.12486667328</v>
      </c>
      <c r="AD26" s="112">
        <f t="shared" ref="AD26:AD32" si="16">E26/100*15*0.855*0.6*0.147*0.08</f>
        <v>1.12486667328</v>
      </c>
      <c r="AE26" s="127"/>
      <c r="AF26" s="39"/>
      <c r="AG26" s="141"/>
    </row>
    <row r="27" ht="24.95" customHeight="1" spans="1:33">
      <c r="A27" s="36"/>
      <c r="B27" s="20"/>
      <c r="C27" s="21"/>
      <c r="D27" s="57" t="s">
        <v>63</v>
      </c>
      <c r="E27" s="58">
        <v>134.2</v>
      </c>
      <c r="F27" s="53">
        <f>E27/100*15*0.855*0.6*0.334*0.08*0.2</f>
        <v>0.05518583136</v>
      </c>
      <c r="G27" s="54">
        <f>E27/100*15*0.855*0.6*0.334*0.8*0.2</f>
        <v>0.5518583136</v>
      </c>
      <c r="H27" s="39">
        <f>E27/100*15*0.855*0.6*0.334*0.1*0.2</f>
        <v>0.0689822892</v>
      </c>
      <c r="I27" s="39"/>
      <c r="J27" s="39"/>
      <c r="K27" s="54"/>
      <c r="L27" s="39"/>
      <c r="M27" s="39"/>
      <c r="N27" s="99"/>
      <c r="O27" s="99"/>
      <c r="P27" s="99"/>
      <c r="Q27" s="99"/>
      <c r="R27" s="99"/>
      <c r="S27" s="38">
        <f>E27/100*15*0.855*0.6*0.388*0.1*0.2</f>
        <v>0.0801351144</v>
      </c>
      <c r="T27" s="101">
        <f>E27/100*15*0.855*0.6*0.388*0.8*0.2</f>
        <v>0.6410809152</v>
      </c>
      <c r="U27" s="54"/>
      <c r="V27" s="54">
        <f>E27/100*15*0.855*0.6*0.388*0.08*0.2</f>
        <v>0.06410809152</v>
      </c>
      <c r="W27" s="112"/>
      <c r="X27" s="38">
        <f>E27/100*15*0.855*0.6*0.13*0.08*0.2</f>
        <v>0.0214795152</v>
      </c>
      <c r="Y27" s="39">
        <f>E27/100*15*0.855*0.6*0.13*0.82*0.2</f>
        <v>0.2201650308</v>
      </c>
      <c r="Z27" s="54">
        <f>E27/100*15*0.855*0.6*0.13*0.08*0.2</f>
        <v>0.0214795152</v>
      </c>
      <c r="AA27" s="39"/>
      <c r="AB27" s="53">
        <f>E27/100*15*0.855*0.6*0.147*0.82*0.2</f>
        <v>0.24895584252</v>
      </c>
      <c r="AC27" s="54">
        <f t="shared" si="15"/>
        <v>0.1214418744</v>
      </c>
      <c r="AD27" s="112">
        <f t="shared" si="16"/>
        <v>0.1214418744</v>
      </c>
      <c r="AE27" s="127"/>
      <c r="AF27" s="39"/>
      <c r="AG27" s="141"/>
    </row>
    <row r="28" ht="24.95" customHeight="1" spans="1:33">
      <c r="A28" s="36"/>
      <c r="B28" s="20"/>
      <c r="C28" s="21"/>
      <c r="D28" s="57" t="s">
        <v>64</v>
      </c>
      <c r="E28" s="58">
        <v>292.02</v>
      </c>
      <c r="F28" s="53">
        <f t="shared" si="7"/>
        <v>0.60042349008</v>
      </c>
      <c r="G28" s="54">
        <f t="shared" si="8"/>
        <v>6.0042349008</v>
      </c>
      <c r="H28" s="39">
        <f t="shared" si="9"/>
        <v>0.7505293626</v>
      </c>
      <c r="I28" s="39"/>
      <c r="J28" s="39"/>
      <c r="K28" s="54"/>
      <c r="L28" s="39"/>
      <c r="M28" s="39"/>
      <c r="N28" s="99"/>
      <c r="O28" s="99"/>
      <c r="P28" s="99"/>
      <c r="Q28" s="99"/>
      <c r="R28" s="99"/>
      <c r="S28" s="38">
        <f>E28/100*15*0.855*0.6*0.388*0.1</f>
        <v>0.8718724332</v>
      </c>
      <c r="T28" s="101">
        <f t="shared" ref="T27:T29" si="17">E28/100*15*0.855*0.6*0.388*0.8</f>
        <v>6.9749794656</v>
      </c>
      <c r="U28" s="54"/>
      <c r="V28" s="54">
        <f t="shared" si="10"/>
        <v>0.69749794656</v>
      </c>
      <c r="W28" s="112"/>
      <c r="X28" s="38">
        <f>E28/100*15*0.855*0.6*0.13*0.08</f>
        <v>0.2336977656</v>
      </c>
      <c r="Y28" s="39">
        <f>E28/100*15*0.855*0.6*0.13*0.08</f>
        <v>0.2336977656</v>
      </c>
      <c r="Z28" s="54">
        <f>E28/100*15*0.855*0.6*0.13*0.82</f>
        <v>2.3954020974</v>
      </c>
      <c r="AA28" s="39"/>
      <c r="AB28" s="53">
        <f t="shared" si="14"/>
        <v>2.70864698706</v>
      </c>
      <c r="AC28" s="54">
        <f t="shared" si="15"/>
        <v>0.26425824264</v>
      </c>
      <c r="AD28" s="112">
        <f t="shared" si="16"/>
        <v>0.26425824264</v>
      </c>
      <c r="AE28" s="127"/>
      <c r="AF28" s="39"/>
      <c r="AG28" s="141"/>
    </row>
    <row r="29" ht="24.95" customHeight="1" spans="1:33">
      <c r="A29" s="36"/>
      <c r="B29" s="20"/>
      <c r="C29" s="21"/>
      <c r="D29" s="44" t="s">
        <v>56</v>
      </c>
      <c r="E29" s="45">
        <v>948.12</v>
      </c>
      <c r="F29" s="53">
        <f t="shared" si="7"/>
        <v>1.94943332448</v>
      </c>
      <c r="G29" s="54">
        <f t="shared" si="8"/>
        <v>19.4943332448</v>
      </c>
      <c r="H29" s="39">
        <f t="shared" si="9"/>
        <v>2.4367916556</v>
      </c>
      <c r="I29" s="39"/>
      <c r="J29" s="39"/>
      <c r="K29" s="54"/>
      <c r="L29" s="39"/>
      <c r="M29" s="39"/>
      <c r="N29" s="99"/>
      <c r="O29" s="99"/>
      <c r="P29" s="99"/>
      <c r="Q29" s="99"/>
      <c r="R29" s="99"/>
      <c r="S29" s="38">
        <f>E29/100*15*0.855*0.6*0.388*0.1</f>
        <v>2.8307639592</v>
      </c>
      <c r="T29" s="101">
        <f t="shared" si="17"/>
        <v>22.6461116736</v>
      </c>
      <c r="U29" s="54"/>
      <c r="V29" s="54">
        <f t="shared" si="10"/>
        <v>2.26461116736</v>
      </c>
      <c r="W29" s="112"/>
      <c r="X29" s="38">
        <f>E29/100*15*0.855*0.6*0.13*0.08</f>
        <v>0.7587614736</v>
      </c>
      <c r="Y29" s="39">
        <f>E29/100*15*0.855*0.6*0.13*0.08</f>
        <v>0.7587614736</v>
      </c>
      <c r="Z29" s="54">
        <f>E29/100*15*0.855*0.6*0.13*0.82</f>
        <v>7.7773051044</v>
      </c>
      <c r="AA29" s="39"/>
      <c r="AB29" s="53">
        <f t="shared" si="14"/>
        <v>8.79433731036</v>
      </c>
      <c r="AC29" s="54">
        <f t="shared" si="15"/>
        <v>0.85798412784</v>
      </c>
      <c r="AD29" s="112">
        <f t="shared" si="16"/>
        <v>0.85798412784</v>
      </c>
      <c r="AE29" s="127"/>
      <c r="AF29" s="39"/>
      <c r="AG29" s="141"/>
    </row>
    <row r="30" ht="24.95" customHeight="1" spans="1:33">
      <c r="A30" s="36"/>
      <c r="B30" s="20"/>
      <c r="C30" s="21"/>
      <c r="D30" s="47" t="s">
        <v>57</v>
      </c>
      <c r="E30" s="59">
        <f>SUM(E20:E29)</f>
        <v>5186.71</v>
      </c>
      <c r="F30" s="49">
        <f>E30/100*15*(0.145*0.7*0.43)*0.8*0.95</f>
        <v>25.8066312063</v>
      </c>
      <c r="G30" s="39">
        <f>E30/100*15*(0.145*0.7*0.43)*0.08</f>
        <v>2.7164874954</v>
      </c>
      <c r="H30" s="39">
        <f>E30/100*15*(0.145*0.7*0.43)*0.1</f>
        <v>3.39560936925</v>
      </c>
      <c r="I30" s="54"/>
      <c r="J30" s="54"/>
      <c r="K30" s="54"/>
      <c r="L30" s="54"/>
      <c r="M30" s="54"/>
      <c r="N30" s="39">
        <f>E30/100*15*(0.145*0.7*0.43)*0.8*0.05</f>
        <v>1.3582437477</v>
      </c>
      <c r="O30" s="39"/>
      <c r="P30" s="39"/>
      <c r="Q30" s="39"/>
      <c r="R30" s="118"/>
      <c r="S30" s="49"/>
      <c r="T30" s="114">
        <f>E30/100*15*0.145*0.7*0.04*0.8</f>
        <v>2.526965112</v>
      </c>
      <c r="U30" s="54"/>
      <c r="V30" s="54"/>
      <c r="W30" s="112"/>
      <c r="X30" s="50">
        <f>E30/100*15*(0.145*0.7*0.36)*0.08</f>
        <v>2.2742686008</v>
      </c>
      <c r="Y30" s="39">
        <f>E30/100*15*(0.145*0.7*0.36)*0.08</f>
        <v>2.2742686008</v>
      </c>
      <c r="Z30" s="54">
        <f>E30/100*15*(0.145*0.7*0.36)*0.82</f>
        <v>23.3112531582</v>
      </c>
      <c r="AA30" s="39"/>
      <c r="AB30" s="129">
        <f>E30/100*15*(0.145*0.7*0.17)*0.82</f>
        <v>11.00809176915</v>
      </c>
      <c r="AC30" s="114">
        <f>E30/100*15*(0.145*0.7*0.17)*0.08</f>
        <v>1.0739601726</v>
      </c>
      <c r="AD30" s="115">
        <f>E30/100*15*(0.145*0.7*0.17)*0.08</f>
        <v>1.0739601726</v>
      </c>
      <c r="AE30" s="132"/>
      <c r="AF30" s="39"/>
      <c r="AG30" s="141"/>
    </row>
    <row r="31" ht="24.95" customHeight="1" spans="1:33">
      <c r="A31" s="31">
        <v>3</v>
      </c>
      <c r="B31" s="20"/>
      <c r="C31" s="25" t="s">
        <v>65</v>
      </c>
      <c r="D31" s="51" t="s">
        <v>49</v>
      </c>
      <c r="E31" s="52">
        <v>246.88</v>
      </c>
      <c r="F31" s="34">
        <f>E31/100*15*0.855*0.6*0.334*0.08*0.2</f>
        <v>0.101522191104</v>
      </c>
      <c r="G31" s="35">
        <f>E31/100*15*0.855*0.6*0.334*0.8*0.2</f>
        <v>1.01522191104</v>
      </c>
      <c r="H31" s="35">
        <f>E31/100*15*0.855*0.6*0.334*0.1*0.2</f>
        <v>0.12690273888</v>
      </c>
      <c r="I31" s="82"/>
      <c r="J31" s="35"/>
      <c r="K31" s="35"/>
      <c r="L31" s="35"/>
      <c r="M31" s="82"/>
      <c r="N31" s="98"/>
      <c r="O31" s="98"/>
      <c r="P31" s="98"/>
      <c r="Q31" s="98"/>
      <c r="R31" s="98"/>
      <c r="S31" s="34">
        <f>E31/100*15*0.855*0.6*0.388*0.82*0.2</f>
        <v>1.208843574912</v>
      </c>
      <c r="T31" s="82">
        <f>E31/100*15*0.855*0.6*0.388*0.08*0.2</f>
        <v>0.117935958528</v>
      </c>
      <c r="U31" s="82"/>
      <c r="V31" s="82">
        <f>E31/100*15*0.855*0.6*0.388*0.08*0.2</f>
        <v>0.117935958528</v>
      </c>
      <c r="W31" s="111"/>
      <c r="X31" s="35">
        <f>E31/100*15*0.855*0.6*0.13*0.08*0.2</f>
        <v>0.03951462528</v>
      </c>
      <c r="Y31" s="35">
        <f>E31/100*15*0.855*0.6*0.13*0.82*0.2</f>
        <v>0.40502490912</v>
      </c>
      <c r="Z31" s="82">
        <f>E31/100*15*0.855*0.6*0.13*0.08*0.2</f>
        <v>0.03951462528</v>
      </c>
      <c r="AA31" s="35"/>
      <c r="AB31" s="125">
        <f>E31/100*15*0.855*0.6*0.147*0.82*0.2</f>
        <v>0.457989704928</v>
      </c>
      <c r="AC31" s="82">
        <f>E31/100*15*0.855*0.6*0.147*0.08*0.2</f>
        <v>0.044681922432</v>
      </c>
      <c r="AD31" s="111">
        <f>E31/100*15*0.855*0.6*0.147*0.08*0.2</f>
        <v>0.044681922432</v>
      </c>
      <c r="AE31" s="133"/>
      <c r="AF31" s="39"/>
      <c r="AG31" s="141"/>
    </row>
    <row r="32" ht="24.95" customHeight="1" spans="1:33">
      <c r="A32" s="36"/>
      <c r="B32" s="20"/>
      <c r="C32" s="20"/>
      <c r="D32" s="37" t="s">
        <v>66</v>
      </c>
      <c r="E32" s="33">
        <v>695.4</v>
      </c>
      <c r="F32" s="38">
        <f>E32/100*15*0.855*0.6*0.334*0.08*0.4</f>
        <v>0.57192588864</v>
      </c>
      <c r="G32" s="39">
        <f>E32/100*15*0.855*0.6*0.334*0.8*0.4</f>
        <v>5.7192588864</v>
      </c>
      <c r="H32" s="39">
        <f>E32/100*15*0.855*0.6*0.334*0.1*0.4</f>
        <v>0.7149073608</v>
      </c>
      <c r="I32" s="39"/>
      <c r="J32" s="54"/>
      <c r="K32" s="54"/>
      <c r="L32" s="54"/>
      <c r="M32" s="54"/>
      <c r="N32" s="99"/>
      <c r="O32" s="99"/>
      <c r="P32" s="99"/>
      <c r="Q32" s="99"/>
      <c r="R32" s="99"/>
      <c r="S32" s="38">
        <f>E32/100*15*0.855*0.6*0.388*0.82*0.4</f>
        <v>6.81002772192</v>
      </c>
      <c r="T32" s="54">
        <f>E32/100*15*0.855*0.6*0.388*0.08*0.4</f>
        <v>0.66439294848</v>
      </c>
      <c r="U32" s="54"/>
      <c r="V32" s="54">
        <f>E32/100*15*0.855*0.6*0.388*0.08*0.4</f>
        <v>0.66439294848</v>
      </c>
      <c r="W32" s="112"/>
      <c r="X32" s="38">
        <f>E32/100*15*0.855*0.6*0.13*0.08*0.4</f>
        <v>0.2226058848</v>
      </c>
      <c r="Y32" s="39">
        <f>E32/100*15*0.855*0.6*0.13*0.08*0.4</f>
        <v>0.2226058848</v>
      </c>
      <c r="Z32" s="54">
        <f>E32/100*15*0.855*0.6*0.13*0.82*0.4</f>
        <v>2.2817103192</v>
      </c>
      <c r="AA32" s="39"/>
      <c r="AB32" s="53">
        <f>E32/100*15*0.855*0.6*0.147*0.82*0.4</f>
        <v>2.58008782248</v>
      </c>
      <c r="AC32" s="54">
        <f>E32/100*15*0.855*0.6*0.147*0.08*0.4</f>
        <v>0.25171588512</v>
      </c>
      <c r="AD32" s="112">
        <f>E32/100*15*0.855*0.6*0.147*0.08*0.4</f>
        <v>0.25171588512</v>
      </c>
      <c r="AE32" s="134"/>
      <c r="AF32" s="39"/>
      <c r="AG32" s="141"/>
    </row>
    <row r="33" ht="24.95" customHeight="1" spans="1:39">
      <c r="A33" s="36"/>
      <c r="B33" s="20"/>
      <c r="C33" s="20"/>
      <c r="D33" s="37" t="s">
        <v>67</v>
      </c>
      <c r="E33" s="33">
        <v>743.4</v>
      </c>
      <c r="F33" s="38">
        <f>E33/100*15*0.855*0.6*0.334*0.08*0.4</f>
        <v>0.61140308544</v>
      </c>
      <c r="G33" s="39">
        <f>E33/100*15*0.855*0.6*0.334*0.8*0.4</f>
        <v>6.1140308544</v>
      </c>
      <c r="H33" s="39">
        <f>E33/100*15*0.855*0.6*0.334*0.1*0.4</f>
        <v>0.7642538568</v>
      </c>
      <c r="I33" s="39"/>
      <c r="J33" s="54"/>
      <c r="K33" s="54"/>
      <c r="L33" s="54"/>
      <c r="M33" s="54"/>
      <c r="N33" s="99"/>
      <c r="O33" s="99"/>
      <c r="P33" s="99"/>
      <c r="Q33" s="99"/>
      <c r="R33" s="99"/>
      <c r="S33" s="38">
        <f>E33/100*15*0.855*0.6*0.388*0.82*0.4</f>
        <v>7.28009003232</v>
      </c>
      <c r="T33" s="54">
        <f>E33/100*15*0.855*0.6*0.388*0.08*0.4</f>
        <v>0.71025268608</v>
      </c>
      <c r="U33" s="54"/>
      <c r="V33" s="54">
        <f>E33/100*15*0.855*0.6*0.388*0.08*0.4</f>
        <v>0.71025268608</v>
      </c>
      <c r="W33" s="112"/>
      <c r="X33" s="38">
        <f>E33/100*15*0.855*0.6*0.13*0.82*0.4</f>
        <v>2.4392054232</v>
      </c>
      <c r="Y33" s="39">
        <f>E33/100*15*0.855*0.6*0.13*0.08*0.4</f>
        <v>0.2379712608</v>
      </c>
      <c r="Z33" s="54">
        <f>E33/100*15*0.855*0.6*0.13*0.08*0.4</f>
        <v>0.2379712608</v>
      </c>
      <c r="AA33" s="39"/>
      <c r="AB33" s="53">
        <f>E33/100*15*0.855*0.6*0.147*0.82*0.4</f>
        <v>2.75817844008</v>
      </c>
      <c r="AC33" s="54">
        <f>E33/100*15*0.855*0.6*0.147*0.08*0.4</f>
        <v>0.26909057952</v>
      </c>
      <c r="AD33" s="112">
        <f>E33/100*15*0.855*0.6*0.147*0.08*0.4</f>
        <v>0.26909057952</v>
      </c>
      <c r="AE33" s="134"/>
      <c r="AF33" s="39"/>
      <c r="AG33" s="141"/>
      <c r="AM33" t="s">
        <v>52</v>
      </c>
    </row>
    <row r="34" ht="24.95" customHeight="1" spans="1:33">
      <c r="A34" s="36"/>
      <c r="B34" s="20"/>
      <c r="C34" s="20"/>
      <c r="D34" s="37" t="s">
        <v>53</v>
      </c>
      <c r="E34" s="33">
        <v>134.2</v>
      </c>
      <c r="F34" s="38">
        <f t="shared" ref="F34" si="18">E34/100*15*0.855*0.6*0.334*0.08*0.2</f>
        <v>0.05518583136</v>
      </c>
      <c r="G34" s="39">
        <f t="shared" ref="G34" si="19">E34/100*15*0.855*0.6*0.334*0.8*0.2</f>
        <v>0.5518583136</v>
      </c>
      <c r="H34" s="39">
        <f t="shared" ref="H34" si="20">E34/100*15*0.855*0.6*0.334*0.1*0.2</f>
        <v>0.0689822892</v>
      </c>
      <c r="I34" s="39"/>
      <c r="J34" s="54"/>
      <c r="K34" s="54"/>
      <c r="L34" s="54"/>
      <c r="M34" s="54"/>
      <c r="N34" s="99"/>
      <c r="O34" s="99"/>
      <c r="P34" s="99"/>
      <c r="Q34" s="99"/>
      <c r="R34" s="99"/>
      <c r="S34" s="38">
        <f>E34/100*15*0.855*0.6*0.388*0.1*0.2</f>
        <v>0.0801351144</v>
      </c>
      <c r="T34" s="54">
        <f>E34/100*15*0.855*0.6*0.388*0.8*0.2</f>
        <v>0.6410809152</v>
      </c>
      <c r="U34" s="54"/>
      <c r="V34" s="54">
        <f>E34/100*15*0.855*0.6*0.388*0.08*0.2</f>
        <v>0.06410809152</v>
      </c>
      <c r="W34" s="112"/>
      <c r="X34" s="38">
        <f>E34/100*15*0.855*0.6*0.13*0.08*0.2</f>
        <v>0.0214795152</v>
      </c>
      <c r="Y34" s="39">
        <f>E34/100*15*0.855*0.6*0.13*0.82*0.2</f>
        <v>0.2201650308</v>
      </c>
      <c r="Z34" s="54">
        <f>E34/100*15*0.855*0.6*0.13*0.08*0.2</f>
        <v>0.0214795152</v>
      </c>
      <c r="AA34" s="39"/>
      <c r="AB34" s="53">
        <f>E34/100*15*0.855*0.6*0.147*0.82*0.2</f>
        <v>0.24895584252</v>
      </c>
      <c r="AC34" s="54">
        <f t="shared" ref="AC33:AC36" si="21">E34/100*15*0.855*0.6*0.147*0.08</f>
        <v>0.1214418744</v>
      </c>
      <c r="AD34" s="112">
        <f t="shared" ref="AD33:AD36" si="22">E34/100*15*0.855*0.6*0.147*0.08</f>
        <v>0.1214418744</v>
      </c>
      <c r="AE34" s="134"/>
      <c r="AF34" s="39"/>
      <c r="AG34" s="141"/>
    </row>
    <row r="35" s="1" customFormat="1" ht="24.95" customHeight="1" spans="1:33">
      <c r="A35" s="36"/>
      <c r="B35" s="20"/>
      <c r="C35" s="20"/>
      <c r="D35" s="40" t="s">
        <v>54</v>
      </c>
      <c r="E35" s="41">
        <v>45.61</v>
      </c>
      <c r="F35" s="42">
        <f>E35/100*15*0.855*0.6*0.334*0.08*0.2*1.3</f>
        <v>0.0243825148944</v>
      </c>
      <c r="G35" s="43">
        <f>E35/100*15*0.855*0.6*0.334*0.8*0.2*1.3</f>
        <v>0.243825148944</v>
      </c>
      <c r="H35" s="43">
        <f>E35/100*15*0.855*0.6*0.334*0.1*0.2*1.3</f>
        <v>0.030478143618</v>
      </c>
      <c r="I35" s="43"/>
      <c r="J35" s="43"/>
      <c r="K35" s="56"/>
      <c r="L35" s="43"/>
      <c r="M35" s="43"/>
      <c r="N35" s="100"/>
      <c r="O35" s="100"/>
      <c r="P35" s="100"/>
      <c r="Q35" s="100"/>
      <c r="R35" s="100"/>
      <c r="S35" s="70">
        <f>E35/100*15*0.855*0.6*0.388*0.82*0.2*1.3</f>
        <v>0.2903271309432</v>
      </c>
      <c r="T35" s="103">
        <f>E35/100*15*0.855*0.6*0.388*0.08*0.2*1.3</f>
        <v>0.0283245981408</v>
      </c>
      <c r="U35" s="56"/>
      <c r="V35" s="103">
        <f>E35/100*15*0.855*0.6*0.388*0.08*0.2*1.3</f>
        <v>0.0283245981408</v>
      </c>
      <c r="W35" s="113"/>
      <c r="X35" s="43">
        <f>E35/100*15*0.855*0.6*0.13*0.08*1.3*0.5</f>
        <v>0.02372550102</v>
      </c>
      <c r="Y35" s="43">
        <f>E35/100*15*0.855*0.6*0.13*0.08*1.3*0.5</f>
        <v>0.02372550102</v>
      </c>
      <c r="Z35" s="56">
        <f>E17/100*15*0.855*0.6*0.13*0.82*1.3*0.5</f>
        <v>0.243186385455</v>
      </c>
      <c r="AA35" s="43"/>
      <c r="AB35" s="55">
        <f>E35/100*15*0.855*0.6*0.147*0.82*1.3*0.5</f>
        <v>0.2749876820145</v>
      </c>
      <c r="AC35" s="56">
        <f>E35/100*15*0.855*0.6*0.147*0.08*1.3*0.5</f>
        <v>0.026828066538</v>
      </c>
      <c r="AD35" s="113">
        <f>E35/100*15*0.855*0.6*0.147*0.08*1.3*0.5</f>
        <v>0.026828066538</v>
      </c>
      <c r="AE35" s="135"/>
      <c r="AF35" s="43"/>
      <c r="AG35" s="142" t="s">
        <v>55</v>
      </c>
    </row>
    <row r="36" ht="24.95" customHeight="1" spans="1:33">
      <c r="A36" s="36"/>
      <c r="B36" s="20"/>
      <c r="C36" s="20"/>
      <c r="D36" s="44" t="s">
        <v>56</v>
      </c>
      <c r="E36" s="45">
        <v>849</v>
      </c>
      <c r="F36" s="38">
        <f>E36/100*15*0.855*0.6*0.334*0.08</f>
        <v>1.745632296</v>
      </c>
      <c r="G36" s="39"/>
      <c r="H36" s="39">
        <f t="shared" ref="H36" si="23">E36/100*15*0.855*0.6*0.334*0.1</f>
        <v>2.18204037</v>
      </c>
      <c r="I36" s="54"/>
      <c r="J36" s="54"/>
      <c r="K36" s="54">
        <f>E36/100*15*0.855*0.6*0.334*0.8</f>
        <v>17.45632296</v>
      </c>
      <c r="L36" s="54"/>
      <c r="M36" s="54"/>
      <c r="N36" s="99"/>
      <c r="O36" s="99"/>
      <c r="P36" s="99"/>
      <c r="Q36" s="99"/>
      <c r="R36" s="99"/>
      <c r="S36" s="38">
        <f>E36/100*15*0.855*0.6*0.388*0.82</f>
        <v>20.785567788</v>
      </c>
      <c r="T36" s="54">
        <f>E36/100*15*0.855*0.6*0.388*0.08</f>
        <v>2.027860272</v>
      </c>
      <c r="U36" s="54"/>
      <c r="V36" s="54">
        <f t="shared" ref="T32:V36" si="24">E36/100*15*0.855*0.6*0.388*0.08</f>
        <v>2.027860272</v>
      </c>
      <c r="W36" s="112"/>
      <c r="X36" s="38">
        <f>E36/100*15*0.855*0.6*0.13*0.08</f>
        <v>0.67943772</v>
      </c>
      <c r="Y36" s="39">
        <f>E36/100*15*0.855*0.6*0.13*0.08</f>
        <v>0.67943772</v>
      </c>
      <c r="Z36" s="54">
        <f>E36/100*15*0.855*0.6*0.13*0.82</f>
        <v>6.96423663</v>
      </c>
      <c r="AA36" s="39"/>
      <c r="AB36" s="53">
        <f>E36/100*15*0.855*0.6*0.147*0.82</f>
        <v>7.874944497</v>
      </c>
      <c r="AC36" s="54">
        <f t="shared" si="21"/>
        <v>0.768287268</v>
      </c>
      <c r="AD36" s="112">
        <f t="shared" si="22"/>
        <v>0.768287268</v>
      </c>
      <c r="AE36" s="134"/>
      <c r="AF36" s="39"/>
      <c r="AG36" s="141"/>
    </row>
    <row r="37" ht="24.95" customHeight="1" spans="1:33">
      <c r="A37" s="36"/>
      <c r="B37" s="20"/>
      <c r="C37" s="46"/>
      <c r="D37" s="47" t="s">
        <v>57</v>
      </c>
      <c r="E37" s="60">
        <f>SUM(E31:E36)</f>
        <v>2714.49</v>
      </c>
      <c r="F37" s="49">
        <f>E37/100*15*(0.145*0.7*0.43)*0.08</f>
        <v>1.4216869926</v>
      </c>
      <c r="G37" s="50">
        <f>E37/100*15*(0.145*0.7*0.43)*0.08</f>
        <v>1.4216869926</v>
      </c>
      <c r="H37" s="50">
        <f>E37/100*15*(0.145*0.7*0.43)*(0.8*0.95+0.02)</f>
        <v>13.86144817785</v>
      </c>
      <c r="I37" s="50"/>
      <c r="J37" s="50"/>
      <c r="K37" s="50"/>
      <c r="L37" s="50"/>
      <c r="M37" s="101"/>
      <c r="N37" s="102">
        <f>E37/100*15*(0.145*0.7*0.43)*0.8*0.05</f>
        <v>0.7108434963</v>
      </c>
      <c r="O37" s="102"/>
      <c r="P37" s="102"/>
      <c r="Q37" s="102"/>
      <c r="R37" s="102"/>
      <c r="S37" s="49"/>
      <c r="T37" s="114">
        <f>E37/100*15*0.145*0.7*0.04*0.8</f>
        <v>1.322499528</v>
      </c>
      <c r="U37" s="114"/>
      <c r="V37" s="114"/>
      <c r="W37" s="115"/>
      <c r="X37" s="50">
        <f>E37/100*15*(0.145*0.7*0.36)*0.08</f>
        <v>1.1902495752</v>
      </c>
      <c r="Y37" s="50">
        <f>E37/100*15*(0.145*0.7*0.36)*0.08</f>
        <v>1.1902495752</v>
      </c>
      <c r="Z37" s="50">
        <f>E37/100*15*(0.145*0.7*0.36)*0.82</f>
        <v>12.2000581458</v>
      </c>
      <c r="AA37" s="50"/>
      <c r="AB37" s="129">
        <f>E37/100*15*(0.145*0.7*0.17)*0.82</f>
        <v>5.76113856885</v>
      </c>
      <c r="AC37" s="114">
        <f>E37/100*15*(0.145*0.7*0.17)*0.08</f>
        <v>0.5620622994</v>
      </c>
      <c r="AD37" s="115">
        <f>E37/100*15*(0.145*0.7*0.17)*0.08</f>
        <v>0.5620622994</v>
      </c>
      <c r="AE37" s="136"/>
      <c r="AF37" s="39"/>
      <c r="AG37" s="141"/>
    </row>
    <row r="38" ht="24.95" customHeight="1" spans="1:33">
      <c r="A38" s="31">
        <v>4</v>
      </c>
      <c r="B38" s="20"/>
      <c r="C38" s="21" t="s">
        <v>68</v>
      </c>
      <c r="D38" s="32" t="s">
        <v>49</v>
      </c>
      <c r="E38" s="33">
        <v>246.88</v>
      </c>
      <c r="F38" s="34">
        <f>E38/100*15*0.855*0.6*0.334*0.08*0.2</f>
        <v>0.101522191104</v>
      </c>
      <c r="G38" s="35">
        <f>E38/100*15*0.855*0.6*0.334*0.8*0.2</f>
        <v>1.01522191104</v>
      </c>
      <c r="H38" s="35">
        <f>E38/100*15*0.855*0.6*0.334*0.02*0.2</f>
        <v>0.025380547776</v>
      </c>
      <c r="I38" s="82"/>
      <c r="J38" s="35"/>
      <c r="K38" s="35"/>
      <c r="L38" s="35"/>
      <c r="M38" s="82"/>
      <c r="N38" s="98"/>
      <c r="O38" s="98"/>
      <c r="P38" s="98"/>
      <c r="Q38" s="98"/>
      <c r="R38" s="98"/>
      <c r="S38" s="34">
        <f>E38/100*15*0.855*0.6*0.388*0.82*0.2</f>
        <v>1.208843574912</v>
      </c>
      <c r="T38" s="82">
        <f>E38/100*15*0.855*0.6*0.388*0.08*0.2</f>
        <v>0.117935958528</v>
      </c>
      <c r="U38" s="82"/>
      <c r="V38" s="82">
        <f>E38/100*15*0.855*0.6*0.388*0.08*0.2</f>
        <v>0.117935958528</v>
      </c>
      <c r="W38" s="111"/>
      <c r="X38" s="35">
        <f>E38/100*15*0.855*0.6*0.13*0.08*0.2</f>
        <v>0.03951462528</v>
      </c>
      <c r="Y38" s="35">
        <f>E38/100*15*0.855*0.6*0.13*0.82*0.2</f>
        <v>0.40502490912</v>
      </c>
      <c r="Z38" s="82">
        <f>E38/100*15*0.855*0.6*0.13*0.08*0.2</f>
        <v>0.03951462528</v>
      </c>
      <c r="AA38" s="35"/>
      <c r="AB38" s="125">
        <f>E38/100*15*0.855*0.6*0.147*0.82*0.2</f>
        <v>0.457989704928</v>
      </c>
      <c r="AC38" s="82">
        <f>E38/100*15*0.855*0.6*0.147*0.08*0.2</f>
        <v>0.044681922432</v>
      </c>
      <c r="AD38" s="111">
        <f>E38/100*15*0.855*0.6*0.147*0.08*0.2</f>
        <v>0.044681922432</v>
      </c>
      <c r="AE38" s="126"/>
      <c r="AF38" s="39"/>
      <c r="AG38" s="141"/>
    </row>
    <row r="39" ht="24.95" customHeight="1" spans="1:33">
      <c r="A39" s="36"/>
      <c r="B39" s="20"/>
      <c r="C39" s="21"/>
      <c r="D39" s="37" t="s">
        <v>69</v>
      </c>
      <c r="E39" s="33">
        <v>62</v>
      </c>
      <c r="F39" s="38">
        <f>E39/100*15*0.855*0.6*0.334*0.08</f>
        <v>0.127478448</v>
      </c>
      <c r="G39" s="39"/>
      <c r="H39" s="39">
        <f>E39/100*15*0.855*0.6*0.334*0.1</f>
        <v>0.15934806</v>
      </c>
      <c r="I39" s="39"/>
      <c r="J39" s="54"/>
      <c r="K39" s="54"/>
      <c r="L39" s="54"/>
      <c r="M39" s="54">
        <f>E39/100*15*0.855*0.6*0.334*0.8</f>
        <v>1.27478448</v>
      </c>
      <c r="N39" s="99"/>
      <c r="O39" s="99"/>
      <c r="P39" s="99"/>
      <c r="Q39" s="99"/>
      <c r="R39" s="99"/>
      <c r="S39" s="38">
        <f>E39/100*15*0.855*0.6*0.388*0.1</f>
        <v>0.18511092</v>
      </c>
      <c r="T39" s="54">
        <f>E39/100*15*0.855*0.6*0.388*0.8</f>
        <v>1.48088736</v>
      </c>
      <c r="U39" s="54"/>
      <c r="V39" s="54">
        <f t="shared" ref="V39:V40" si="25">E39/100*15*0.855*0.6*0.388*0.08</f>
        <v>0.148088736</v>
      </c>
      <c r="W39" s="112"/>
      <c r="X39" s="38">
        <f>E39/100*15*0.855*0.6*0.13*0.08</f>
        <v>0.04961736</v>
      </c>
      <c r="Y39" s="54">
        <f>E39/100*15*0.855*0.6*0.13*0.82</f>
        <v>0.50857794</v>
      </c>
      <c r="Z39" s="54">
        <f>E39/100*15*0.855*0.6*0.13*0.08</f>
        <v>0.04961736</v>
      </c>
      <c r="AA39" s="54"/>
      <c r="AB39" s="53">
        <f>E39/100*15*0.855*0.6*0.147*0.82</f>
        <v>0.575084286</v>
      </c>
      <c r="AC39" s="54">
        <f>E39/100*15*0.855*0.6*0.147*0.08</f>
        <v>0.056105784</v>
      </c>
      <c r="AD39" s="112">
        <f>E39/100*15*0.855*0.6*0.147*0.08</f>
        <v>0.056105784</v>
      </c>
      <c r="AE39" s="127"/>
      <c r="AF39" s="39"/>
      <c r="AG39" s="141"/>
    </row>
    <row r="40" ht="24.95" customHeight="1" spans="1:39">
      <c r="A40" s="36"/>
      <c r="B40" s="20"/>
      <c r="C40" s="21"/>
      <c r="D40" s="44" t="s">
        <v>56</v>
      </c>
      <c r="E40" s="45">
        <v>775.64</v>
      </c>
      <c r="F40" s="38">
        <f>E40/100*15*0.855*0.6*0.334*0.08</f>
        <v>1.59479650656</v>
      </c>
      <c r="G40" s="39">
        <f>E40/100*15*0.855*0.6*0.334*0.08</f>
        <v>1.59479650656</v>
      </c>
      <c r="H40" s="39">
        <f>E40/100*15*0.855*0.6*0.334*0.02</f>
        <v>0.39869912664</v>
      </c>
      <c r="I40" s="39"/>
      <c r="J40" s="54"/>
      <c r="K40" s="54"/>
      <c r="L40" s="54">
        <f>E40/100*15*0.855*0.6*0.334*0.8</f>
        <v>15.9479650656</v>
      </c>
      <c r="M40" s="54"/>
      <c r="N40" s="99"/>
      <c r="O40" s="99"/>
      <c r="P40" s="99"/>
      <c r="Q40" s="99"/>
      <c r="R40" s="99"/>
      <c r="S40" s="38">
        <f>E40/100*15*0.855*0.6*0.388*0.82</f>
        <v>18.98953804368</v>
      </c>
      <c r="T40" s="54">
        <f>E40/100*15*0.855*0.6*0.388*0.08</f>
        <v>1.85263785792</v>
      </c>
      <c r="U40" s="54"/>
      <c r="V40" s="54">
        <f t="shared" si="25"/>
        <v>1.85263785792</v>
      </c>
      <c r="W40" s="112"/>
      <c r="X40" s="38">
        <f>E40/100*15*0.855*0.6*0.13*0.08</f>
        <v>0.6207291792</v>
      </c>
      <c r="Y40" s="39">
        <f>E40/100*15*0.855*0.6*0.13*0.82</f>
        <v>6.3624740868</v>
      </c>
      <c r="Z40" s="54">
        <f>E40/100*15*0.855*0.6*0.13*0.08</f>
        <v>0.6207291792</v>
      </c>
      <c r="AA40" s="39"/>
      <c r="AB40" s="53">
        <f>E40/100*15*0.855*0.6*0.147*0.82</f>
        <v>7.19448992892</v>
      </c>
      <c r="AC40" s="54">
        <f>E40/100*15*0.855*0.6*0.147*0.08</f>
        <v>0.70190145648</v>
      </c>
      <c r="AD40" s="112">
        <f>E40/100*15*0.855*0.6*0.147*0.08</f>
        <v>0.70190145648</v>
      </c>
      <c r="AE40" s="127"/>
      <c r="AF40" s="39"/>
      <c r="AG40" s="141"/>
      <c r="AM40" t="s">
        <v>52</v>
      </c>
    </row>
    <row r="41" ht="24.95" customHeight="1" spans="1:33">
      <c r="A41" s="36"/>
      <c r="B41" s="20"/>
      <c r="C41" s="21"/>
      <c r="D41" s="47" t="s">
        <v>57</v>
      </c>
      <c r="E41" s="59">
        <f>SUM(E38:E40)</f>
        <v>1084.52</v>
      </c>
      <c r="F41" s="49">
        <f>E41/100*15*(0.145*0.7*0.43)*0.08</f>
        <v>0.5680065048</v>
      </c>
      <c r="G41" s="50">
        <f>E41/100*15*(0.145*0.7*0.43)*0.08</f>
        <v>0.5680065048</v>
      </c>
      <c r="H41" s="50">
        <f>E41/100*15*(0.145*0.7*0.43)*(0.8*0.95+0.02)</f>
        <v>5.5380634218</v>
      </c>
      <c r="I41" s="54"/>
      <c r="J41" s="54"/>
      <c r="K41" s="54"/>
      <c r="L41" s="54"/>
      <c r="M41" s="54"/>
      <c r="N41" s="101">
        <f>E41/100*15*(0.145*0.7*0.43)*0.8*0.05</f>
        <v>0.2840032524</v>
      </c>
      <c r="O41" s="39"/>
      <c r="P41" s="99"/>
      <c r="Q41" s="102"/>
      <c r="R41" s="99"/>
      <c r="S41" s="38">
        <f>E41/100*15*0.145*0.7*0.04*0.82</f>
        <v>0.5415875976</v>
      </c>
      <c r="T41" s="54"/>
      <c r="U41" s="54"/>
      <c r="V41" s="54"/>
      <c r="W41" s="112"/>
      <c r="X41" s="50">
        <f>E41/100*15*(0.145*0.7*0.36)*0.08</f>
        <v>0.4755403296</v>
      </c>
      <c r="Y41" s="39">
        <f>E41/100*15*(0.145*0.7*0.36)*0.08</f>
        <v>0.4755403296</v>
      </c>
      <c r="Z41" s="54"/>
      <c r="AA41" s="50">
        <f>E41/100*15*(0.145*0.7*0.36)*0.82</f>
        <v>4.8742883784</v>
      </c>
      <c r="AB41" s="129">
        <f>E41/100*15*(0.145*0.7*0.17)*0.82</f>
        <v>2.3017472898</v>
      </c>
      <c r="AC41" s="114">
        <f>E41/100*15*(0.145*0.7*0.17)*0.08</f>
        <v>0.2245607112</v>
      </c>
      <c r="AD41" s="115">
        <f>E41/100*15*(0.145*0.7*0.17)*0.08</f>
        <v>0.2245607112</v>
      </c>
      <c r="AE41" s="127"/>
      <c r="AF41" s="39"/>
      <c r="AG41" s="141"/>
    </row>
    <row r="42" ht="24.95" customHeight="1" spans="1:33">
      <c r="A42" s="31">
        <v>5</v>
      </c>
      <c r="B42" s="20"/>
      <c r="C42" s="21" t="s">
        <v>70</v>
      </c>
      <c r="D42" s="51" t="s">
        <v>49</v>
      </c>
      <c r="E42" s="52">
        <v>212.8</v>
      </c>
      <c r="F42" s="34">
        <f>E42/100*15*0.855*0.6*0.334*0.08*0.2</f>
        <v>0.08750778624</v>
      </c>
      <c r="G42" s="35">
        <f>E42/100*15*0.855*0.6*0.334*0.8*0.2</f>
        <v>0.8750778624</v>
      </c>
      <c r="H42" s="35">
        <f>E42/100*15*0.855*0.6*0.334*0.1*0.2</f>
        <v>0.1093847328</v>
      </c>
      <c r="I42" s="82"/>
      <c r="J42" s="82"/>
      <c r="K42" s="82"/>
      <c r="L42" s="82"/>
      <c r="M42" s="82"/>
      <c r="N42" s="98"/>
      <c r="O42" s="98"/>
      <c r="P42" s="98"/>
      <c r="Q42" s="98"/>
      <c r="R42" s="98"/>
      <c r="S42" s="34">
        <f>E42/100*15*0.855*0.6*0.388*0.82*0.2</f>
        <v>1.04197145472</v>
      </c>
      <c r="T42" s="82">
        <f>E42/100*15*0.855*0.6*0.388*0.08*0.2</f>
        <v>0.10165575168</v>
      </c>
      <c r="U42" s="82"/>
      <c r="V42" s="82">
        <f t="shared" ref="V42:V47" si="26">E42/100*15*0.855*0.6*0.388*0.08*0.2</f>
        <v>0.10165575168</v>
      </c>
      <c r="W42" s="111"/>
      <c r="X42" s="35">
        <f>E42/100*15*0.855*0.6*0.13*0.08*0.2</f>
        <v>0.0340599168</v>
      </c>
      <c r="Y42" s="35">
        <f>E42/100*15*0.855*0.6*0.13*0.82*0.2</f>
        <v>0.3491141472</v>
      </c>
      <c r="Z42" s="82">
        <f>E42/100*15*0.855*0.6*0.13*0.08*0.2</f>
        <v>0.0340599168</v>
      </c>
      <c r="AA42" s="35"/>
      <c r="AB42" s="125">
        <f>E42/100*15*0.855*0.6*0.147*0.82*0.2</f>
        <v>0.39476753568</v>
      </c>
      <c r="AC42" s="82">
        <f t="shared" ref="AC42:AC47" si="27">E42/100*15*0.855*0.6*0.147*0.08*0.2</f>
        <v>0.03851390592</v>
      </c>
      <c r="AD42" s="111">
        <f t="shared" ref="AD42:AD47" si="28">E42/100*15*0.855*0.6*0.147*0.08*0.2</f>
        <v>0.03851390592</v>
      </c>
      <c r="AE42" s="126"/>
      <c r="AF42" s="39"/>
      <c r="AG42" s="141"/>
    </row>
    <row r="43" ht="24.95" customHeight="1" spans="1:33">
      <c r="A43" s="36"/>
      <c r="B43" s="20"/>
      <c r="C43" s="21"/>
      <c r="D43" s="37" t="s">
        <v>66</v>
      </c>
      <c r="E43" s="33">
        <v>1145.28</v>
      </c>
      <c r="F43" s="38">
        <f>E43/100*15*0.855*0.6*0.334*0.08*0.2</f>
        <v>0.470962957824</v>
      </c>
      <c r="G43" s="39">
        <f>E43/100*15*0.855*0.6*0.334*0.8*0.2</f>
        <v>4.70962957824</v>
      </c>
      <c r="H43" s="39">
        <f>E43/100*15*0.855*0.6*0.334*0.1*0.2</f>
        <v>0.58870369728</v>
      </c>
      <c r="I43" s="39"/>
      <c r="J43" s="54"/>
      <c r="K43" s="39"/>
      <c r="L43" s="54"/>
      <c r="M43" s="54"/>
      <c r="N43" s="99"/>
      <c r="O43" s="99"/>
      <c r="P43" s="99"/>
      <c r="Q43" s="99"/>
      <c r="R43" s="99"/>
      <c r="S43" s="38">
        <f>E43/100*15*0.855*0.6*0.388*0.82*0.2</f>
        <v>5.607843363072</v>
      </c>
      <c r="T43" s="54">
        <f>E43/100*15*0.855*0.6*0.388*0.08*0.2</f>
        <v>0.547106669568</v>
      </c>
      <c r="U43" s="54"/>
      <c r="V43" s="54">
        <f t="shared" si="26"/>
        <v>0.547106669568</v>
      </c>
      <c r="W43" s="112"/>
      <c r="X43" s="38">
        <f>E43/100*15*0.855*0.6*0.13*0.08*0.2</f>
        <v>0.18330893568</v>
      </c>
      <c r="Y43" s="39">
        <f>E43/100*15*0.855*0.6*0.13*0.08*0.2</f>
        <v>0.18330893568</v>
      </c>
      <c r="Z43" s="54">
        <f>E43/100*15*0.855*0.6*0.13*0.82*0.2</f>
        <v>1.87891659072</v>
      </c>
      <c r="AA43" s="39"/>
      <c r="AB43" s="53">
        <f>E43/100*15*0.855*0.6*0.147*0.82*0.2</f>
        <v>2.124621067968</v>
      </c>
      <c r="AC43" s="54">
        <f t="shared" si="27"/>
        <v>0.207280104192</v>
      </c>
      <c r="AD43" s="112">
        <f t="shared" si="28"/>
        <v>0.207280104192</v>
      </c>
      <c r="AE43" s="127"/>
      <c r="AF43" s="39"/>
      <c r="AG43" s="141"/>
    </row>
    <row r="44" ht="24.95" customHeight="1" spans="1:39">
      <c r="A44" s="36"/>
      <c r="B44" s="20"/>
      <c r="C44" s="21"/>
      <c r="D44" s="37" t="s">
        <v>67</v>
      </c>
      <c r="E44" s="33">
        <v>939.6</v>
      </c>
      <c r="F44" s="38">
        <f t="shared" ref="F44:F47" si="29">E44/100*15*0.855*0.6*0.334*0.08*0.2</f>
        <v>0.38638306368</v>
      </c>
      <c r="G44" s="39">
        <f t="shared" ref="G44:G47" si="30">E44/100*15*0.855*0.6*0.334*0.8*0.2</f>
        <v>3.8638306368</v>
      </c>
      <c r="H44" s="39">
        <f t="shared" ref="H44:H47" si="31">E44/100*15*0.855*0.6*0.334*0.1*0.2</f>
        <v>0.4829788296</v>
      </c>
      <c r="I44" s="39"/>
      <c r="J44" s="54"/>
      <c r="K44" s="39"/>
      <c r="L44" s="54"/>
      <c r="M44" s="54"/>
      <c r="N44" s="99"/>
      <c r="O44" s="99"/>
      <c r="P44" s="99"/>
      <c r="Q44" s="99"/>
      <c r="R44" s="99"/>
      <c r="S44" s="38">
        <f>E44/100*15*0.855*0.6*0.388*0.82*0.2</f>
        <v>4.60073486304</v>
      </c>
      <c r="T44" s="54">
        <f>E44/100*15*0.855*0.6*0.388*0.08*0.2</f>
        <v>0.44885218176</v>
      </c>
      <c r="U44" s="54"/>
      <c r="V44" s="54">
        <f t="shared" si="26"/>
        <v>0.44885218176</v>
      </c>
      <c r="W44" s="112"/>
      <c r="X44" s="38">
        <f>E44/100*15*0.855*0.6*0.13*0.82*0.2</f>
        <v>1.5414833304</v>
      </c>
      <c r="Y44" s="39">
        <f>E44/100*15*0.855*0.6*0.13*0.08*0.2</f>
        <v>0.1503886176</v>
      </c>
      <c r="Z44" s="54">
        <f>E44/100*15*0.855*0.6*0.13*0.08*0.2</f>
        <v>0.1503886176</v>
      </c>
      <c r="AA44" s="39"/>
      <c r="AB44" s="53">
        <f>E44/100*15*0.855*0.6*0.147*0.82*0.2</f>
        <v>1.74306191976</v>
      </c>
      <c r="AC44" s="54">
        <f t="shared" si="27"/>
        <v>0.17005482144</v>
      </c>
      <c r="AD44" s="112">
        <f t="shared" si="28"/>
        <v>0.17005482144</v>
      </c>
      <c r="AE44" s="127"/>
      <c r="AF44" s="39"/>
      <c r="AG44" s="141"/>
      <c r="AM44" t="s">
        <v>52</v>
      </c>
    </row>
    <row r="45" ht="24.95" customHeight="1" spans="1:33">
      <c r="A45" s="36"/>
      <c r="B45" s="20"/>
      <c r="C45" s="21"/>
      <c r="D45" s="37" t="s">
        <v>53</v>
      </c>
      <c r="E45" s="33">
        <v>192.76</v>
      </c>
      <c r="F45" s="38">
        <f t="shared" si="29"/>
        <v>0.079266921408</v>
      </c>
      <c r="G45" s="39">
        <f t="shared" si="30"/>
        <v>0.79266921408</v>
      </c>
      <c r="H45" s="39">
        <f t="shared" si="31"/>
        <v>0.09908365176</v>
      </c>
      <c r="I45" s="39"/>
      <c r="J45" s="54"/>
      <c r="K45" s="39"/>
      <c r="L45" s="54"/>
      <c r="M45" s="54"/>
      <c r="N45" s="99"/>
      <c r="O45" s="99"/>
      <c r="P45" s="99"/>
      <c r="Q45" s="99"/>
      <c r="R45" s="99"/>
      <c r="S45" s="38">
        <f>E45/100*15*0.855*0.6*0.388*0.1*0.2</f>
        <v>0.11510316432</v>
      </c>
      <c r="T45" s="54">
        <f>E45/100*15*0.855*0.6*0.388*0.8*0.2</f>
        <v>0.92082531456</v>
      </c>
      <c r="U45" s="54"/>
      <c r="V45" s="54">
        <f t="shared" si="26"/>
        <v>0.092082531456</v>
      </c>
      <c r="W45" s="112"/>
      <c r="X45" s="38">
        <f>E45/100*15*0.855*0.6*0.13*0.08*0.2</f>
        <v>0.03085239456</v>
      </c>
      <c r="Y45" s="39">
        <f>E45/100*15*0.855*0.6*0.13*0.82*0.2</f>
        <v>0.31623704424</v>
      </c>
      <c r="Z45" s="54">
        <f>E45/100*15*0.855*0.6*0.13*0.08*0.2</f>
        <v>0.03085239456</v>
      </c>
      <c r="AA45" s="39"/>
      <c r="AB45" s="53">
        <f>E45/100*15*0.855*0.6*0.147*0.82*0.2</f>
        <v>0.357591119256</v>
      </c>
      <c r="AC45" s="54">
        <f t="shared" si="27"/>
        <v>0.034886938464</v>
      </c>
      <c r="AD45" s="112">
        <f t="shared" si="28"/>
        <v>0.034886938464</v>
      </c>
      <c r="AE45" s="127"/>
      <c r="AF45" s="39"/>
      <c r="AG45" s="141"/>
    </row>
    <row r="46" s="1" customFormat="1" ht="24.95" customHeight="1" spans="1:33">
      <c r="A46" s="36"/>
      <c r="B46" s="20"/>
      <c r="C46" s="21"/>
      <c r="D46" s="40" t="s">
        <v>54</v>
      </c>
      <c r="E46" s="41">
        <v>45.61</v>
      </c>
      <c r="F46" s="42">
        <f>E46/100*15*0.855*0.6*0.334*0.08*0.2*1.3</f>
        <v>0.0243825148944</v>
      </c>
      <c r="G46" s="43">
        <f>E46/100*15*0.855*0.6*0.334*0.8*0.2*1.3</f>
        <v>0.243825148944</v>
      </c>
      <c r="H46" s="43">
        <f>E46/100*15*0.855*0.6*0.334*0.1*0.2*1.3</f>
        <v>0.030478143618</v>
      </c>
      <c r="I46" s="43"/>
      <c r="J46" s="43"/>
      <c r="K46" s="43"/>
      <c r="L46" s="43"/>
      <c r="M46" s="43"/>
      <c r="N46" s="100"/>
      <c r="O46" s="100"/>
      <c r="P46" s="100"/>
      <c r="Q46" s="100"/>
      <c r="R46" s="100"/>
      <c r="S46" s="42">
        <f>E46/100*15*0.855*0.6*0.388*0.82*1.3*0.2</f>
        <v>0.2903271309432</v>
      </c>
      <c r="T46" s="103">
        <f>E46/100*15*0.855*0.6*0.388*0.08*0.2</f>
        <v>0.021788152416</v>
      </c>
      <c r="U46" s="56"/>
      <c r="V46" s="103">
        <f t="shared" si="26"/>
        <v>0.021788152416</v>
      </c>
      <c r="W46" s="113"/>
      <c r="X46" s="43">
        <f>E46/100*15*0.855*0.6*0.13*0.08*1.3*0.5</f>
        <v>0.02372550102</v>
      </c>
      <c r="Y46" s="43">
        <f>E46/100*15*0.855*0.6*0.13*0.08*1.3*0.5</f>
        <v>0.02372550102</v>
      </c>
      <c r="Z46" s="56">
        <f>E17/100*15*0.855*0.6*0.13*0.82*1.3*0.5</f>
        <v>0.243186385455</v>
      </c>
      <c r="AA46" s="43"/>
      <c r="AB46" s="55">
        <f>E46/100*15*0.855*0.6*0.147*0.82*1.3*0.5</f>
        <v>0.2749876820145</v>
      </c>
      <c r="AC46" s="56">
        <f>E46/100*15*0.855*0.6*0.147*0.08*1.3*0.5</f>
        <v>0.026828066538</v>
      </c>
      <c r="AD46" s="113">
        <f>E46/100*15*0.855*0.6*0.147*0.08*1.3*0.5</f>
        <v>0.026828066538</v>
      </c>
      <c r="AE46" s="128"/>
      <c r="AF46" s="43"/>
      <c r="AG46" s="142" t="s">
        <v>55</v>
      </c>
    </row>
    <row r="47" ht="24.95" customHeight="1" spans="1:33">
      <c r="A47" s="36"/>
      <c r="B47" s="20"/>
      <c r="C47" s="21"/>
      <c r="D47" s="37" t="s">
        <v>61</v>
      </c>
      <c r="E47" s="33">
        <v>33.28</v>
      </c>
      <c r="F47" s="38">
        <f t="shared" si="29"/>
        <v>0.013685428224</v>
      </c>
      <c r="G47" s="39">
        <f>E47/100*15*0.855*0.6*0.334*0.8*0.2</f>
        <v>0.13685428224</v>
      </c>
      <c r="H47" s="39">
        <f t="shared" si="31"/>
        <v>0.01710678528</v>
      </c>
      <c r="I47" s="39"/>
      <c r="J47" s="39"/>
      <c r="K47" s="39"/>
      <c r="L47" s="39"/>
      <c r="M47" s="39"/>
      <c r="N47" s="99"/>
      <c r="O47" s="99"/>
      <c r="P47" s="99"/>
      <c r="Q47" s="99"/>
      <c r="R47" s="99"/>
      <c r="S47" s="38">
        <f>E47/100*15*0.855*0.6*0.388*0.82*0.2</f>
        <v>0.162954934272</v>
      </c>
      <c r="T47" s="54">
        <f>E47/100*15*0.855*0.6*0.388*0.08*0.2</f>
        <v>0.015898042368</v>
      </c>
      <c r="U47" s="54"/>
      <c r="V47" s="54">
        <f t="shared" si="26"/>
        <v>0.015898042368</v>
      </c>
      <c r="W47" s="112"/>
      <c r="X47" s="38">
        <f>E47/100*15*0.855*0.6*0.13*0.08*0.2</f>
        <v>0.00532666368</v>
      </c>
      <c r="Y47" s="39">
        <f>E47/100*15*0.855*0.6*0.13*0.82*0.2</f>
        <v>0.05459830272</v>
      </c>
      <c r="Z47" s="54">
        <f>E47/100*15*0.855*0.6*0.13*0.08*0.2</f>
        <v>0.00532666368</v>
      </c>
      <c r="AA47" s="39"/>
      <c r="AB47" s="53">
        <f>E47/100*15*0.855*0.6*0.147*0.82*0.2</f>
        <v>0.061738080768</v>
      </c>
      <c r="AC47" s="54">
        <f t="shared" si="27"/>
        <v>0.006023227392</v>
      </c>
      <c r="AD47" s="112">
        <f t="shared" si="28"/>
        <v>0.006023227392</v>
      </c>
      <c r="AE47" s="127"/>
      <c r="AF47" s="39"/>
      <c r="AG47" s="141"/>
    </row>
    <row r="48" ht="25" customHeight="1" spans="1:33">
      <c r="A48" s="36"/>
      <c r="B48" s="20"/>
      <c r="C48" s="21"/>
      <c r="D48" s="61" t="s">
        <v>56</v>
      </c>
      <c r="E48" s="62">
        <v>1258.26</v>
      </c>
      <c r="F48" s="38">
        <f>E48/100*15*0.855*0.6*0.334*0.8*1.2</f>
        <v>31.04536102848</v>
      </c>
      <c r="G48" s="39">
        <f>E48/100*15*0.855*0.6*0.334*0.08*1.2</f>
        <v>3.104536102848</v>
      </c>
      <c r="H48" s="39">
        <f>E48/100*15*0.855*0.6*0.334*0.1*1.2</f>
        <v>3.88067012856</v>
      </c>
      <c r="I48" s="39"/>
      <c r="J48" s="54"/>
      <c r="K48" s="39"/>
      <c r="L48" s="54"/>
      <c r="M48" s="54"/>
      <c r="N48" s="99"/>
      <c r="O48" s="99"/>
      <c r="P48" s="99"/>
      <c r="Q48" s="99"/>
      <c r="R48" s="99"/>
      <c r="S48" s="38">
        <f>E48/100*15*0.855*0.6*0.388*0.82*1.2</f>
        <v>36.966287667744</v>
      </c>
      <c r="T48" s="54">
        <f>E48/100*15*0.855*0.6*0.388*0.08*1.2</f>
        <v>3.606467089536</v>
      </c>
      <c r="U48" s="54"/>
      <c r="V48" s="54">
        <f>E48/100*15*0.855*0.6*0.388*0.08*1.2</f>
        <v>3.606467089536</v>
      </c>
      <c r="W48" s="112"/>
      <c r="X48" s="38">
        <f>E48/100*15*0.855*0.6*0.13*0.08</f>
        <v>1.0069603128</v>
      </c>
      <c r="Y48" s="39">
        <f>E48/100*15*0.855*0.6*0.13*0.08</f>
        <v>1.0069603128</v>
      </c>
      <c r="Z48" s="54">
        <f>E48/100*15*0.855*0.6*0.13*0.82</f>
        <v>10.3213432062</v>
      </c>
      <c r="AA48" s="39"/>
      <c r="AB48" s="53">
        <f>E48/100*15*0.855*0.6*0.147*0.82</f>
        <v>11.67105731778</v>
      </c>
      <c r="AC48" s="54">
        <f>E48/100*15*0.855*0.6*0.147*0.08</f>
        <v>1.13863973832</v>
      </c>
      <c r="AD48" s="112">
        <f>E48/100*15*0.855*0.6*0.147*0.08</f>
        <v>1.13863973832</v>
      </c>
      <c r="AE48" s="127"/>
      <c r="AF48" s="39"/>
      <c r="AG48" s="143" t="s">
        <v>71</v>
      </c>
    </row>
    <row r="49" ht="24.95" customHeight="1" spans="1:39">
      <c r="A49" s="36"/>
      <c r="B49" s="20"/>
      <c r="C49" s="21"/>
      <c r="D49" s="63" t="s">
        <v>72</v>
      </c>
      <c r="E49" s="64">
        <v>1258.92</v>
      </c>
      <c r="F49" s="38">
        <f>E49/100*15*0.855*0.6*0.334*0.8</f>
        <v>25.8847044768</v>
      </c>
      <c r="G49" s="39">
        <f>E49/100*15*0.855*0.6*0.334*0.08</f>
        <v>2.58847044768</v>
      </c>
      <c r="H49" s="39">
        <f t="shared" ref="H49" si="32">E49/100*15*0.855*0.6*0.334*0.1</f>
        <v>3.2355880596</v>
      </c>
      <c r="I49" s="39"/>
      <c r="J49" s="54"/>
      <c r="K49" s="39"/>
      <c r="L49" s="54"/>
      <c r="M49" s="54"/>
      <c r="N49" s="99"/>
      <c r="O49" s="99"/>
      <c r="P49" s="99"/>
      <c r="Q49" s="99"/>
      <c r="R49" s="99"/>
      <c r="S49" s="38">
        <f>E49/100*15*0.855*0.6*0.388*0.82</f>
        <v>30.82139811504</v>
      </c>
      <c r="T49" s="54">
        <f t="shared" ref="T44:T51" si="33">E49/100*15*0.855*0.6*0.388*0.08</f>
        <v>3.00696566976</v>
      </c>
      <c r="U49" s="54"/>
      <c r="V49" s="54">
        <f t="shared" ref="V43:V51" si="34">E49/100*15*0.855*0.6*0.388*0.08</f>
        <v>3.00696566976</v>
      </c>
      <c r="W49" s="112"/>
      <c r="X49" s="38">
        <f>E49/100*15*0.855*0.6*0.13*0.08</f>
        <v>1.0074884976</v>
      </c>
      <c r="Y49" s="39">
        <f>E49/100*15*0.855*0.6*0.13*0.82</f>
        <v>10.3267571004</v>
      </c>
      <c r="Z49" s="54">
        <f>E49/100*15*0.855*0.6*0.13*0.08</f>
        <v>1.0074884976</v>
      </c>
      <c r="AA49" s="39"/>
      <c r="AB49" s="53">
        <f>E49/100*15*0.855*0.6*0.147*0.82</f>
        <v>11.67717918276</v>
      </c>
      <c r="AC49" s="54">
        <f>E49/100*15*0.855*0.6*0.147*0.08</f>
        <v>1.13923699344</v>
      </c>
      <c r="AD49" s="112">
        <f>E49/100*15*0.855*0.6*0.147*0.08</f>
        <v>1.13923699344</v>
      </c>
      <c r="AE49" s="127"/>
      <c r="AF49" s="39"/>
      <c r="AG49" s="141"/>
      <c r="AM49" t="s">
        <v>52</v>
      </c>
    </row>
    <row r="50" s="2" customFormat="1" ht="24.95" customHeight="1" spans="1:33">
      <c r="A50" s="65"/>
      <c r="B50" s="66"/>
      <c r="C50" s="67"/>
      <c r="D50" s="68" t="s">
        <v>73</v>
      </c>
      <c r="E50" s="69">
        <v>45.61</v>
      </c>
      <c r="F50" s="70">
        <f>E50/100*15*0.855*0.6*0.334*0.08*0.2*1.3</f>
        <v>0.0243825148944</v>
      </c>
      <c r="G50" s="71">
        <f>E50/100*15*0.855*0.6*0.334*0.8*0.2*1.3</f>
        <v>0.243825148944</v>
      </c>
      <c r="H50" s="71">
        <f>E50/100*15*0.855*0.6*0.334*0.1*0.2*1.3</f>
        <v>0.030478143618</v>
      </c>
      <c r="I50" s="71"/>
      <c r="J50" s="103"/>
      <c r="K50" s="71"/>
      <c r="L50" s="103"/>
      <c r="M50" s="103"/>
      <c r="N50" s="104"/>
      <c r="O50" s="104"/>
      <c r="P50" s="104"/>
      <c r="Q50" s="104"/>
      <c r="R50" s="104"/>
      <c r="S50" s="70">
        <f>E50/100*15*0.855*0.6*0.388*0.82*1.3*0.2</f>
        <v>0.2903271309432</v>
      </c>
      <c r="T50" s="103">
        <f>E50/100*15*0.855*0.6*0.388*0.08*1.3*0.2</f>
        <v>0.0283245981408</v>
      </c>
      <c r="U50" s="103"/>
      <c r="V50" s="103">
        <f>E50/100*15*0.855*0.6*0.388*0.08*1.3*0.2</f>
        <v>0.0283245981408</v>
      </c>
      <c r="W50" s="119"/>
      <c r="X50" s="70">
        <f>E50/100*15*0.855*0.6*0.13*0.08*0.5</f>
        <v>0.0182503854</v>
      </c>
      <c r="Y50" s="71">
        <f>E50/100*15*0.855*0.6*0.13*0.08*0.5</f>
        <v>0.0182503854</v>
      </c>
      <c r="Z50" s="103">
        <f>E50/100*15*0.855*0.6*0.13*0.82*0.5</f>
        <v>0.18706645035</v>
      </c>
      <c r="AA50" s="71"/>
      <c r="AB50" s="137">
        <f>E50/100*15*0.855*0.6*0.147*0.82*1.3*0.5</f>
        <v>0.2749876820145</v>
      </c>
      <c r="AC50" s="103">
        <f>E50/100*15*0.855*0.6*0.147*0.08*1.3*0.5</f>
        <v>0.026828066538</v>
      </c>
      <c r="AD50" s="119">
        <f>E50/100*15*0.855*0.6*0.147*0.08*1.3*0.5</f>
        <v>0.026828066538</v>
      </c>
      <c r="AE50" s="138"/>
      <c r="AF50" s="71"/>
      <c r="AG50" s="142" t="s">
        <v>55</v>
      </c>
    </row>
    <row r="51" ht="24.95" customHeight="1" spans="1:33">
      <c r="A51" s="36"/>
      <c r="B51" s="20"/>
      <c r="C51" s="21"/>
      <c r="D51" s="63" t="s">
        <v>74</v>
      </c>
      <c r="E51" s="64">
        <v>33.28</v>
      </c>
      <c r="F51" s="38">
        <f>E51/100*15*0.855*0.6*0.334*0.08*0.2</f>
        <v>0.013685428224</v>
      </c>
      <c r="G51" s="39">
        <f>E51/100*15*0.855*0.6*0.334*0.8*0.2</f>
        <v>0.13685428224</v>
      </c>
      <c r="H51" s="39">
        <f>E51/100*15*0.855*0.6*0.334*0.1*0.2</f>
        <v>0.01710678528</v>
      </c>
      <c r="I51" s="39"/>
      <c r="J51" s="39"/>
      <c r="K51" s="39"/>
      <c r="L51" s="39"/>
      <c r="M51" s="39"/>
      <c r="N51" s="99"/>
      <c r="O51" s="99"/>
      <c r="P51" s="99"/>
      <c r="Q51" s="99"/>
      <c r="R51" s="99"/>
      <c r="S51" s="38">
        <f>E51/100*15*0.855*0.6*0.388*0.82*0.2</f>
        <v>0.162954934272</v>
      </c>
      <c r="T51" s="54">
        <f>E51/100*15*0.855*0.6*0.388*0.08*0.2</f>
        <v>0.015898042368</v>
      </c>
      <c r="U51" s="54"/>
      <c r="V51" s="54">
        <f>E51/100*15*0.855*0.6*0.388*0.08*0.2</f>
        <v>0.015898042368</v>
      </c>
      <c r="W51" s="112"/>
      <c r="X51" s="38">
        <f>E51/100*15*0.855*0.6*0.13*0.08*0.2</f>
        <v>0.00532666368</v>
      </c>
      <c r="Y51" s="39">
        <f>E51/100*15*0.855*0.6*0.13*0.82*0.2</f>
        <v>0.05459830272</v>
      </c>
      <c r="Z51" s="54">
        <f>E51/100*15*0.855*0.6*0.13*0.08*0.2</f>
        <v>0.00532666368</v>
      </c>
      <c r="AA51" s="39"/>
      <c r="AB51" s="53">
        <f>E51/100*15*0.855*0.6*0.147*0.82*0.2</f>
        <v>0.061738080768</v>
      </c>
      <c r="AC51" s="54">
        <f>E51/100*15*0.855*0.6*0.147*0.08*0.2</f>
        <v>0.006023227392</v>
      </c>
      <c r="AD51" s="112">
        <f>E51/100*15*0.855*0.6*0.147*0.08*0.2</f>
        <v>0.006023227392</v>
      </c>
      <c r="AE51" s="127"/>
      <c r="AF51" s="39"/>
      <c r="AG51" s="141"/>
    </row>
    <row r="52" ht="24.95" customHeight="1" spans="1:33">
      <c r="A52" s="36"/>
      <c r="B52" s="20"/>
      <c r="C52" s="21"/>
      <c r="D52" s="47" t="s">
        <v>57</v>
      </c>
      <c r="E52" s="59">
        <f>SUM(E42:E51)</f>
        <v>5165.4</v>
      </c>
      <c r="F52" s="72">
        <f>E52/100*15*(0.145*0.7*0.43)*0.08</f>
        <v>2.705326596</v>
      </c>
      <c r="G52" s="73">
        <f>E52/100*15*(0.145*0.7*0.43)*0.08</f>
        <v>2.705326596</v>
      </c>
      <c r="H52" s="50">
        <f>E52/100*15*(0.145*0.7*0.43)*(0.8*0.95+0.02)</f>
        <v>26.376934311</v>
      </c>
      <c r="I52" s="87"/>
      <c r="J52" s="87"/>
      <c r="K52" s="87"/>
      <c r="L52" s="87"/>
      <c r="M52" s="87"/>
      <c r="N52" s="102">
        <f>E52/100*15*(0.145*0.7*0.43)*0.8*0.05</f>
        <v>1.352663298</v>
      </c>
      <c r="O52" s="105"/>
      <c r="P52" s="105"/>
      <c r="Q52" s="120"/>
      <c r="R52" s="105"/>
      <c r="S52" s="72">
        <f>E52/100*15*0.145*0.7*0.04*0.82</f>
        <v>2.579497452</v>
      </c>
      <c r="T52" s="88"/>
      <c r="U52" s="88"/>
      <c r="V52" s="87"/>
      <c r="W52" s="121"/>
      <c r="X52" s="50">
        <f>E52/100*15*(0.145*0.7*0.36)*0.08</f>
        <v>2.264924592</v>
      </c>
      <c r="Y52" s="87"/>
      <c r="Z52" s="88">
        <f>E52/100*15*(0.145*0.7*0.36)*0.82</f>
        <v>23.215477068</v>
      </c>
      <c r="AA52" s="87">
        <f>E52/100*15*(0.145*0.7*0.36)*0.08</f>
        <v>2.264924592</v>
      </c>
      <c r="AB52" s="129">
        <f>E52/100*15*(0.145*0.7*0.17)*0.82</f>
        <v>10.962864171</v>
      </c>
      <c r="AC52" s="114">
        <f>E52/100*15*(0.145*0.7*0.17)*0.08</f>
        <v>1.069547724</v>
      </c>
      <c r="AD52" s="115">
        <f>E52/100*15*(0.145*0.7*0.17)*0.08</f>
        <v>1.069547724</v>
      </c>
      <c r="AE52" s="132"/>
      <c r="AF52" s="39"/>
      <c r="AG52" s="141"/>
    </row>
    <row r="53" ht="24.95" customHeight="1" spans="1:33">
      <c r="A53" s="74">
        <v>6</v>
      </c>
      <c r="B53" s="20"/>
      <c r="C53" s="25" t="s">
        <v>75</v>
      </c>
      <c r="D53" s="75" t="s">
        <v>76</v>
      </c>
      <c r="E53" s="76">
        <v>405</v>
      </c>
      <c r="F53" s="34">
        <f>E53/100*15*0.855*0.6*0.334*0.08</f>
        <v>0.83272212</v>
      </c>
      <c r="G53" s="35">
        <f>E53/100*15*0.855*0.6*0.334*0.8</f>
        <v>8.3272212</v>
      </c>
      <c r="H53" s="35">
        <f>E53/100*15*0.855*0.6*0.334*0.1</f>
        <v>1.04090265</v>
      </c>
      <c r="I53" s="35"/>
      <c r="J53" s="35"/>
      <c r="K53" s="35"/>
      <c r="L53" s="35"/>
      <c r="M53" s="35"/>
      <c r="N53" s="98"/>
      <c r="O53" s="98"/>
      <c r="P53" s="98"/>
      <c r="Q53" s="98"/>
      <c r="R53" s="111"/>
      <c r="S53" s="34">
        <f>E53/100*15*0.855*0.6*0.388*0.1</f>
        <v>1.2091923</v>
      </c>
      <c r="T53" s="82">
        <f>E53/100*15*0.855*0.6*0.388*0.8</f>
        <v>9.6735384</v>
      </c>
      <c r="U53" s="82"/>
      <c r="V53" s="82">
        <f>E53/100*15*0.855*0.6*0.388*0.08</f>
        <v>0.96735384</v>
      </c>
      <c r="W53" s="111"/>
      <c r="X53" s="35">
        <f>E53/100*15*0.855*0.6*0.13*0.08</f>
        <v>0.3241134</v>
      </c>
      <c r="Y53" s="35">
        <f>E53/100*15*0.855*0.6*0.13*0.08</f>
        <v>0.3241134</v>
      </c>
      <c r="Z53" s="82">
        <f>E53/100*15*0.855*0.6*0.13*0.82</f>
        <v>3.32216235</v>
      </c>
      <c r="AA53" s="126"/>
      <c r="AB53" s="125">
        <f>E53/100*15*0.855*0.6*0.147*0.82</f>
        <v>3.756598965</v>
      </c>
      <c r="AC53" s="82">
        <f>E53/100*15*0.855*0.6*0.147*0.08</f>
        <v>0.36649746</v>
      </c>
      <c r="AD53" s="111">
        <f>E53/100*15*0.855*0.6*0.147*0.08</f>
        <v>0.36649746</v>
      </c>
      <c r="AE53" s="126"/>
      <c r="AF53" s="39"/>
      <c r="AG53" s="141"/>
    </row>
    <row r="54" ht="24.95" customHeight="1" spans="1:33">
      <c r="A54" s="77"/>
      <c r="B54" s="20"/>
      <c r="C54" s="46"/>
      <c r="D54" s="78" t="s">
        <v>57</v>
      </c>
      <c r="E54" s="79">
        <v>1753.73</v>
      </c>
      <c r="F54" s="49">
        <f>E54/100*15*(0.145*0.7*0.43)*0.08</f>
        <v>0.9184985502</v>
      </c>
      <c r="G54" s="50">
        <f>E54/100*15*(0.145*0.7*0.43)*0.8</f>
        <v>9.184985502</v>
      </c>
      <c r="H54" s="50">
        <f>E54/100*15*(0.145*0.6*0.43)*0.1</f>
        <v>0.9841055895</v>
      </c>
      <c r="I54" s="106"/>
      <c r="J54" s="106"/>
      <c r="K54" s="106"/>
      <c r="L54" s="106"/>
      <c r="M54" s="106"/>
      <c r="N54" s="107"/>
      <c r="O54" s="107"/>
      <c r="P54" s="107"/>
      <c r="Q54" s="107"/>
      <c r="R54" s="122"/>
      <c r="S54" s="49"/>
      <c r="T54" s="114"/>
      <c r="U54" s="114"/>
      <c r="V54" s="114"/>
      <c r="W54" s="115"/>
      <c r="X54" s="38">
        <f>E54/100*15*0.855*0.6*0.13*0.08</f>
        <v>1.4034750444</v>
      </c>
      <c r="Y54" s="39">
        <f>E54/100*15*0.855*0.6*0.13*0.08</f>
        <v>1.4034750444</v>
      </c>
      <c r="Z54" s="54"/>
      <c r="AA54" s="139">
        <f>E54/100*15*0.855*0.6*0.13*0.82</f>
        <v>14.3856192051</v>
      </c>
      <c r="AB54" s="129">
        <f>E54/100*15*(0.145*0.7*0.17)*0.82</f>
        <v>3.72205517145</v>
      </c>
      <c r="AC54" s="114">
        <f>E54/100*15*(0.145*0.7*0.17)*0.08</f>
        <v>0.3631273338</v>
      </c>
      <c r="AD54" s="115">
        <f>E54/100*15*(0.145*0.7*0.17)*0.08</f>
        <v>0.3631273338</v>
      </c>
      <c r="AE54" s="139"/>
      <c r="AF54" s="39"/>
      <c r="AG54" s="141"/>
    </row>
    <row r="55" ht="24.95" customHeight="1" spans="1:33">
      <c r="A55" s="31">
        <v>7</v>
      </c>
      <c r="B55" s="20"/>
      <c r="C55" s="21" t="s">
        <v>77</v>
      </c>
      <c r="D55" s="80" t="s">
        <v>49</v>
      </c>
      <c r="E55" s="81">
        <v>212.8</v>
      </c>
      <c r="F55" s="34">
        <f>E55/100*15*0.855*0.6*0.334*0.08*0.2</f>
        <v>0.08750778624</v>
      </c>
      <c r="G55" s="35">
        <f>E55/100*15*0.855*0.6*0.334*0.8*0.2</f>
        <v>0.8750778624</v>
      </c>
      <c r="H55" s="82">
        <f>E55/100*15*0.855*0.6*0.334*0.1*0.2</f>
        <v>0.1093847328</v>
      </c>
      <c r="I55" s="82"/>
      <c r="J55" s="82"/>
      <c r="K55" s="82"/>
      <c r="L55" s="82"/>
      <c r="M55" s="82"/>
      <c r="N55" s="98"/>
      <c r="O55" s="98"/>
      <c r="P55" s="98"/>
      <c r="Q55" s="98"/>
      <c r="R55" s="98"/>
      <c r="S55" s="34">
        <f>E55/100*15*0.855*0.6*0.388*0.82*0.2</f>
        <v>1.04197145472</v>
      </c>
      <c r="T55" s="82">
        <f>E55/100*15*0.855*0.6*0.388*0.08*0.2</f>
        <v>0.10165575168</v>
      </c>
      <c r="U55" s="82"/>
      <c r="V55" s="82">
        <f>E55/100*15*0.855*0.6*0.388*0.08*0.2</f>
        <v>0.10165575168</v>
      </c>
      <c r="W55" s="111"/>
      <c r="X55" s="35">
        <f>E55/100*15*0.855*0.6*0.13*0.08*0.2</f>
        <v>0.0340599168</v>
      </c>
      <c r="Y55" s="35">
        <f>E55/100*15*0.855*0.6*0.13*0.82*0.2</f>
        <v>0.3491141472</v>
      </c>
      <c r="Z55" s="82">
        <f>E55/100*15*0.855*0.6*0.13*0.08*0.2</f>
        <v>0.0340599168</v>
      </c>
      <c r="AA55" s="35"/>
      <c r="AB55" s="125">
        <f>E55/100*15*0.855*0.6*0.147*0.82*0.2</f>
        <v>0.39476753568</v>
      </c>
      <c r="AC55" s="82">
        <f>E55/100*15*0.855*0.6*0.147*0.08*0.2</f>
        <v>0.03851390592</v>
      </c>
      <c r="AD55" s="111">
        <f>E55/100*15*0.855*0.6*0.147*0.08*0.2</f>
        <v>0.03851390592</v>
      </c>
      <c r="AE55" s="126"/>
      <c r="AF55" s="39"/>
      <c r="AG55" s="141"/>
    </row>
    <row r="56" ht="24.95" customHeight="1" spans="1:33">
      <c r="A56" s="36"/>
      <c r="B56" s="20"/>
      <c r="C56" s="21"/>
      <c r="D56" s="63" t="s">
        <v>78</v>
      </c>
      <c r="E56" s="64">
        <v>3076.96</v>
      </c>
      <c r="F56" s="38">
        <f>E56/100*15*0.855*0.6*0.334*0.08</f>
        <v>6.32654976384</v>
      </c>
      <c r="G56" s="39">
        <f>E56/100*15*0.855*0.6*0.334*0.8</f>
        <v>63.2654976384</v>
      </c>
      <c r="H56" s="54">
        <f>E56/100*15*0.855*0.6*0.334*0.1</f>
        <v>7.9081872048</v>
      </c>
      <c r="I56" s="54"/>
      <c r="J56" s="54"/>
      <c r="K56" s="54"/>
      <c r="L56" s="54"/>
      <c r="M56" s="54"/>
      <c r="N56" s="99"/>
      <c r="O56" s="99"/>
      <c r="P56" s="99"/>
      <c r="Q56" s="99"/>
      <c r="R56" s="99"/>
      <c r="S56" s="38">
        <f>E56/100*15*0.855*0.6*0.388*0.82</f>
        <v>75.33140242752</v>
      </c>
      <c r="T56" s="54">
        <f>E56/100*15*0.855*0.6*0.388*0.08</f>
        <v>7.34940511488</v>
      </c>
      <c r="U56" s="54"/>
      <c r="V56" s="54">
        <f t="shared" ref="V56:V57" si="35">E56/100*15*0.855*0.6*0.388*0.08</f>
        <v>7.34940511488</v>
      </c>
      <c r="W56" s="112"/>
      <c r="X56" s="38">
        <f>E56/100*15*0.855*0.6*0.13*0.82</f>
        <v>25.2399028752</v>
      </c>
      <c r="Y56" s="39">
        <f>E56/100*15*0.855*0.6*0.13*0.08</f>
        <v>2.4624295488</v>
      </c>
      <c r="Z56" s="54">
        <f>E56/100*15*0.855*0.6*0.13*0.08</f>
        <v>2.4624295488</v>
      </c>
      <c r="AA56" s="39"/>
      <c r="AB56" s="53">
        <f>E56/100*15*0.855*0.6*0.147*0.82</f>
        <v>28.54050555888</v>
      </c>
      <c r="AC56" s="54">
        <f t="shared" ref="AC54:AC59" si="36">E56/100*15*0.855*0.6*0.147*0.08</f>
        <v>2.78443956672</v>
      </c>
      <c r="AD56" s="112">
        <f t="shared" ref="AD54:AD59" si="37">E56/100*15*0.855*0.6*0.147*0.08</f>
        <v>2.78443956672</v>
      </c>
      <c r="AE56" s="127"/>
      <c r="AF56" s="39"/>
      <c r="AG56" s="141"/>
    </row>
    <row r="57" ht="26" customHeight="1" spans="1:39">
      <c r="A57" s="36"/>
      <c r="B57" s="20"/>
      <c r="C57" s="21"/>
      <c r="D57" s="61" t="s">
        <v>56</v>
      </c>
      <c r="E57" s="62">
        <v>1364.35</v>
      </c>
      <c r="F57" s="38">
        <f>E57/100*15*0.855*0.6*0.334*0.8*1.2</f>
        <v>33.6629459088</v>
      </c>
      <c r="G57" s="39">
        <f>E57/100*15*0.855*0.6*0.334*0.08*1.2</f>
        <v>3.36629459088</v>
      </c>
      <c r="H57" s="54">
        <f>E57/100*15*0.855*0.6*0.334*0.1*1.2</f>
        <v>4.2078682386</v>
      </c>
      <c r="I57" s="54"/>
      <c r="J57" s="54"/>
      <c r="K57" s="54"/>
      <c r="L57" s="54"/>
      <c r="M57" s="54"/>
      <c r="N57" s="99"/>
      <c r="O57" s="99"/>
      <c r="P57" s="99"/>
      <c r="Q57" s="99"/>
      <c r="R57" s="99"/>
      <c r="S57" s="38">
        <f>E57/100*15*0.855*0.6*0.388*0.1*1.2</f>
        <v>4.8881822652</v>
      </c>
      <c r="T57" s="54">
        <f>E57/100*15*0.855*0.6*0.388*0.8*1.2</f>
        <v>39.1054581216</v>
      </c>
      <c r="U57" s="54"/>
      <c r="V57" s="54">
        <f>E57/100*15*0.855*0.6*0.388*0.08*1.2</f>
        <v>3.91054581216</v>
      </c>
      <c r="W57" s="112"/>
      <c r="X57" s="38">
        <f>E57/100*15*0.855*0.6*0.13*0.08</f>
        <v>1.091862018</v>
      </c>
      <c r="Y57" s="39">
        <f>E57/100*15*0.855*0.6*0.13*0.82</f>
        <v>11.1915856845</v>
      </c>
      <c r="Z57" s="54">
        <f>E57/100*15*0.855*0.6*0.13*0.08</f>
        <v>1.091862018</v>
      </c>
      <c r="AA57" s="39"/>
      <c r="AB57" s="53">
        <f>E57/100*15*0.855*0.6*0.147*0.82</f>
        <v>12.65510073555</v>
      </c>
      <c r="AC57" s="54">
        <f t="shared" si="36"/>
        <v>1.2346439742</v>
      </c>
      <c r="AD57" s="112">
        <f t="shared" si="37"/>
        <v>1.2346439742</v>
      </c>
      <c r="AE57" s="127"/>
      <c r="AF57" s="39"/>
      <c r="AG57" s="143" t="s">
        <v>71</v>
      </c>
      <c r="AM57" t="s">
        <v>52</v>
      </c>
    </row>
    <row r="58" ht="24.95" customHeight="1" spans="1:33">
      <c r="A58" s="36"/>
      <c r="B58" s="20"/>
      <c r="C58" s="21"/>
      <c r="D58" s="37" t="s">
        <v>79</v>
      </c>
      <c r="E58" s="33">
        <v>3043.4</v>
      </c>
      <c r="F58" s="38">
        <f t="shared" ref="F58:F59" si="38">E58/100*15*0.855*0.6*0.334*0.08</f>
        <v>6.2575469136</v>
      </c>
      <c r="G58" s="39">
        <f t="shared" ref="G58:G59" si="39">E58/100*15*0.855*0.6*0.334*0.8</f>
        <v>62.575469136</v>
      </c>
      <c r="H58" s="54">
        <f t="shared" ref="H58:H59" si="40">E58/100*15*0.855*0.6*0.334*0.1</f>
        <v>7.821933642</v>
      </c>
      <c r="I58" s="54"/>
      <c r="J58" s="54"/>
      <c r="K58" s="54"/>
      <c r="L58" s="54"/>
      <c r="M58" s="54"/>
      <c r="N58" s="99"/>
      <c r="O58" s="99"/>
      <c r="P58" s="99"/>
      <c r="Q58" s="99"/>
      <c r="R58" s="99"/>
      <c r="S58" s="38">
        <f>E58/100*15*0.855*0.6*0.388*0.1</f>
        <v>9.086557644</v>
      </c>
      <c r="T58" s="54">
        <f>E58/100*15*0.855*0.6*0.388*0.8</f>
        <v>72.692461152</v>
      </c>
      <c r="U58" s="54"/>
      <c r="V58" s="54">
        <f t="shared" ref="V58" si="41">E58/100*15*0.855*0.6*0.388*0.08</f>
        <v>7.2692461152</v>
      </c>
      <c r="W58" s="112"/>
      <c r="X58" s="38">
        <f>E58/100*15*0.855*0.6*0.13*0.82</f>
        <v>24.964614558</v>
      </c>
      <c r="Y58" s="39">
        <f>E58/100*15*0.855*0.6*0.13*0.08</f>
        <v>2.435572152</v>
      </c>
      <c r="Z58" s="54">
        <f>E58/100*15*0.855*0.6*0.13*0.08</f>
        <v>2.435572152</v>
      </c>
      <c r="AA58" s="39"/>
      <c r="AB58" s="53">
        <f t="shared" ref="AB57:AB59" si="42">E58/100*15*0.855*0.6*0.147*0.82</f>
        <v>28.2292180002</v>
      </c>
      <c r="AC58" s="54">
        <f t="shared" si="36"/>
        <v>2.7540700488</v>
      </c>
      <c r="AD58" s="112">
        <f t="shared" si="37"/>
        <v>2.7540700488</v>
      </c>
      <c r="AE58" s="127"/>
      <c r="AF58" s="39"/>
      <c r="AG58" s="141"/>
    </row>
    <row r="59" ht="24.95" customHeight="1" spans="1:33">
      <c r="A59" s="36"/>
      <c r="B59" s="20"/>
      <c r="C59" s="21"/>
      <c r="D59" s="37" t="s">
        <v>80</v>
      </c>
      <c r="E59" s="33">
        <v>712.52</v>
      </c>
      <c r="F59" s="38">
        <f t="shared" si="38"/>
        <v>1.46501522208</v>
      </c>
      <c r="G59" s="39">
        <f t="shared" si="39"/>
        <v>14.6501522208</v>
      </c>
      <c r="H59" s="54">
        <f t="shared" si="40"/>
        <v>1.8312690276</v>
      </c>
      <c r="I59" s="54"/>
      <c r="J59" s="54"/>
      <c r="K59" s="54"/>
      <c r="L59" s="54"/>
      <c r="M59" s="54"/>
      <c r="N59" s="99"/>
      <c r="O59" s="99"/>
      <c r="P59" s="99"/>
      <c r="Q59" s="99"/>
      <c r="R59" s="99"/>
      <c r="S59" s="38">
        <f>E59/100*15*0.855*0.6*0.388*0.1</f>
        <v>2.1273424632</v>
      </c>
      <c r="T59" s="54">
        <f>E59/100*15*0.855*0.6*0.388*0.8</f>
        <v>17.0187397056</v>
      </c>
      <c r="U59" s="54"/>
      <c r="V59" s="54">
        <f t="shared" ref="V59:V60" si="43">E59/100*15*0.855*0.6*0.388*0.08</f>
        <v>1.70187397056</v>
      </c>
      <c r="W59" s="112"/>
      <c r="X59" s="38">
        <f>E59/100*15*0.855*0.6*0.13*0.08</f>
        <v>0.5702155056</v>
      </c>
      <c r="Y59" s="39">
        <f>E59/100*15*0.855*0.6*0.13*0.08</f>
        <v>0.5702155056</v>
      </c>
      <c r="Z59" s="54">
        <f>E59/100*15*0.855*0.6*0.13*0.82</f>
        <v>5.8447089324</v>
      </c>
      <c r="AA59" s="39"/>
      <c r="AB59" s="53">
        <f t="shared" si="42"/>
        <v>6.60901702356</v>
      </c>
      <c r="AC59" s="54">
        <f t="shared" si="36"/>
        <v>0.64478214864</v>
      </c>
      <c r="AD59" s="112">
        <f t="shared" si="37"/>
        <v>0.64478214864</v>
      </c>
      <c r="AE59" s="127"/>
      <c r="AF59" s="39"/>
      <c r="AG59" s="141"/>
    </row>
    <row r="60" s="1" customFormat="1" ht="24.95" customHeight="1" spans="1:33">
      <c r="A60" s="36"/>
      <c r="B60" s="20"/>
      <c r="C60" s="21"/>
      <c r="D60" s="40" t="s">
        <v>81</v>
      </c>
      <c r="E60" s="41">
        <v>259.64</v>
      </c>
      <c r="F60" s="42">
        <f>E60/100*15*0.855*0.6*0.334*0.08*1.3</f>
        <v>0.694000895328</v>
      </c>
      <c r="G60" s="43">
        <f>E60/100*15*0.855*0.6*0.334*0.8*1.3</f>
        <v>6.94000895328</v>
      </c>
      <c r="H60" s="56">
        <f>E60/100*15*0.855*0.6*0.334*0.1*1.3</f>
        <v>0.86750111916</v>
      </c>
      <c r="I60" s="56"/>
      <c r="J60" s="56"/>
      <c r="K60" s="56"/>
      <c r="L60" s="56"/>
      <c r="M60" s="56"/>
      <c r="N60" s="100"/>
      <c r="O60" s="100"/>
      <c r="P60" s="100"/>
      <c r="Q60" s="100"/>
      <c r="R60" s="100"/>
      <c r="S60" s="70">
        <f>E60/100*15*0.855*0.6*0.388*0.82*1.3</f>
        <v>8.263597487184</v>
      </c>
      <c r="T60" s="103">
        <f>E60/100*15*0.855*0.6*0.388*0.08*1.3</f>
        <v>0.806204632896</v>
      </c>
      <c r="U60" s="103"/>
      <c r="V60" s="103">
        <f>E60/100*15*0.855*0.6*0.388*0.08*1.3</f>
        <v>0.806204632896</v>
      </c>
      <c r="W60" s="113"/>
      <c r="X60" s="43">
        <f>E60/100*15*0.855*0.6*0.13*0.08*1.3</f>
        <v>0.27012010896</v>
      </c>
      <c r="Y60" s="43">
        <f>E60/100*15*0.855*0.6*0.13*0.82*1.3</f>
        <v>2.76873111684</v>
      </c>
      <c r="Z60" s="56">
        <f>E60/100*15*0.855*0.6*0.13*0.08*1.3</f>
        <v>0.27012010896</v>
      </c>
      <c r="AA60" s="43"/>
      <c r="AB60" s="55">
        <f>E60/100*15*0.855*0.6*0.147*0.82*1.3</f>
        <v>3.130795955196</v>
      </c>
      <c r="AC60" s="103">
        <f>E60/100*15*0.855*0.6*0.147*0.08*1.3</f>
        <v>0.305443507824</v>
      </c>
      <c r="AD60" s="119">
        <f>E60/100*15*0.855*0.6*0.147*0.08*1.3</f>
        <v>0.305443507824</v>
      </c>
      <c r="AE60" s="128"/>
      <c r="AF60" s="43"/>
      <c r="AG60" s="142" t="s">
        <v>55</v>
      </c>
    </row>
    <row r="61" ht="24.95" customHeight="1" spans="1:33">
      <c r="A61" s="83"/>
      <c r="B61" s="20"/>
      <c r="C61" s="21"/>
      <c r="D61" s="84" t="s">
        <v>57</v>
      </c>
      <c r="E61" s="59">
        <f>SUM(E55:E60)</f>
        <v>8669.67</v>
      </c>
      <c r="F61" s="49">
        <f>E61/100*15*(0.145*0.7*0.43)*0.08</f>
        <v>4.5406529658</v>
      </c>
      <c r="G61" s="50">
        <f>E61/100*15*(0.145*0.7*0.43)*0.8*0.95</f>
        <v>43.1362031751</v>
      </c>
      <c r="H61" s="50">
        <f>E61/100*15*(0.145*0.7*0.43)*0.1</f>
        <v>5.67581620725</v>
      </c>
      <c r="I61" s="54"/>
      <c r="J61" s="39"/>
      <c r="K61" s="39"/>
      <c r="L61" s="39"/>
      <c r="M61" s="54"/>
      <c r="N61" s="102">
        <f>E61/100*15*(0.145*0.7*0.43)*0.8*0.05</f>
        <v>2.2703264829</v>
      </c>
      <c r="O61" s="99"/>
      <c r="P61" s="99"/>
      <c r="Q61" s="102"/>
      <c r="R61" s="99"/>
      <c r="S61" s="38">
        <f>E61/100*15*0.145*0.7*0.04*0.82</f>
        <v>4.3294598046</v>
      </c>
      <c r="T61" s="123"/>
      <c r="U61" s="114"/>
      <c r="V61" s="123"/>
      <c r="W61" s="115"/>
      <c r="X61" s="50">
        <f>E61/100*15*(0.145*0.7*0.36)*0.08</f>
        <v>3.8014769016</v>
      </c>
      <c r="Y61" s="39">
        <f>E61/100*15*(0.145*0.7*0.36)*0.08</f>
        <v>3.8014769016</v>
      </c>
      <c r="Z61" s="54"/>
      <c r="AA61" s="39">
        <f>E61/100*15*(0.145*0.7*0.36)*0.82</f>
        <v>38.9651382414</v>
      </c>
      <c r="AB61" s="129">
        <f>E61/100*15*(0.145*0.7*0.17)*0.82</f>
        <v>18.40020416955</v>
      </c>
      <c r="AC61" s="114">
        <f>E61/100*15*(0.145*0.7*0.17)*0.08</f>
        <v>1.7951418702</v>
      </c>
      <c r="AD61" s="115">
        <f>E61/100*15*(0.145*0.7*0.17)*0.08</f>
        <v>1.7951418702</v>
      </c>
      <c r="AE61" s="127"/>
      <c r="AF61" s="39"/>
      <c r="AG61" s="141"/>
    </row>
    <row r="62" ht="24.95" customHeight="1" spans="1:33">
      <c r="A62" s="31">
        <v>8</v>
      </c>
      <c r="B62" s="20"/>
      <c r="C62" s="21" t="s">
        <v>82</v>
      </c>
      <c r="D62" s="85" t="s">
        <v>83</v>
      </c>
      <c r="E62" s="86">
        <v>63.94</v>
      </c>
      <c r="F62" s="34">
        <f>E62/100*15*0.855*0.6*0.334*0.08*1.3</f>
        <v>0.170907476688</v>
      </c>
      <c r="G62" s="35"/>
      <c r="H62" s="82">
        <f>E62/100*15*0.855*0.6*0.334*0.82*1.3</f>
        <v>1.751801636052</v>
      </c>
      <c r="I62" s="82"/>
      <c r="J62" s="35">
        <f>E62/100*15*0.855*0.6*0.334*0.08*1.3</f>
        <v>0.170907476688</v>
      </c>
      <c r="K62" s="35"/>
      <c r="L62" s="82"/>
      <c r="M62" s="82"/>
      <c r="N62" s="98"/>
      <c r="O62" s="98"/>
      <c r="P62" s="98"/>
      <c r="Q62" s="98"/>
      <c r="R62" s="98"/>
      <c r="S62" s="34">
        <f>E62/100*15*0.855*0.6*0.388*0.1*1.3</f>
        <v>0.24817403052</v>
      </c>
      <c r="T62" s="82">
        <f>E62/100*15*0.855*0.6*0.388*0.8*1.3</f>
        <v>1.98539224416</v>
      </c>
      <c r="U62" s="82"/>
      <c r="V62" s="82">
        <f>E62/100*15*0.855*0.6*0.388*0.08*1.3</f>
        <v>0.198539224416</v>
      </c>
      <c r="W62" s="111"/>
      <c r="X62" s="35">
        <f>E62/100*15*0.855*0.6*0.13*0.82*1.3</f>
        <v>0.68183896014</v>
      </c>
      <c r="Y62" s="35">
        <f>E62/100*15*0.855*0.6*0.13*0.08*1.3</f>
        <v>0.06652087416</v>
      </c>
      <c r="Z62" s="82">
        <f>E62/100*15*0.855*0.6*0.13*0.08*1.3</f>
        <v>0.06652087416</v>
      </c>
      <c r="AA62" s="35"/>
      <c r="AB62" s="125">
        <f>E62/100*15*0.855*0.6*0.147*0.82*1.3</f>
        <v>0.771002516466</v>
      </c>
      <c r="AC62" s="82">
        <f>E62/100*15*0.855*0.6*0.147*0.08*1.3</f>
        <v>0.075219757704</v>
      </c>
      <c r="AD62" s="111">
        <f>E62/100*15*0.855*0.6*0.147*0.08*1.3</f>
        <v>0.075219757704</v>
      </c>
      <c r="AE62" s="126"/>
      <c r="AF62" s="39"/>
      <c r="AG62" s="144" t="s">
        <v>84</v>
      </c>
    </row>
    <row r="63" ht="24.95" customHeight="1" spans="1:33">
      <c r="A63" s="36"/>
      <c r="B63" s="20"/>
      <c r="C63" s="21"/>
      <c r="D63" s="47" t="s">
        <v>57</v>
      </c>
      <c r="E63" s="59">
        <f>SUM(E62:E62)</f>
        <v>63.94</v>
      </c>
      <c r="F63" s="49">
        <f>E63/100*15*(0.145*0.7*0.43)*0.08*1.3</f>
        <v>0.04353431628</v>
      </c>
      <c r="G63" s="87"/>
      <c r="H63" s="88">
        <f>E63/100*15*(0.145*0.7*0.43)*0.1*1.3</f>
        <v>0.05441789535</v>
      </c>
      <c r="I63" s="88"/>
      <c r="J63" s="87">
        <f>E63/100*15*(0.145*0.7*0.43)*0.8*1.3</f>
        <v>0.4353431628</v>
      </c>
      <c r="K63" s="88"/>
      <c r="L63" s="88"/>
      <c r="M63" s="88"/>
      <c r="N63" s="105"/>
      <c r="O63" s="105"/>
      <c r="P63" s="105"/>
      <c r="Q63" s="105"/>
      <c r="R63" s="105"/>
      <c r="S63" s="72"/>
      <c r="T63" s="88"/>
      <c r="U63" s="88"/>
      <c r="V63" s="88"/>
      <c r="W63" s="121"/>
      <c r="X63" s="50">
        <f>E63/100*15*(0.145*0.7*0.36)*0.82*1.3</f>
        <v>0.37358517924</v>
      </c>
      <c r="Y63" s="87">
        <f>E63/100*15*(0.145*0.7*0.36)*0.08*1.3</f>
        <v>0.03644733456</v>
      </c>
      <c r="Z63" s="88">
        <f>E63/100*15*(0.145*0.7*0.36)*0.08*1.3</f>
        <v>0.03644733456</v>
      </c>
      <c r="AA63" s="87"/>
      <c r="AB63" s="129">
        <f>E63/100*15*(0.145*0.7*0.17)*0.82*1.3</f>
        <v>0.17641522353</v>
      </c>
      <c r="AC63" s="114">
        <f>E63/100*15*(0.145*0.7*0.17)*0.08*1.3</f>
        <v>0.01721124132</v>
      </c>
      <c r="AD63" s="115">
        <f>E63/100*15*(0.145*0.7*0.17)*0.08*1.3</f>
        <v>0.01721124132</v>
      </c>
      <c r="AE63" s="132"/>
      <c r="AF63" s="39"/>
      <c r="AG63" s="145"/>
    </row>
    <row r="64" ht="24.95" customHeight="1" spans="1:33">
      <c r="A64" s="74">
        <v>9</v>
      </c>
      <c r="B64" s="20"/>
      <c r="C64" s="21" t="s">
        <v>43</v>
      </c>
      <c r="D64" s="89" t="s">
        <v>85</v>
      </c>
      <c r="E64" s="90"/>
      <c r="F64" s="34"/>
      <c r="G64" s="35"/>
      <c r="H64" s="35"/>
      <c r="I64" s="82"/>
      <c r="J64" s="35"/>
      <c r="K64" s="35"/>
      <c r="L64" s="35"/>
      <c r="M64" s="82"/>
      <c r="N64" s="98"/>
      <c r="O64" s="98"/>
      <c r="P64" s="98"/>
      <c r="Q64" s="98"/>
      <c r="R64" s="111"/>
      <c r="S64" s="34"/>
      <c r="T64" s="82"/>
      <c r="U64" s="82"/>
      <c r="V64" s="82"/>
      <c r="W64" s="111"/>
      <c r="X64" s="34"/>
      <c r="Y64" s="35"/>
      <c r="Z64" s="82"/>
      <c r="AA64" s="35"/>
      <c r="AB64" s="125"/>
      <c r="AC64" s="82"/>
      <c r="AD64" s="111"/>
      <c r="AE64" s="126"/>
      <c r="AF64" s="39"/>
      <c r="AG64" s="141"/>
    </row>
    <row r="65" ht="24.95" customHeight="1" spans="1:33">
      <c r="A65" s="146"/>
      <c r="B65" s="20"/>
      <c r="C65" s="21"/>
      <c r="D65" s="147" t="s">
        <v>86</v>
      </c>
      <c r="E65" s="148">
        <v>4418.62</v>
      </c>
      <c r="F65" s="38">
        <f>E65/100*15*0.855*0.6*0.334*0.08*1.2</f>
        <v>10.902170707776</v>
      </c>
      <c r="G65" s="39"/>
      <c r="H65" s="39">
        <f>E65/100*15*0.855*0.6*0.334*0.02*1.2</f>
        <v>2.725542676944</v>
      </c>
      <c r="I65" s="39">
        <f>E65/100*15*0.855*0.6*0.334*0.88*1.2*0.5</f>
        <v>59.961938892768</v>
      </c>
      <c r="J65" s="54"/>
      <c r="K65" s="54">
        <f>E65/100*15*0.855*0.6*0.334*0.88*1.2*0.5</f>
        <v>59.961938892768</v>
      </c>
      <c r="L65" s="54"/>
      <c r="M65" s="54"/>
      <c r="N65" s="99"/>
      <c r="O65" s="99"/>
      <c r="P65" s="99"/>
      <c r="Q65" s="99"/>
      <c r="R65" s="112"/>
      <c r="S65" s="38">
        <f>E65/100*15*0.855*0.6*0.388*0.1*1.2</f>
        <v>15.83099638704</v>
      </c>
      <c r="T65" s="54">
        <f>E65/100*15*0.855*0.6*0.388*0.8*1.2</f>
        <v>126.64797109632</v>
      </c>
      <c r="U65" s="54"/>
      <c r="V65" s="54">
        <f>E65/100*15*0.855*0.6*0.388*0.08*1.2</f>
        <v>12.664797109632</v>
      </c>
      <c r="W65" s="112"/>
      <c r="X65" s="38">
        <f>E65/100*15*0.855*0.6*0.13*0.82*1.2</f>
        <v>43.49443852728</v>
      </c>
      <c r="Y65" s="39">
        <f>E65/100*15*0.855*0.6*0.13*0.08*1.2</f>
        <v>4.24335985632</v>
      </c>
      <c r="Z65" s="54"/>
      <c r="AA65" s="39">
        <f>E65/100*15*0.855*0.6*0.13*0.08*1.2</f>
        <v>4.24335985632</v>
      </c>
      <c r="AB65" s="53">
        <f>E65/100*15*0.855*0.6*0.147*0.82*0.5*1.2</f>
        <v>24.591086398116</v>
      </c>
      <c r="AC65" s="54">
        <f>E65/100*15*0.855*0.6*0.147*0.08*1.2</f>
        <v>4.798260760608</v>
      </c>
      <c r="AD65" s="112">
        <f>E65/100*15*0.855*0.6*0.147*0.08*1.2</f>
        <v>4.798260760608</v>
      </c>
      <c r="AE65" s="127">
        <f>E65/100*15*0.855*0.6*0.147*0.82*0.5*1.2</f>
        <v>24.591086398116</v>
      </c>
      <c r="AF65" s="39"/>
      <c r="AG65" s="143" t="s">
        <v>87</v>
      </c>
    </row>
    <row r="66" ht="24.95" customHeight="1" spans="1:39">
      <c r="A66" s="146"/>
      <c r="B66" s="20"/>
      <c r="C66" s="21"/>
      <c r="D66" s="149" t="s">
        <v>88</v>
      </c>
      <c r="E66" s="150">
        <v>1570.5</v>
      </c>
      <c r="F66" s="38">
        <f>E66/100*15*0.855*0.6*0.334*0.08*1.2</f>
        <v>3.8749335984</v>
      </c>
      <c r="G66" s="39"/>
      <c r="H66" s="39">
        <f>E66/100*15*0.855*0.6*0.334*0.02*1.2</f>
        <v>0.9687333996</v>
      </c>
      <c r="I66" s="39">
        <f>E66/100*15*0.855*0.6*0.334*0.8*1.2</f>
        <v>38.749335984</v>
      </c>
      <c r="J66" s="54"/>
      <c r="K66" s="54">
        <f>E66/100*15*0.855*0.6*0.334*0.08*1.2</f>
        <v>3.8749335984</v>
      </c>
      <c r="L66" s="54"/>
      <c r="M66" s="54"/>
      <c r="N66" s="99"/>
      <c r="O66" s="99"/>
      <c r="P66" s="99"/>
      <c r="Q66" s="99"/>
      <c r="R66" s="112"/>
      <c r="S66" s="38">
        <f>E66/100*15*0.855*0.6*0.388*0.1*1.2</f>
        <v>5.626774836</v>
      </c>
      <c r="T66" s="54">
        <f>E66/100*15*0.855*0.6*0.388*0.8*1.2</f>
        <v>45.014198688</v>
      </c>
      <c r="U66" s="54"/>
      <c r="V66" s="54">
        <f>E66/100*15*0.855*0.6*0.388*0.08*1.2</f>
        <v>4.5014198688</v>
      </c>
      <c r="W66" s="112"/>
      <c r="X66" s="38">
        <f>E66/100*15*0.855*0.6*0.13*0.82*1.2</f>
        <v>15.459128802</v>
      </c>
      <c r="Y66" s="39">
        <f>E66/100*15*0.855*0.6*0.13*0.08*1.2</f>
        <v>1.508207688</v>
      </c>
      <c r="Z66" s="54"/>
      <c r="AA66" s="39">
        <f>E66/100*15*0.855*0.6*0.13*0.08*1.2</f>
        <v>1.508207688</v>
      </c>
      <c r="AB66" s="53">
        <f>E66/100*15*0.855*0.6*0.147*0.82*0.5*1.2</f>
        <v>8.7403535919</v>
      </c>
      <c r="AC66" s="54">
        <f>E66/100*15*0.855*0.6*0.147*0.08*1.2</f>
        <v>1.7054348472</v>
      </c>
      <c r="AD66" s="112">
        <f>E66/100*15*0.855*0.6*0.147*0.08*1.2</f>
        <v>1.7054348472</v>
      </c>
      <c r="AE66" s="127">
        <f>E66/100*15*0.855*0.6*0.147*0.82*0.5*1.2</f>
        <v>8.7403535919</v>
      </c>
      <c r="AF66" s="39"/>
      <c r="AG66" s="141"/>
      <c r="AM66" t="s">
        <v>52</v>
      </c>
    </row>
    <row r="67" ht="24.95" customHeight="1" spans="1:33">
      <c r="A67" s="146"/>
      <c r="B67" s="20"/>
      <c r="C67" s="21"/>
      <c r="D67" s="151" t="s">
        <v>89</v>
      </c>
      <c r="E67" s="152">
        <v>204</v>
      </c>
      <c r="F67" s="38">
        <f>E67/100*15*0.855*0.6*0.334*0.08</f>
        <v>0.419445216</v>
      </c>
      <c r="G67" s="50"/>
      <c r="H67" s="39">
        <f>E67/100*15*0.855*0.6*0.334*0.02</f>
        <v>0.104861304</v>
      </c>
      <c r="I67" s="39">
        <f>E67/100*15*0.855*0.6*0.334*0.8</f>
        <v>4.19445216</v>
      </c>
      <c r="J67" s="50"/>
      <c r="K67" s="54">
        <f t="shared" ref="K67" si="44">E67/100*15*0.855*0.6*0.334*0.08</f>
        <v>0.419445216</v>
      </c>
      <c r="L67" s="50"/>
      <c r="M67" s="101"/>
      <c r="N67" s="102"/>
      <c r="O67" s="102"/>
      <c r="P67" s="102"/>
      <c r="Q67" s="102"/>
      <c r="R67" s="116"/>
      <c r="S67" s="38">
        <f>E67/100*15*0.855*0.6*0.388*0.1</f>
        <v>0.60907464</v>
      </c>
      <c r="T67" s="54">
        <f>E67/100*15*0.855*0.6*0.388*0.8</f>
        <v>4.87259712</v>
      </c>
      <c r="U67" s="101"/>
      <c r="V67" s="54">
        <f>E67/100*15*0.855*0.6*0.388*0.08</f>
        <v>0.487259712</v>
      </c>
      <c r="W67" s="116"/>
      <c r="X67" s="38">
        <f>E67/100*15*0.855*0.6*0.13*0.82</f>
        <v>1.67338548</v>
      </c>
      <c r="Y67" s="39">
        <f>E67/100*15*0.855*0.6*0.13*0.08</f>
        <v>0.16325712</v>
      </c>
      <c r="Z67" s="101"/>
      <c r="AA67" s="39">
        <f>E67/100*15*0.855*0.6*0.13*0.08</f>
        <v>0.16325712</v>
      </c>
      <c r="AB67" s="53">
        <f t="shared" ref="AB66:AB67" si="45">E67/100*15*0.855*0.6*0.147*0.82</f>
        <v>1.892212812</v>
      </c>
      <c r="AC67" s="54">
        <f>E67/100*15*0.855*0.6*0.147*0.08</f>
        <v>0.184606128</v>
      </c>
      <c r="AD67" s="112">
        <f>E67/100*15*0.855*0.6*0.147*0.08</f>
        <v>0.184606128</v>
      </c>
      <c r="AE67" s="127"/>
      <c r="AF67" s="39"/>
      <c r="AG67" s="141"/>
    </row>
    <row r="68" s="1" customFormat="1" ht="24.95" customHeight="1" spans="1:33">
      <c r="A68" s="146"/>
      <c r="B68" s="20"/>
      <c r="C68" s="21"/>
      <c r="D68" s="153" t="s">
        <v>54</v>
      </c>
      <c r="E68" s="154">
        <v>232.32</v>
      </c>
      <c r="F68" s="42">
        <f>E68/100*15*0.855*0.6*0.334*0.08*1.3</f>
        <v>0.620976305664</v>
      </c>
      <c r="G68" s="43"/>
      <c r="H68" s="43">
        <f>E68/100*15*0.855*0.6*0.334*0.02*1.3</f>
        <v>0.155244076416</v>
      </c>
      <c r="I68" s="43">
        <f>E68/100*15*0.855*0.6*0.334*0.8*1.3</f>
        <v>6.20976305664</v>
      </c>
      <c r="J68" s="56"/>
      <c r="K68" s="56">
        <f>E68/100*15*0.855*0.6*0.334*0.08*1.3</f>
        <v>0.620976305664</v>
      </c>
      <c r="L68" s="56"/>
      <c r="M68" s="56"/>
      <c r="N68" s="100"/>
      <c r="O68" s="100"/>
      <c r="P68" s="100"/>
      <c r="Q68" s="100"/>
      <c r="R68" s="113"/>
      <c r="S68" s="42">
        <f>E68/100*15*0.855*0.6*0.388*0.1*1.3</f>
        <v>0.90171709056</v>
      </c>
      <c r="T68" s="103">
        <f>E68/100*15*0.855*0.6*0.388*0.8</f>
        <v>5.5490282496</v>
      </c>
      <c r="U68" s="56"/>
      <c r="V68" s="103">
        <f>E68/100*15*0.855*0.6*0.388*0.08</f>
        <v>0.55490282496</v>
      </c>
      <c r="W68" s="113"/>
      <c r="X68" s="43">
        <f>E68/100*15*0.855*0.6*0.13*0.82*1.3</f>
        <v>2.47739798592</v>
      </c>
      <c r="Y68" s="43">
        <f>E68/100*15*0.855*0.6*0.13*0.08*1.3</f>
        <v>0.24169736448</v>
      </c>
      <c r="Z68" s="56"/>
      <c r="AA68" s="43">
        <f>E68/100*15*0.855*0.6*0.13*0.08*1.3</f>
        <v>0.24169736448</v>
      </c>
      <c r="AB68" s="137">
        <f>E68/100*15*0.855*0.6*0.147*0.82*0.2*1.3</f>
        <v>0.5602730829696</v>
      </c>
      <c r="AC68" s="103">
        <f>E68/100*15*0.855*0.6*0.147*0.08*1.3</f>
        <v>0.273303942912</v>
      </c>
      <c r="AD68" s="119">
        <f>E68/100*15*0.855*0.6*0.147*0.08*1.3</f>
        <v>0.273303942912</v>
      </c>
      <c r="AE68" s="138">
        <f>E68/100*15*0.855*0.6*0.147*0.82*0.8*1.3</f>
        <v>2.2410923318784</v>
      </c>
      <c r="AF68" s="43"/>
      <c r="AG68" s="142" t="s">
        <v>55</v>
      </c>
    </row>
    <row r="69" ht="24.95" customHeight="1" spans="1:39">
      <c r="A69" s="146"/>
      <c r="B69" s="20"/>
      <c r="C69" s="21"/>
      <c r="D69" s="155" t="s">
        <v>90</v>
      </c>
      <c r="E69" s="152"/>
      <c r="F69" s="38"/>
      <c r="G69" s="39"/>
      <c r="H69" s="39"/>
      <c r="I69" s="39"/>
      <c r="J69" s="54"/>
      <c r="K69" s="54"/>
      <c r="L69" s="54"/>
      <c r="M69" s="54"/>
      <c r="N69" s="99"/>
      <c r="O69" s="99"/>
      <c r="P69" s="99"/>
      <c r="Q69" s="99"/>
      <c r="R69" s="112"/>
      <c r="S69" s="38"/>
      <c r="T69" s="54"/>
      <c r="U69" s="54"/>
      <c r="V69" s="54"/>
      <c r="W69" s="112"/>
      <c r="X69" s="38"/>
      <c r="Y69" s="39"/>
      <c r="Z69" s="54"/>
      <c r="AA69" s="39"/>
      <c r="AB69" s="53"/>
      <c r="AC69" s="54"/>
      <c r="AD69" s="112"/>
      <c r="AE69" s="127"/>
      <c r="AF69" s="39"/>
      <c r="AG69" s="141"/>
      <c r="AM69" t="s">
        <v>52</v>
      </c>
    </row>
    <row r="70" ht="29" customHeight="1" spans="1:33">
      <c r="A70" s="146"/>
      <c r="B70" s="20"/>
      <c r="C70" s="21"/>
      <c r="D70" s="147" t="s">
        <v>86</v>
      </c>
      <c r="E70" s="148">
        <v>4418.62</v>
      </c>
      <c r="F70" s="38">
        <f>E70/100*15*0.855*0.6*0.334*0.08*0.2*1.2</f>
        <v>2.1804341415552</v>
      </c>
      <c r="G70" s="39"/>
      <c r="H70" s="39">
        <f>E70/100*15*0.855*0.6*0.334*0.02*0.2*1.2</f>
        <v>0.5451085353888</v>
      </c>
      <c r="I70" s="39">
        <f>E70/100*15*0.855*0.6*0.334*0.88*0.2*1.2*0.5</f>
        <v>11.9923877785536</v>
      </c>
      <c r="J70" s="54"/>
      <c r="K70" s="54">
        <f>E65/100*15*0.855*0.6*0.334*0.88*0.2*1.2*0.5</f>
        <v>11.9923877785536</v>
      </c>
      <c r="L70" s="54"/>
      <c r="M70" s="54"/>
      <c r="N70" s="99"/>
      <c r="O70" s="99"/>
      <c r="P70" s="99"/>
      <c r="Q70" s="99"/>
      <c r="R70" s="112"/>
      <c r="S70" s="38">
        <f>E70/100*15*0.855*0.6*0.388*0.1*0.2*1.2</f>
        <v>3.166199277408</v>
      </c>
      <c r="T70" s="54">
        <f>E70/100*15*0.855*0.6*0.388*0.8*0.2*1.2</f>
        <v>25.329594219264</v>
      </c>
      <c r="U70" s="54"/>
      <c r="V70" s="54">
        <f>E70/100*15*0.855*0.6*0.388*0.08*0.2*1.2</f>
        <v>2.5329594219264</v>
      </c>
      <c r="W70" s="112"/>
      <c r="X70" s="38">
        <f>E70/100*15*0.855*0.6*0.13*0.82*0.2*1.2</f>
        <v>8.698887705456</v>
      </c>
      <c r="Y70" s="39">
        <f>E70/100*15*0.855*0.6*0.13*0.08*0.2*1.2</f>
        <v>0.848671971264</v>
      </c>
      <c r="Z70" s="54"/>
      <c r="AA70" s="39">
        <f>E70/100*15*0.855*0.6*0.13*0.08*0.2*1.2</f>
        <v>0.848671971264</v>
      </c>
      <c r="AB70" s="53">
        <f>E70/100*15*0.855*0.6*0.147*0.82*0.5*0.2*1.2</f>
        <v>4.9182172796232</v>
      </c>
      <c r="AC70" s="54">
        <f>E70/100*15*0.855*0.6*0.147*0.08*0.2*1.2</f>
        <v>0.9596521521216</v>
      </c>
      <c r="AD70" s="112">
        <f>E70/100*15*0.855*0.6*0.147*0.08*0.2*1.2</f>
        <v>0.9596521521216</v>
      </c>
      <c r="AE70" s="127">
        <f>E70/100*15*0.855*0.6*0.147*0.82*0.5*0.2*1.2</f>
        <v>4.9182172796232</v>
      </c>
      <c r="AF70" s="39"/>
      <c r="AG70" s="143" t="s">
        <v>87</v>
      </c>
    </row>
    <row r="71" ht="24.95" customHeight="1" spans="1:33">
      <c r="A71" s="146"/>
      <c r="B71" s="20"/>
      <c r="C71" s="21"/>
      <c r="D71" s="151" t="s">
        <v>89</v>
      </c>
      <c r="E71" s="152">
        <v>204</v>
      </c>
      <c r="F71" s="38">
        <f>E71/100*15*0.855*0.6*0.334*0.08*0.2</f>
        <v>0.0838890432</v>
      </c>
      <c r="G71" s="39"/>
      <c r="H71" s="39">
        <f>E71/100*15*0.855*0.6*0.334*0.02*0.2</f>
        <v>0.0209722608</v>
      </c>
      <c r="I71" s="39">
        <f>E71/100*15*0.855*0.6*0.334*0.8*0.2</f>
        <v>0.838890432</v>
      </c>
      <c r="J71" s="39"/>
      <c r="K71" s="39">
        <f>E71/100*15*0.855*0.6*0.334*0.08*0.2</f>
        <v>0.0838890432</v>
      </c>
      <c r="L71" s="39"/>
      <c r="M71" s="39"/>
      <c r="N71" s="99"/>
      <c r="O71" s="99"/>
      <c r="P71" s="99"/>
      <c r="Q71" s="99"/>
      <c r="R71" s="112"/>
      <c r="S71" s="38">
        <f>E71/100*15*0.855*0.6*0.388*0.1*0.2</f>
        <v>0.121814928</v>
      </c>
      <c r="T71" s="54">
        <f>E71/100*15*0.855*0.6*0.388*0.8*0.2</f>
        <v>0.974519424</v>
      </c>
      <c r="U71" s="54"/>
      <c r="V71" s="54">
        <f>E71/100*15*0.855*0.6*0.388*0.08*0.2</f>
        <v>0.0974519424</v>
      </c>
      <c r="W71" s="112"/>
      <c r="X71" s="38">
        <f>E71/100*15*0.855*0.6*0.13*0.82*0.2</f>
        <v>0.334677096</v>
      </c>
      <c r="Y71" s="39">
        <f>E71/100*15*0.855*0.6*0.13*0.08*0.2</f>
        <v>0.032651424</v>
      </c>
      <c r="Z71" s="54"/>
      <c r="AA71" s="39">
        <f>E71/100*15*0.855*0.6*0.13*0.08*0.2</f>
        <v>0.032651424</v>
      </c>
      <c r="AB71" s="53">
        <f>E71/100*15*0.855*0.6*0.147*0.82*0.2</f>
        <v>0.3784425624</v>
      </c>
      <c r="AC71" s="54">
        <f>E71/100*15*0.855*0.6*0.147*0.08*0.2</f>
        <v>0.0369212256</v>
      </c>
      <c r="AD71" s="112">
        <f>E71/100*15*0.855*0.6*0.147*0.08*0.2</f>
        <v>0.0369212256</v>
      </c>
      <c r="AE71" s="127"/>
      <c r="AF71" s="39"/>
      <c r="AG71" s="141"/>
    </row>
    <row r="72" s="1" customFormat="1" ht="24.95" customHeight="1" spans="1:33">
      <c r="A72" s="146"/>
      <c r="B72" s="20"/>
      <c r="C72" s="21"/>
      <c r="D72" s="153" t="s">
        <v>54</v>
      </c>
      <c r="E72" s="154">
        <v>232.32</v>
      </c>
      <c r="F72" s="42">
        <f>E72/100*15*0.855*0.6*0.334*0.08*0.2*1.3</f>
        <v>0.1241952611328</v>
      </c>
      <c r="G72" s="43"/>
      <c r="H72" s="43">
        <f>E72/100*15*0.855*0.6*0.334*0.02*0.2*1.3</f>
        <v>0.0310488152832</v>
      </c>
      <c r="I72" s="43">
        <f>E72/100*15*0.855*0.6*0.334*0.8*0.2*1.3</f>
        <v>1.241952611328</v>
      </c>
      <c r="J72" s="43"/>
      <c r="K72" s="43">
        <f>E72/100*15*0.855*0.6*0.334*0.08*0.2*1.3</f>
        <v>0.1241952611328</v>
      </c>
      <c r="L72" s="43"/>
      <c r="M72" s="43"/>
      <c r="N72" s="100"/>
      <c r="O72" s="100"/>
      <c r="P72" s="100"/>
      <c r="Q72" s="100"/>
      <c r="R72" s="113"/>
      <c r="S72" s="42">
        <f>E72/100*15*0.855*0.6*0.388*0.1*1.3*0.2</f>
        <v>0.180343418112</v>
      </c>
      <c r="T72" s="103">
        <f>E72/100*15*0.855*0.6*0.388*0.8*1.3*0.2</f>
        <v>1.442747344896</v>
      </c>
      <c r="U72" s="205"/>
      <c r="V72" s="103">
        <f>E72/100*15*0.855*0.6*0.388*0.08*1.3*0.2</f>
        <v>0.1442747344896</v>
      </c>
      <c r="W72" s="206"/>
      <c r="X72" s="43">
        <f>E72/100*15*0.855*0.6*0.13*0.82*1.3*0.5</f>
        <v>1.23869899296</v>
      </c>
      <c r="Y72" s="43">
        <f>E72/100*15*0.855*0.6*0.13*0.08*1.3*0.5</f>
        <v>0.12084868224</v>
      </c>
      <c r="Z72" s="56"/>
      <c r="AA72" s="43">
        <f>E72/100*15*0.855*0.6*0.13*0.08*1.3*0.5</f>
        <v>0.12084868224</v>
      </c>
      <c r="AB72" s="137">
        <f>E72/100*15*0.855*0.6*0.147*0.82*0.2*1.3*0.5</f>
        <v>0.2801365414848</v>
      </c>
      <c r="AC72" s="103">
        <f>E72/100*15*0.855*0.6*0.147*0.08*1.3*0.5</f>
        <v>0.136651971456</v>
      </c>
      <c r="AD72" s="119">
        <f>E72/100*15*0.855*0.6*0.147*0.08*1.3*0.5</f>
        <v>0.136651971456</v>
      </c>
      <c r="AE72" s="138">
        <f>E72/100*15*0.855*0.6*0.147*0.82*0.8*1.3*0.5</f>
        <v>1.1205461659392</v>
      </c>
      <c r="AF72" s="43"/>
      <c r="AG72" s="142" t="s">
        <v>55</v>
      </c>
    </row>
    <row r="73" ht="24.95" customHeight="1" spans="1:33">
      <c r="A73" s="146"/>
      <c r="B73" s="20"/>
      <c r="C73" s="21"/>
      <c r="D73" s="156" t="s">
        <v>91</v>
      </c>
      <c r="E73" s="157">
        <v>118.8</v>
      </c>
      <c r="F73" s="38">
        <f>E73/100*15*0.855*0.6*0.334*0.08</f>
        <v>0.2442651552</v>
      </c>
      <c r="G73" s="39"/>
      <c r="H73" s="39">
        <f>E73/100*15*0.855*0.6*0.334*0.02</f>
        <v>0.0610662888</v>
      </c>
      <c r="I73" s="39">
        <f>E73/100*15*0.855*0.6*0.334*0.8</f>
        <v>2.442651552</v>
      </c>
      <c r="J73" s="39"/>
      <c r="K73" s="39">
        <f t="shared" ref="K73" si="46">E73/100*15*0.855*0.6*0.334*0.08</f>
        <v>0.2442651552</v>
      </c>
      <c r="L73" s="39"/>
      <c r="M73" s="39"/>
      <c r="N73" s="99"/>
      <c r="O73" s="99"/>
      <c r="P73" s="99"/>
      <c r="Q73" s="99"/>
      <c r="R73" s="112"/>
      <c r="S73" s="38">
        <f>E73/100*15*0.855*0.6*0.388*0.1</f>
        <v>0.354696408</v>
      </c>
      <c r="T73" s="54">
        <f>E73/100*15*0.855*0.6*0.388*0.8</f>
        <v>2.837571264</v>
      </c>
      <c r="U73" s="88"/>
      <c r="V73" s="54">
        <f>E73/100*15*0.855*0.6*0.388*0.08</f>
        <v>0.2837571264</v>
      </c>
      <c r="W73" s="121"/>
      <c r="X73" s="38">
        <f>E73/100*15*0.855*0.6*0.13*0.82</f>
        <v>0.974500956</v>
      </c>
      <c r="Y73" s="39">
        <f>E73/100*15*0.855*0.6*0.13*0.08</f>
        <v>0.095073264</v>
      </c>
      <c r="Z73" s="101"/>
      <c r="AA73" s="39">
        <f>E73/100*15*0.855*0.6*0.13*0.08</f>
        <v>0.095073264</v>
      </c>
      <c r="AB73" s="53">
        <f>E73/100*15*0.855*0.6*0.147*0.82</f>
        <v>1.1019356964</v>
      </c>
      <c r="AC73" s="54">
        <f>E73/100*15*0.855*0.6*0.147*0.08</f>
        <v>0.1075059216</v>
      </c>
      <c r="AD73" s="112">
        <f>E73/100*15*0.855*0.6*0.147*0.08</f>
        <v>0.1075059216</v>
      </c>
      <c r="AE73" s="127"/>
      <c r="AF73" s="39"/>
      <c r="AG73" s="141"/>
    </row>
    <row r="74" ht="33" customHeight="1" spans="1:33">
      <c r="A74" s="77"/>
      <c r="B74" s="20"/>
      <c r="C74" s="21"/>
      <c r="D74" s="47" t="s">
        <v>57</v>
      </c>
      <c r="E74" s="48">
        <f>SUM(E64:E73)</f>
        <v>11399.18</v>
      </c>
      <c r="F74" s="49">
        <f>E74/100*15*(0.145*0.7*0.43)*0.08</f>
        <v>5.9702065332</v>
      </c>
      <c r="G74" s="123"/>
      <c r="H74" s="123">
        <f>E74/100*15*(0.145*0.7*0.43)*0.02</f>
        <v>1.4925516333</v>
      </c>
      <c r="I74" s="123">
        <f>E74/100*15*(0.145*0.7*0.43)*0.8*0.95</f>
        <v>56.7169620654</v>
      </c>
      <c r="J74" s="123"/>
      <c r="K74" s="123">
        <f>E74/100*15*(0.145*0.7*0.43)*0.08</f>
        <v>5.9702065332</v>
      </c>
      <c r="L74" s="123"/>
      <c r="M74" s="123"/>
      <c r="N74" s="102">
        <f>E74/100*15*(0.145*0.7*0.43)*0.8*0.05</f>
        <v>2.9851032666</v>
      </c>
      <c r="O74" s="99"/>
      <c r="P74" s="99"/>
      <c r="Q74" s="102"/>
      <c r="R74" s="115"/>
      <c r="S74" s="49"/>
      <c r="T74" s="114">
        <f>E74/100*15*0.145*0.7*0.04*0.8</f>
        <v>5.553680496</v>
      </c>
      <c r="U74" s="114"/>
      <c r="V74" s="123"/>
      <c r="W74" s="115"/>
      <c r="X74" s="50">
        <f>E74/100*15*(0.145*0.7*0.36)*0.82</f>
        <v>51.2327025756</v>
      </c>
      <c r="Y74" s="123">
        <f>E74/100*15*(0.145*0.7*0.36)*0.08</f>
        <v>4.9983124464</v>
      </c>
      <c r="Z74" s="114"/>
      <c r="AA74" s="123">
        <f>E74/100*15*(0.145*0.7*0.36)*0.08</f>
        <v>4.9983124464</v>
      </c>
      <c r="AB74" s="209">
        <f>E74/100*15*(0.145*0.7*0.17)*0.82*0.5</f>
        <v>12.09661033035</v>
      </c>
      <c r="AC74" s="114">
        <f>E74/100*15*(0.145*0.7*0.17)*0.08</f>
        <v>2.3603142108</v>
      </c>
      <c r="AD74" s="115">
        <f>E74/100*15*(0.145*0.7*0.17)*0.08</f>
        <v>2.3603142108</v>
      </c>
      <c r="AE74" s="130">
        <f>E74/100*15*(0.145*0.7*0.17)*0.82*0.5</f>
        <v>12.09661033035</v>
      </c>
      <c r="AF74" s="39"/>
      <c r="AG74" s="220"/>
    </row>
    <row r="75" ht="24.95" customHeight="1" spans="1:33">
      <c r="A75" s="74">
        <v>10</v>
      </c>
      <c r="B75" s="20"/>
      <c r="C75" s="21" t="s">
        <v>92</v>
      </c>
      <c r="D75" s="158" t="s">
        <v>85</v>
      </c>
      <c r="E75" s="90"/>
      <c r="F75" s="34"/>
      <c r="G75" s="35"/>
      <c r="H75" s="35"/>
      <c r="I75" s="82"/>
      <c r="J75" s="35"/>
      <c r="K75" s="35"/>
      <c r="L75" s="35"/>
      <c r="M75" s="82"/>
      <c r="N75" s="98"/>
      <c r="O75" s="98"/>
      <c r="P75" s="98"/>
      <c r="Q75" s="98"/>
      <c r="R75" s="111"/>
      <c r="S75" s="34"/>
      <c r="T75" s="82"/>
      <c r="U75" s="82"/>
      <c r="V75" s="82"/>
      <c r="W75" s="111"/>
      <c r="X75" s="34"/>
      <c r="Y75" s="35"/>
      <c r="Z75" s="82"/>
      <c r="AA75" s="126"/>
      <c r="AB75" s="125"/>
      <c r="AC75" s="82"/>
      <c r="AD75" s="111"/>
      <c r="AE75" s="126"/>
      <c r="AF75" s="39"/>
      <c r="AG75" s="141"/>
    </row>
    <row r="76" ht="36" customHeight="1" spans="1:33">
      <c r="A76" s="146"/>
      <c r="B76" s="20"/>
      <c r="C76" s="21"/>
      <c r="D76" s="147" t="s">
        <v>86</v>
      </c>
      <c r="E76" s="148">
        <v>9085.27</v>
      </c>
      <c r="F76" s="38">
        <f>E76/100*15*0.855*0.6*0.334*0.8*1.2</f>
        <v>224.16311985696</v>
      </c>
      <c r="G76" s="39"/>
      <c r="H76" s="39">
        <f>E76/100*15*0.855*0.6*0.334*0.02*1.2</f>
        <v>5.604077996424</v>
      </c>
      <c r="I76" s="39">
        <f>E76/100*15*0.855*0.6*0.334*0.08*1.2</f>
        <v>22.416311985696</v>
      </c>
      <c r="J76" s="54"/>
      <c r="K76" s="39">
        <f>E76/100*15*0.855*0.6*0.334*0.08*1.2</f>
        <v>22.416311985696</v>
      </c>
      <c r="L76" s="54"/>
      <c r="M76" s="54"/>
      <c r="N76" s="99"/>
      <c r="O76" s="99"/>
      <c r="P76" s="99"/>
      <c r="Q76" s="99"/>
      <c r="R76" s="112"/>
      <c r="S76" s="38">
        <f>E76/100*15*0.855*0.6*0.388*0.82*1.2</f>
        <v>266.915187925488</v>
      </c>
      <c r="T76" s="54">
        <f>E76/100*15*0.855*0.6*0.388*0.08*1.2</f>
        <v>26.040506139072</v>
      </c>
      <c r="U76" s="54">
        <f>E76/100*15*0.855*0.6*0.388*0.82*0.1*1.2</f>
        <v>26.6915187925488</v>
      </c>
      <c r="V76" s="54">
        <f>E76/100*15*0.855*0.6*0.388*0.08*1.2</f>
        <v>26.040506139072</v>
      </c>
      <c r="W76" s="112"/>
      <c r="X76" s="38">
        <f>E76/100*15*0.855*0.6*0.13*0.08</f>
        <v>7.2707598756</v>
      </c>
      <c r="Y76" s="39">
        <f>E76/100*15*0.855*0.6*0.13*0.08</f>
        <v>7.2707598756</v>
      </c>
      <c r="Z76" s="39"/>
      <c r="AA76" s="210">
        <f>E76/100*15*0.855*0.6*0.13*0.82</f>
        <v>74.5252887249</v>
      </c>
      <c r="AB76" s="53">
        <f>E76/100*15*0.855*0.6*0.147*0.82*0.2</f>
        <v>16.854180680862</v>
      </c>
      <c r="AC76" s="54">
        <f>E76/100*15*0.855*0.6*0.147*0.08</f>
        <v>8.22155155164</v>
      </c>
      <c r="AD76" s="112">
        <f>E76/100*15*0.855*0.6*0.147*0.08</f>
        <v>8.22155155164</v>
      </c>
      <c r="AE76" s="127">
        <f>E76/100*15*0.855*0.6*0.147*0.82*0.8</f>
        <v>67.416722723448</v>
      </c>
      <c r="AF76" s="39"/>
      <c r="AG76" s="143" t="s">
        <v>93</v>
      </c>
    </row>
    <row r="77" ht="24.95" customHeight="1" spans="1:39">
      <c r="A77" s="146"/>
      <c r="B77" s="20"/>
      <c r="C77" s="21"/>
      <c r="D77" s="149" t="s">
        <v>88</v>
      </c>
      <c r="E77" s="152">
        <v>2373.3</v>
      </c>
      <c r="F77" s="38">
        <f t="shared" ref="F77:F80" si="47">E77/100*15*0.855*0.6*0.334*0.8</f>
        <v>48.797516232</v>
      </c>
      <c r="G77" s="39"/>
      <c r="H77" s="39">
        <f t="shared" ref="H77:H80" si="48">E77/100*15*0.855*0.6*0.334*0.02</f>
        <v>1.2199379058</v>
      </c>
      <c r="I77" s="39">
        <f t="shared" ref="I77:I84" si="49">E77/100*15*0.855*0.6*0.334*0.08</f>
        <v>4.8797516232</v>
      </c>
      <c r="J77" s="54"/>
      <c r="K77" s="39">
        <f t="shared" ref="I77:K80" si="50">E77/100*15*0.855*0.6*0.334*0.08</f>
        <v>4.8797516232</v>
      </c>
      <c r="L77" s="54"/>
      <c r="M77" s="54"/>
      <c r="N77" s="99"/>
      <c r="O77" s="99"/>
      <c r="P77" s="99"/>
      <c r="Q77" s="99"/>
      <c r="R77" s="112"/>
      <c r="S77" s="38">
        <f>E77/100*15*0.855*0.6*0.388*0.82</f>
        <v>58.1041083996</v>
      </c>
      <c r="T77" s="54">
        <f t="shared" ref="T77:T84" si="51">E77/100*15*0.855*0.6*0.388*0.08</f>
        <v>5.6686935024</v>
      </c>
      <c r="U77" s="54"/>
      <c r="V77" s="54">
        <f t="shared" ref="V76:V84" si="52">E77/100*15*0.855*0.6*0.388*0.08</f>
        <v>5.6686935024</v>
      </c>
      <c r="W77" s="112"/>
      <c r="X77" s="38">
        <f>E77/100*15*0.855*0.6*0.13*0.08</f>
        <v>1.899304524</v>
      </c>
      <c r="Y77" s="39">
        <f>E77/100*15*0.855*0.6*0.13*0.08</f>
        <v>1.899304524</v>
      </c>
      <c r="Z77" s="54"/>
      <c r="AA77" s="210">
        <f>E77/100*15*0.855*0.6*0.13*0.82</f>
        <v>19.467871371</v>
      </c>
      <c r="AB77" s="53">
        <f t="shared" ref="AB77:AB82" si="53">E77/100*15*0.855*0.6*0.147*0.82*0.2</f>
        <v>4.40273398698</v>
      </c>
      <c r="AC77" s="54">
        <f t="shared" ref="AC77:AC84" si="54">E77/100*15*0.855*0.6*0.147*0.08</f>
        <v>2.1476751156</v>
      </c>
      <c r="AD77" s="112">
        <f t="shared" ref="AD77:AD84" si="55">E77/100*15*0.855*0.6*0.147*0.08</f>
        <v>2.1476751156</v>
      </c>
      <c r="AE77" s="127">
        <f t="shared" ref="AE77:AE82" si="56">E77/100*15*0.855*0.6*0.147*0.82*0.8</f>
        <v>17.61093594792</v>
      </c>
      <c r="AF77" s="39"/>
      <c r="AG77" s="141"/>
      <c r="AM77" t="s">
        <v>52</v>
      </c>
    </row>
    <row r="78" ht="24.95" customHeight="1" spans="1:33">
      <c r="A78" s="146"/>
      <c r="B78" s="20"/>
      <c r="C78" s="21"/>
      <c r="D78" s="151" t="s">
        <v>89</v>
      </c>
      <c r="E78" s="152">
        <v>204</v>
      </c>
      <c r="F78" s="38">
        <f t="shared" si="47"/>
        <v>4.19445216</v>
      </c>
      <c r="G78" s="50"/>
      <c r="H78" s="39">
        <f t="shared" si="48"/>
        <v>0.104861304</v>
      </c>
      <c r="I78" s="39">
        <f t="shared" si="49"/>
        <v>0.419445216</v>
      </c>
      <c r="J78" s="50"/>
      <c r="K78" s="39">
        <f t="shared" si="50"/>
        <v>0.419445216</v>
      </c>
      <c r="L78" s="50"/>
      <c r="M78" s="101"/>
      <c r="N78" s="102"/>
      <c r="O78" s="102"/>
      <c r="P78" s="102"/>
      <c r="Q78" s="102"/>
      <c r="R78" s="116"/>
      <c r="S78" s="38">
        <f>E78/100*15*0.855*0.6*0.388*0.82</f>
        <v>4.994412048</v>
      </c>
      <c r="T78" s="54">
        <f t="shared" si="51"/>
        <v>0.487259712</v>
      </c>
      <c r="U78" s="101"/>
      <c r="V78" s="54">
        <f t="shared" si="52"/>
        <v>0.487259712</v>
      </c>
      <c r="W78" s="116"/>
      <c r="X78" s="38">
        <f>E78/100*15*0.855*0.6*0.13*0.08</f>
        <v>0.16325712</v>
      </c>
      <c r="Y78" s="39">
        <f>E78/100*15*0.855*0.6*0.13*0.08</f>
        <v>0.16325712</v>
      </c>
      <c r="Z78" s="101"/>
      <c r="AA78" s="210">
        <f>E78/100*15*0.855*0.6*0.13*0.82</f>
        <v>1.67338548</v>
      </c>
      <c r="AB78" s="53">
        <f t="shared" si="53"/>
        <v>0.3784425624</v>
      </c>
      <c r="AC78" s="54">
        <f t="shared" si="54"/>
        <v>0.184606128</v>
      </c>
      <c r="AD78" s="112">
        <f t="shared" si="55"/>
        <v>0.184606128</v>
      </c>
      <c r="AE78" s="127">
        <f t="shared" si="56"/>
        <v>1.5137702496</v>
      </c>
      <c r="AF78" s="39"/>
      <c r="AG78" s="141"/>
    </row>
    <row r="79" s="1" customFormat="1" ht="24.95" customHeight="1" spans="1:33">
      <c r="A79" s="146"/>
      <c r="B79" s="20"/>
      <c r="C79" s="21"/>
      <c r="D79" s="153" t="s">
        <v>54</v>
      </c>
      <c r="E79" s="154">
        <v>418.44</v>
      </c>
      <c r="F79" s="42">
        <f>E79/100*15*0.855*0.6*0.334*0.8*1.3</f>
        <v>11.18463005088</v>
      </c>
      <c r="G79" s="43"/>
      <c r="H79" s="43">
        <f>E79/100*15*0.855*0.6*0.334*0.02*1.3</f>
        <v>0.279615751272</v>
      </c>
      <c r="I79" s="39">
        <f>E79/100*15*0.855*0.6*0.334*0.08*1.3</f>
        <v>1.118463005088</v>
      </c>
      <c r="J79" s="56"/>
      <c r="K79" s="43">
        <f>E79/100*15*0.855*0.6*0.334*0.08*1.3</f>
        <v>1.118463005088</v>
      </c>
      <c r="L79" s="56"/>
      <c r="M79" s="56"/>
      <c r="N79" s="100"/>
      <c r="O79" s="100"/>
      <c r="P79" s="100"/>
      <c r="Q79" s="100"/>
      <c r="R79" s="113"/>
      <c r="S79" s="42">
        <f>E79/100*15*0.855*0.6*0.388*0.82*1.3</f>
        <v>13.317746620464</v>
      </c>
      <c r="T79" s="103">
        <f>E79/100*15*0.855*0.6*0.388*0.08*1.3</f>
        <v>1.299292353216</v>
      </c>
      <c r="U79" s="56"/>
      <c r="V79" s="103">
        <f>E79/100*15*0.855*0.6*0.388*0.08*1.3</f>
        <v>1.299292353216</v>
      </c>
      <c r="W79" s="113"/>
      <c r="X79" s="43">
        <f>E79/100*15*0.855*0.6*0.13*0.08*1.3</f>
        <v>0.43532991216</v>
      </c>
      <c r="Y79" s="43">
        <f>E79/100*15*0.855*0.6*0.13*0.08*1.3</f>
        <v>0.43532991216</v>
      </c>
      <c r="Z79" s="56"/>
      <c r="AA79" s="128">
        <f>E79/100*15*0.855*0.6*0.13*0.08*1.3</f>
        <v>0.43532991216</v>
      </c>
      <c r="AB79" s="137">
        <f t="shared" si="53"/>
        <v>0.776252479464</v>
      </c>
      <c r="AC79" s="103">
        <f t="shared" si="54"/>
        <v>0.37865974608</v>
      </c>
      <c r="AD79" s="119">
        <f t="shared" si="55"/>
        <v>0.37865974608</v>
      </c>
      <c r="AE79" s="138">
        <f t="shared" si="56"/>
        <v>3.105009917856</v>
      </c>
      <c r="AF79" s="43"/>
      <c r="AG79" s="142" t="s">
        <v>55</v>
      </c>
    </row>
    <row r="80" ht="24.95" customHeight="1" spans="1:39">
      <c r="A80" s="146"/>
      <c r="B80" s="20"/>
      <c r="C80" s="21"/>
      <c r="D80" s="156" t="s">
        <v>91</v>
      </c>
      <c r="E80" s="157">
        <v>158.4</v>
      </c>
      <c r="F80" s="38">
        <f t="shared" si="47"/>
        <v>3.256868736</v>
      </c>
      <c r="G80" s="39"/>
      <c r="H80" s="39">
        <f t="shared" si="48"/>
        <v>0.0814217184</v>
      </c>
      <c r="I80" s="39">
        <f t="shared" si="49"/>
        <v>0.3256868736</v>
      </c>
      <c r="J80" s="54"/>
      <c r="K80" s="39">
        <f t="shared" si="50"/>
        <v>0.3256868736</v>
      </c>
      <c r="L80" s="54"/>
      <c r="M80" s="54"/>
      <c r="N80" s="99"/>
      <c r="O80" s="99"/>
      <c r="P80" s="99"/>
      <c r="Q80" s="99"/>
      <c r="R80" s="112"/>
      <c r="S80" s="38">
        <f>E80/100*15*0.855*0.6*0.388*0.82</f>
        <v>3.8780140608</v>
      </c>
      <c r="T80" s="54">
        <f t="shared" si="51"/>
        <v>0.3783428352</v>
      </c>
      <c r="U80" s="54"/>
      <c r="V80" s="54">
        <f t="shared" si="52"/>
        <v>0.3783428352</v>
      </c>
      <c r="W80" s="112"/>
      <c r="X80" s="38">
        <f>E80/100*15*0.855*0.6*0.13*0.08</f>
        <v>0.126764352</v>
      </c>
      <c r="Y80" s="39">
        <f>E80/100*15*0.855*0.6*0.13*0.08</f>
        <v>0.126764352</v>
      </c>
      <c r="Z80" s="54"/>
      <c r="AA80" s="127">
        <f>E80/100*15*0.855*0.6*0.13*0.82</f>
        <v>1.299334608</v>
      </c>
      <c r="AB80" s="53">
        <f t="shared" si="53"/>
        <v>0.29384951904</v>
      </c>
      <c r="AC80" s="54">
        <f t="shared" si="54"/>
        <v>0.1433412288</v>
      </c>
      <c r="AD80" s="112">
        <f t="shared" si="55"/>
        <v>0.1433412288</v>
      </c>
      <c r="AE80" s="127">
        <f t="shared" si="56"/>
        <v>1.17539807616</v>
      </c>
      <c r="AF80" s="39"/>
      <c r="AG80" s="141"/>
      <c r="AM80" t="s">
        <v>52</v>
      </c>
    </row>
    <row r="81" ht="24.95" customHeight="1" spans="1:33">
      <c r="A81" s="146"/>
      <c r="B81" s="20"/>
      <c r="C81" s="21"/>
      <c r="D81" s="159" t="s">
        <v>90</v>
      </c>
      <c r="E81" s="152"/>
      <c r="F81" s="38"/>
      <c r="G81" s="39"/>
      <c r="H81" s="39"/>
      <c r="I81" s="39"/>
      <c r="J81" s="54"/>
      <c r="K81" s="54"/>
      <c r="L81" s="54"/>
      <c r="M81" s="54"/>
      <c r="N81" s="99"/>
      <c r="O81" s="99"/>
      <c r="P81" s="99"/>
      <c r="Q81" s="99"/>
      <c r="R81" s="112"/>
      <c r="S81" s="38"/>
      <c r="T81" s="54"/>
      <c r="U81" s="54"/>
      <c r="V81" s="54"/>
      <c r="W81" s="112"/>
      <c r="X81" s="38"/>
      <c r="Y81" s="39"/>
      <c r="Z81" s="54"/>
      <c r="AA81" s="127"/>
      <c r="AB81" s="53"/>
      <c r="AC81" s="54"/>
      <c r="AD81" s="112"/>
      <c r="AE81" s="127"/>
      <c r="AF81" s="39"/>
      <c r="AG81" s="141"/>
    </row>
    <row r="82" ht="24.95" customHeight="1" spans="1:33">
      <c r="A82" s="146"/>
      <c r="B82" s="20"/>
      <c r="C82" s="21"/>
      <c r="D82" s="151" t="s">
        <v>94</v>
      </c>
      <c r="E82" s="152">
        <v>125.84</v>
      </c>
      <c r="F82" s="38">
        <f>E82/100*15*0.855*0.6*0.334*0.8</f>
        <v>2.5874012736</v>
      </c>
      <c r="G82" s="39"/>
      <c r="H82" s="39">
        <f t="shared" ref="H82" si="57">E82/100*15*0.855*0.6*0.334*0.02</f>
        <v>0.06468503184</v>
      </c>
      <c r="I82" s="39">
        <f t="shared" si="49"/>
        <v>0.25874012736</v>
      </c>
      <c r="J82" s="39"/>
      <c r="K82" s="39">
        <f>E82/100*15*0.855*0.6*0.334*0.08</f>
        <v>0.25874012736</v>
      </c>
      <c r="L82" s="39"/>
      <c r="M82" s="39"/>
      <c r="N82" s="99"/>
      <c r="O82" s="99"/>
      <c r="P82" s="99"/>
      <c r="Q82" s="99"/>
      <c r="R82" s="112"/>
      <c r="S82" s="38">
        <f>E82/100*15*0.855*0.6*0.388*0.82</f>
        <v>3.08086672608</v>
      </c>
      <c r="T82" s="54">
        <f t="shared" si="51"/>
        <v>0.30057236352</v>
      </c>
      <c r="U82" s="54"/>
      <c r="V82" s="54">
        <f t="shared" si="52"/>
        <v>0.30057236352</v>
      </c>
      <c r="W82" s="112"/>
      <c r="X82" s="38">
        <f>E82/100*15*0.855*0.6*0.13*0.08</f>
        <v>0.1007072352</v>
      </c>
      <c r="Y82" s="39">
        <f>E82/100*15*0.855*0.6*0.13*0.08</f>
        <v>0.1007072352</v>
      </c>
      <c r="Z82" s="54"/>
      <c r="AA82" s="127">
        <f>E82/100*15*0.855*0.6*0.13*0.82</f>
        <v>1.0322491608</v>
      </c>
      <c r="AB82" s="53">
        <f>E82/100*15*0.855*0.6*0.147*0.82*0.2*0.2</f>
        <v>0.0466894235808</v>
      </c>
      <c r="AC82" s="54">
        <f t="shared" si="54"/>
        <v>0.11387664288</v>
      </c>
      <c r="AD82" s="112">
        <f t="shared" si="55"/>
        <v>0.11387664288</v>
      </c>
      <c r="AE82" s="127">
        <f t="shared" si="56"/>
        <v>0.933788471616</v>
      </c>
      <c r="AF82" s="39"/>
      <c r="AG82" s="141"/>
    </row>
    <row r="83" ht="24.95" customHeight="1" spans="1:33">
      <c r="A83" s="146"/>
      <c r="B83" s="20"/>
      <c r="C83" s="21"/>
      <c r="D83" s="151" t="s">
        <v>89</v>
      </c>
      <c r="E83" s="152">
        <v>204</v>
      </c>
      <c r="F83" s="38">
        <f>E83/100*15*0.855*0.6*0.334*0.8*0.2</f>
        <v>0.838890432</v>
      </c>
      <c r="G83" s="39"/>
      <c r="H83" s="39">
        <f>E83/100*15*0.855*0.6*0.334*0.02*0.2</f>
        <v>0.0209722608</v>
      </c>
      <c r="I83" s="39">
        <f>E83/100*15*0.855*0.6*0.334*0.08*0.2</f>
        <v>0.0838890432</v>
      </c>
      <c r="J83" s="39"/>
      <c r="K83" s="39">
        <f>E83/100*15*0.855*0.6*0.334*0.08*0.2</f>
        <v>0.0838890432</v>
      </c>
      <c r="L83" s="39"/>
      <c r="M83" s="39"/>
      <c r="N83" s="99"/>
      <c r="O83" s="99"/>
      <c r="P83" s="99"/>
      <c r="Q83" s="99"/>
      <c r="R83" s="112"/>
      <c r="S83" s="38">
        <f>E83/100*15*0.855*0.6*0.388*0.82*0.2</f>
        <v>0.9988824096</v>
      </c>
      <c r="T83" s="54">
        <f>E83/100*15*0.855*0.6*0.388*0.08*0.2</f>
        <v>0.0974519424</v>
      </c>
      <c r="U83" s="88"/>
      <c r="V83" s="54">
        <f>E83/100*15*0.855*0.6*0.388*0.08*0.2</f>
        <v>0.0974519424</v>
      </c>
      <c r="W83" s="121"/>
      <c r="X83" s="38">
        <f>E83/100*15*0.855*0.6*0.13*0.08*0.2</f>
        <v>0.032651424</v>
      </c>
      <c r="Y83" s="39">
        <f>E83/100*15*0.855*0.6*0.13*0.08*0.2</f>
        <v>0.032651424</v>
      </c>
      <c r="Z83" s="54"/>
      <c r="AA83" s="127">
        <f>E83/100*15*0.855*0.6*0.13*0.82*0.2</f>
        <v>0.334677096</v>
      </c>
      <c r="AB83" s="53">
        <f>E83/100*15*0.855*0.6*0.147*0.82*0.2</f>
        <v>0.3784425624</v>
      </c>
      <c r="AC83" s="54">
        <f>E83/100*15*0.855*0.6*0.147*0.08*0.2</f>
        <v>0.0369212256</v>
      </c>
      <c r="AD83" s="112">
        <f>E83/100*15*0.855*0.6*0.147*0.08*0.2</f>
        <v>0.0369212256</v>
      </c>
      <c r="AE83" s="127">
        <f>E83/100*15*0.855*0.6*0.147*0.82*0.8*0.2</f>
        <v>0.30275404992</v>
      </c>
      <c r="AF83" s="39"/>
      <c r="AG83" s="141"/>
    </row>
    <row r="84" s="1" customFormat="1" ht="24.95" customHeight="1" spans="1:33">
      <c r="A84" s="146"/>
      <c r="B84" s="20"/>
      <c r="C84" s="21"/>
      <c r="D84" s="153" t="s">
        <v>54</v>
      </c>
      <c r="E84" s="154">
        <v>45.61</v>
      </c>
      <c r="F84" s="42">
        <f>E84/100*15*0.855*0.6*0.334*0.8*1.3*0.2</f>
        <v>0.243825148944</v>
      </c>
      <c r="G84" s="43"/>
      <c r="H84" s="43">
        <f>E84/100*15*0.855*0.6*0.334*0.02*1.3*0.2</f>
        <v>0.0060956287236</v>
      </c>
      <c r="I84" s="39">
        <f>E84/100*15*0.855*0.6*0.334*0.08*1.3*0.2</f>
        <v>0.0243825148944</v>
      </c>
      <c r="J84" s="43"/>
      <c r="K84" s="43">
        <f>E84/100*15*0.855*0.6*0.334*0.08*1.3*0.2</f>
        <v>0.0243825148944</v>
      </c>
      <c r="L84" s="43"/>
      <c r="M84" s="43"/>
      <c r="N84" s="100"/>
      <c r="O84" s="199"/>
      <c r="P84" s="100"/>
      <c r="Q84" s="100"/>
      <c r="R84" s="113"/>
      <c r="S84" s="42">
        <f>E84/100*15*0.855*0.6*0.388*0.82*1.3*0.2</f>
        <v>0.2903271309432</v>
      </c>
      <c r="T84" s="103">
        <f>E84/100*15*0.855*0.6*0.388*0.08*1.3*0.2</f>
        <v>0.0283245981408</v>
      </c>
      <c r="U84" s="205"/>
      <c r="V84" s="103">
        <f>E84/100*15*0.855*0.6*0.388*0.08*1.3*0.2</f>
        <v>0.0283245981408</v>
      </c>
      <c r="W84" s="206"/>
      <c r="X84" s="43">
        <f>E84/100*15*0.855*0.6*0.13*0.08*1.3*0.2</f>
        <v>0.009490200408</v>
      </c>
      <c r="Y84" s="43">
        <f>E84/100*15*0.855*0.6*0.13*0.08*1.3*0.2</f>
        <v>0.009490200408</v>
      </c>
      <c r="Z84" s="56"/>
      <c r="AA84" s="128">
        <f>E84/100*15*0.855*0.6*0.13*0.08*1.3*0.2</f>
        <v>0.009490200408</v>
      </c>
      <c r="AB84" s="137">
        <f>E84/100*15*0.855*0.6*0.147*0.82*0.2*0.5*1.3</f>
        <v>0.0549975364029</v>
      </c>
      <c r="AC84" s="103">
        <f>E84/100*15*0.855*0.6*0.147*0.08*0.5*1.3</f>
        <v>0.026828066538</v>
      </c>
      <c r="AD84" s="119">
        <f>E84/100*15*0.855*0.6*0.147*0.08*0.5*1.3</f>
        <v>0.026828066538</v>
      </c>
      <c r="AE84" s="138">
        <f>E84/100*15*0.855*0.6*0.147*0.82*0.8*0.5*1.3</f>
        <v>0.2199901456116</v>
      </c>
      <c r="AF84" s="43"/>
      <c r="AG84" s="142" t="s">
        <v>55</v>
      </c>
    </row>
    <row r="85" ht="24.95" customHeight="1" spans="1:33">
      <c r="A85" s="77"/>
      <c r="B85" s="20"/>
      <c r="C85" s="21"/>
      <c r="D85" s="160" t="s">
        <v>57</v>
      </c>
      <c r="E85" s="161">
        <f>SUM(E76:E84)</f>
        <v>12614.86</v>
      </c>
      <c r="F85" s="49">
        <f>E85/100*15*(0.145*0.7*0.43)*0.8*0.95</f>
        <v>62.7656143758</v>
      </c>
      <c r="G85" s="87"/>
      <c r="H85" s="87">
        <f>E85/100*15*(0.145*0.7*0.43)*0.02</f>
        <v>1.6517266941</v>
      </c>
      <c r="I85" s="87">
        <f>E85/100*15*(0.145*0.7*0.43)*0.08</f>
        <v>6.6069067764</v>
      </c>
      <c r="J85" s="87"/>
      <c r="K85" s="87">
        <f>E85/100*15*(0.145*0.7*0.43)*0.08</f>
        <v>6.6069067764</v>
      </c>
      <c r="L85" s="87"/>
      <c r="M85" s="200"/>
      <c r="N85" s="120">
        <f>E85/100*15*(0.145*0.7*0.43)*0.8*0.05</f>
        <v>3.3034533882</v>
      </c>
      <c r="O85" s="105"/>
      <c r="P85" s="105"/>
      <c r="Q85" s="120"/>
      <c r="R85" s="121"/>
      <c r="S85" s="72">
        <f>E85/100*15*0.145*0.7*0.04*0.82</f>
        <v>6.2996087868</v>
      </c>
      <c r="T85" s="88"/>
      <c r="U85" s="88"/>
      <c r="V85" s="87"/>
      <c r="W85" s="121"/>
      <c r="X85" s="73">
        <f>E85/100*15*(0.145*0.7*0.36)*0.08</f>
        <v>5.5313638128</v>
      </c>
      <c r="Y85" s="123">
        <f>E85/100*15*(0.145*0.7*0.36)*0.08</f>
        <v>5.5313638128</v>
      </c>
      <c r="Z85" s="88"/>
      <c r="AA85" s="132">
        <f>E85/100*15*(0.145*0.7*0.36)*0.82</f>
        <v>56.6964790812</v>
      </c>
      <c r="AB85" s="209">
        <f>E85/100*15*(0.145*0.7*0.17)*0.82*0.2</f>
        <v>5.35466746878</v>
      </c>
      <c r="AC85" s="114">
        <f>E85/100*15*(0.145*0.7*0.17)*0.08</f>
        <v>2.6120329116</v>
      </c>
      <c r="AD85" s="115">
        <f>E85/100*15*(0.145*0.7*0.17)*0.08</f>
        <v>2.6120329116</v>
      </c>
      <c r="AE85" s="130">
        <f>E85/100*15*(0.145*0.7*0.17)*0.82*0.8</f>
        <v>21.41866987512</v>
      </c>
      <c r="AF85" s="39"/>
      <c r="AG85" s="141"/>
    </row>
    <row r="86" ht="24.95" customHeight="1" spans="1:33">
      <c r="A86" s="146">
        <v>11</v>
      </c>
      <c r="B86" s="20"/>
      <c r="C86" s="25" t="s">
        <v>95</v>
      </c>
      <c r="D86" s="162" t="s">
        <v>49</v>
      </c>
      <c r="E86" s="163">
        <v>153.24</v>
      </c>
      <c r="F86" s="34">
        <f t="shared" ref="F86:F91" si="58">E86/100*15*0.855*0.6*0.334*0.8*0.3</f>
        <v>0.94523213088</v>
      </c>
      <c r="G86" s="82"/>
      <c r="H86" s="82">
        <f>E86/100*15*0.855*0.6*0.334*0.1*0.3</f>
        <v>0.11815401636</v>
      </c>
      <c r="I86" s="82"/>
      <c r="J86" s="82"/>
      <c r="K86" s="35">
        <f>E86/100*15*0.855*0.6*0.334*0.08*0.3</f>
        <v>0.094523213088</v>
      </c>
      <c r="L86" s="82"/>
      <c r="M86" s="82"/>
      <c r="N86" s="82"/>
      <c r="O86" s="82"/>
      <c r="P86" s="82"/>
      <c r="Q86" s="82"/>
      <c r="R86" s="111"/>
      <c r="S86" s="34"/>
      <c r="T86" s="82"/>
      <c r="U86" s="82"/>
      <c r="V86" s="35"/>
      <c r="W86" s="111"/>
      <c r="X86" s="35">
        <f t="shared" ref="X86:X91" si="59">E86/100*15*0.855*0.6*0.13*0.82*0.3</f>
        <v>0.37710233964</v>
      </c>
      <c r="Y86" s="39">
        <f>E86/100*15*0.855*0.6*0.13*0.08*0.3</f>
        <v>0.03679047216</v>
      </c>
      <c r="Z86" s="82">
        <f>E86/100*15*0.855*0.6*0.13*0.08*0.3</f>
        <v>0.03679047216</v>
      </c>
      <c r="AA86" s="126"/>
      <c r="AB86" s="129">
        <f t="shared" ref="AB86:AB93" si="60">E86/100*15*0.855*0.6*0.147*0.82*0.3</f>
        <v>0.426415722516</v>
      </c>
      <c r="AC86" s="54">
        <f>E86/100*15*0.855*0.6*0.147*0.08*0.3</f>
        <v>0.041601533904</v>
      </c>
      <c r="AD86" s="112">
        <f>E86/100*15*0.855*0.6*0.147*0.08*0.3</f>
        <v>0.041601533904</v>
      </c>
      <c r="AE86" s="131"/>
      <c r="AF86" s="50"/>
      <c r="AG86" s="144" t="s">
        <v>96</v>
      </c>
    </row>
    <row r="87" ht="24.95" customHeight="1" spans="1:33">
      <c r="A87" s="146"/>
      <c r="B87" s="20"/>
      <c r="C87" s="20"/>
      <c r="D87" s="162" t="s">
        <v>88</v>
      </c>
      <c r="E87" s="163">
        <v>340.88</v>
      </c>
      <c r="F87" s="38">
        <f t="shared" si="58"/>
        <v>2.10265419456</v>
      </c>
      <c r="G87" s="54"/>
      <c r="H87" s="54">
        <f>E87/100*15*0.855*0.6*0.334*0.1*0.3</f>
        <v>0.26283177432</v>
      </c>
      <c r="I87" s="54"/>
      <c r="J87" s="54"/>
      <c r="K87" s="39">
        <f t="shared" ref="K87:K93" si="61">E87/100*15*0.855*0.6*0.334*0.08*0.3</f>
        <v>0.210265419456</v>
      </c>
      <c r="L87" s="54"/>
      <c r="M87" s="54"/>
      <c r="N87" s="54"/>
      <c r="O87" s="54"/>
      <c r="P87" s="54"/>
      <c r="Q87" s="54"/>
      <c r="R87" s="116"/>
      <c r="S87" s="38"/>
      <c r="T87" s="54"/>
      <c r="U87" s="54"/>
      <c r="V87" s="39"/>
      <c r="W87" s="112"/>
      <c r="X87" s="39">
        <f t="shared" si="59"/>
        <v>0.83885829768</v>
      </c>
      <c r="Y87" s="39">
        <f t="shared" ref="Y87:Y93" si="62">E87/100*15*0.855*0.6*0.13*0.08*0.3</f>
        <v>0.08183983392</v>
      </c>
      <c r="Z87" s="54">
        <f t="shared" ref="Z87:Z93" si="63">E87/100*15*0.855*0.6*0.13*0.08*0.3</f>
        <v>0.08183983392</v>
      </c>
      <c r="AA87" s="127"/>
      <c r="AB87" s="53">
        <f t="shared" si="60"/>
        <v>0.948555151992</v>
      </c>
      <c r="AC87" s="54">
        <f>E87/100*15*0.855*0.6*0.147*0.08*0.3</f>
        <v>0.092541966048</v>
      </c>
      <c r="AD87" s="112">
        <f>E87/100*15*0.855*0.6*0.147*0.08*0.3</f>
        <v>0.092541966048</v>
      </c>
      <c r="AE87" s="127"/>
      <c r="AF87" s="50"/>
      <c r="AG87" s="221"/>
    </row>
    <row r="88" ht="24.95" customHeight="1" spans="1:33">
      <c r="A88" s="146"/>
      <c r="B88" s="20"/>
      <c r="C88" s="20"/>
      <c r="D88" s="162" t="s">
        <v>97</v>
      </c>
      <c r="E88" s="163">
        <v>639.2</v>
      </c>
      <c r="F88" s="38">
        <f t="shared" si="58"/>
        <v>3.9427850304</v>
      </c>
      <c r="G88" s="54"/>
      <c r="H88" s="54">
        <f t="shared" ref="H88:H93" si="64">E88/100*15*0.855*0.6*0.334*0.1*0.3</f>
        <v>0.4928481288</v>
      </c>
      <c r="I88" s="54"/>
      <c r="J88" s="54"/>
      <c r="K88" s="39">
        <f t="shared" si="61"/>
        <v>0.39427850304</v>
      </c>
      <c r="L88" s="54"/>
      <c r="M88" s="54"/>
      <c r="N88" s="54"/>
      <c r="O88" s="54"/>
      <c r="P88" s="54"/>
      <c r="Q88" s="54"/>
      <c r="R88" s="116"/>
      <c r="S88" s="38"/>
      <c r="T88" s="54"/>
      <c r="U88" s="54"/>
      <c r="V88" s="39"/>
      <c r="W88" s="112"/>
      <c r="X88" s="39">
        <f t="shared" si="59"/>
        <v>1.5729823512</v>
      </c>
      <c r="Y88" s="39">
        <f t="shared" si="62"/>
        <v>0.1534616928</v>
      </c>
      <c r="Z88" s="54">
        <f t="shared" si="63"/>
        <v>0.1534616928</v>
      </c>
      <c r="AA88" s="127"/>
      <c r="AB88" s="53">
        <f t="shared" si="60"/>
        <v>1.77868004328</v>
      </c>
      <c r="AC88" s="54">
        <f t="shared" ref="AC88:AC93" si="65">E88/100*15*0.855*0.6*0.147*0.08*0.3</f>
        <v>0.17352976032</v>
      </c>
      <c r="AD88" s="112">
        <f t="shared" ref="AD88:AD93" si="66">E88/100*15*0.855*0.6*0.147*0.08*0.3</f>
        <v>0.17352976032</v>
      </c>
      <c r="AE88" s="127"/>
      <c r="AF88" s="50"/>
      <c r="AG88" s="221"/>
    </row>
    <row r="89" ht="24.95" customHeight="1" spans="1:33">
      <c r="A89" s="146"/>
      <c r="B89" s="20"/>
      <c r="C89" s="20"/>
      <c r="D89" s="164" t="s">
        <v>86</v>
      </c>
      <c r="E89" s="163">
        <v>724.41</v>
      </c>
      <c r="F89" s="38">
        <f t="shared" si="58"/>
        <v>4.46838689592</v>
      </c>
      <c r="G89" s="54"/>
      <c r="H89" s="54">
        <f t="shared" si="64"/>
        <v>0.55854836199</v>
      </c>
      <c r="I89" s="54"/>
      <c r="J89" s="54"/>
      <c r="K89" s="39">
        <f t="shared" si="61"/>
        <v>0.446838689592</v>
      </c>
      <c r="L89" s="54"/>
      <c r="M89" s="54"/>
      <c r="N89" s="54"/>
      <c r="O89" s="54"/>
      <c r="P89" s="54"/>
      <c r="Q89" s="54"/>
      <c r="R89" s="116"/>
      <c r="S89" s="38"/>
      <c r="T89" s="54"/>
      <c r="U89" s="54"/>
      <c r="V89" s="39"/>
      <c r="W89" s="112"/>
      <c r="X89" s="39">
        <f t="shared" si="59"/>
        <v>1.78267231701</v>
      </c>
      <c r="Y89" s="39">
        <f t="shared" si="62"/>
        <v>0.17391925044</v>
      </c>
      <c r="Z89" s="54">
        <f t="shared" si="63"/>
        <v>0.17391925044</v>
      </c>
      <c r="AA89" s="127"/>
      <c r="AB89" s="53">
        <f t="shared" si="60"/>
        <v>2.015791004619</v>
      </c>
      <c r="AC89" s="54">
        <f t="shared" si="65"/>
        <v>0.196662537036</v>
      </c>
      <c r="AD89" s="112">
        <f t="shared" si="66"/>
        <v>0.196662537036</v>
      </c>
      <c r="AE89" s="127"/>
      <c r="AF89" s="50"/>
      <c r="AG89" s="221"/>
    </row>
    <row r="90" ht="24.95" customHeight="1" spans="1:33">
      <c r="A90" s="146"/>
      <c r="B90" s="20"/>
      <c r="C90" s="20"/>
      <c r="D90" s="162" t="s">
        <v>53</v>
      </c>
      <c r="E90" s="163">
        <v>220.18</v>
      </c>
      <c r="F90" s="38">
        <f t="shared" si="58"/>
        <v>1.35813893616</v>
      </c>
      <c r="G90" s="54"/>
      <c r="H90" s="54">
        <f t="shared" si="64"/>
        <v>0.16976736702</v>
      </c>
      <c r="I90" s="54"/>
      <c r="J90" s="54"/>
      <c r="K90" s="39">
        <f t="shared" si="61"/>
        <v>0.135813893616</v>
      </c>
      <c r="L90" s="54"/>
      <c r="M90" s="54"/>
      <c r="N90" s="54"/>
      <c r="O90" s="54"/>
      <c r="P90" s="54"/>
      <c r="Q90" s="54"/>
      <c r="R90" s="116"/>
      <c r="S90" s="38"/>
      <c r="T90" s="54"/>
      <c r="U90" s="54"/>
      <c r="V90" s="39"/>
      <c r="W90" s="112"/>
      <c r="X90" s="39">
        <f t="shared" si="59"/>
        <v>0.54183237498</v>
      </c>
      <c r="Y90" s="39">
        <f t="shared" si="62"/>
        <v>0.05286169512</v>
      </c>
      <c r="Z90" s="54">
        <f t="shared" si="63"/>
        <v>0.05286169512</v>
      </c>
      <c r="AA90" s="127"/>
      <c r="AB90" s="53">
        <f t="shared" si="60"/>
        <v>0.612687377862</v>
      </c>
      <c r="AC90" s="54">
        <f t="shared" si="65"/>
        <v>0.059774378328</v>
      </c>
      <c r="AD90" s="112">
        <f t="shared" si="66"/>
        <v>0.059774378328</v>
      </c>
      <c r="AE90" s="127"/>
      <c r="AF90" s="50"/>
      <c r="AG90" s="221"/>
    </row>
    <row r="91" ht="24.95" customHeight="1" spans="1:33">
      <c r="A91" s="146"/>
      <c r="B91" s="20"/>
      <c r="C91" s="20"/>
      <c r="D91" s="162" t="s">
        <v>98</v>
      </c>
      <c r="E91" s="163">
        <v>73.5</v>
      </c>
      <c r="F91" s="38">
        <f t="shared" si="58"/>
        <v>0.453370932</v>
      </c>
      <c r="G91" s="54"/>
      <c r="H91" s="54">
        <f t="shared" si="64"/>
        <v>0.0566713665</v>
      </c>
      <c r="I91" s="54"/>
      <c r="J91" s="54"/>
      <c r="K91" s="39">
        <f t="shared" si="61"/>
        <v>0.0453370932</v>
      </c>
      <c r="L91" s="54"/>
      <c r="M91" s="54"/>
      <c r="N91" s="54"/>
      <c r="O91" s="54"/>
      <c r="P91" s="54"/>
      <c r="Q91" s="54"/>
      <c r="R91" s="116"/>
      <c r="S91" s="38"/>
      <c r="T91" s="54"/>
      <c r="U91" s="54"/>
      <c r="V91" s="39"/>
      <c r="W91" s="112"/>
      <c r="X91" s="39">
        <f t="shared" si="59"/>
        <v>0.1808732835</v>
      </c>
      <c r="Y91" s="39">
        <f t="shared" si="62"/>
        <v>0.017646174</v>
      </c>
      <c r="Z91" s="54">
        <f t="shared" si="63"/>
        <v>0.017646174</v>
      </c>
      <c r="AA91" s="127"/>
      <c r="AB91" s="53">
        <f t="shared" si="60"/>
        <v>0.20452594365</v>
      </c>
      <c r="AC91" s="54">
        <f t="shared" si="65"/>
        <v>0.0199537506</v>
      </c>
      <c r="AD91" s="112">
        <f t="shared" si="66"/>
        <v>0.0199537506</v>
      </c>
      <c r="AE91" s="127"/>
      <c r="AF91" s="50"/>
      <c r="AG91" s="221"/>
    </row>
    <row r="92" ht="24.95" customHeight="1" spans="1:33">
      <c r="A92" s="146"/>
      <c r="B92" s="20"/>
      <c r="C92" s="20"/>
      <c r="D92" s="162" t="s">
        <v>54</v>
      </c>
      <c r="E92" s="163">
        <v>96.9</v>
      </c>
      <c r="F92" s="38">
        <f>E92/100*15*0.855*0.6*0.334*0.8*1.3*0.3</f>
        <v>0.77702226264</v>
      </c>
      <c r="G92" s="54"/>
      <c r="H92" s="54">
        <f t="shared" si="64"/>
        <v>0.0747136791</v>
      </c>
      <c r="I92" s="54"/>
      <c r="J92" s="54"/>
      <c r="K92" s="39">
        <f t="shared" si="61"/>
        <v>0.05977094328</v>
      </c>
      <c r="L92" s="54"/>
      <c r="M92" s="54"/>
      <c r="N92" s="54"/>
      <c r="O92" s="54"/>
      <c r="P92" s="54"/>
      <c r="Q92" s="54"/>
      <c r="R92" s="116"/>
      <c r="S92" s="38"/>
      <c r="T92" s="54"/>
      <c r="U92" s="54"/>
      <c r="V92" s="39"/>
      <c r="W92" s="112"/>
      <c r="X92" s="39">
        <f>E92/100*15*0.855*0.6*0.13*0.82*1.3*0.3</f>
        <v>0.30999466017</v>
      </c>
      <c r="Y92" s="39">
        <f t="shared" si="62"/>
        <v>0.0232641396</v>
      </c>
      <c r="Z92" s="54">
        <f t="shared" si="63"/>
        <v>0.0232641396</v>
      </c>
      <c r="AA92" s="127"/>
      <c r="AB92" s="53">
        <f t="shared" si="60"/>
        <v>0.26964032571</v>
      </c>
      <c r="AC92" s="54">
        <f t="shared" si="65"/>
        <v>0.02630637324</v>
      </c>
      <c r="AD92" s="112">
        <f t="shared" si="66"/>
        <v>0.02630637324</v>
      </c>
      <c r="AE92" s="127"/>
      <c r="AF92" s="50"/>
      <c r="AG92" s="221"/>
    </row>
    <row r="93" ht="24.95" customHeight="1" spans="1:33">
      <c r="A93" s="146"/>
      <c r="B93" s="20"/>
      <c r="C93" s="20"/>
      <c r="D93" s="162" t="s">
        <v>61</v>
      </c>
      <c r="E93" s="163">
        <v>32.2</v>
      </c>
      <c r="F93" s="38">
        <f>E93/100*15*0.855*0.6*0.334*0.8*0.3</f>
        <v>0.1986196464</v>
      </c>
      <c r="G93" s="54"/>
      <c r="H93" s="54">
        <f t="shared" si="64"/>
        <v>0.0248274558</v>
      </c>
      <c r="I93" s="54"/>
      <c r="J93" s="54"/>
      <c r="K93" s="39">
        <f t="shared" si="61"/>
        <v>0.01986196464</v>
      </c>
      <c r="L93" s="54"/>
      <c r="M93" s="54"/>
      <c r="N93" s="54"/>
      <c r="O93" s="54"/>
      <c r="P93" s="54"/>
      <c r="Q93" s="54"/>
      <c r="R93" s="116"/>
      <c r="S93" s="38"/>
      <c r="T93" s="54"/>
      <c r="U93" s="54"/>
      <c r="V93" s="39"/>
      <c r="W93" s="112"/>
      <c r="X93" s="39">
        <f>E93/100*15*0.855*0.6*0.13*0.82*0.3</f>
        <v>0.0792397242</v>
      </c>
      <c r="Y93" s="39">
        <f t="shared" si="62"/>
        <v>0.0077307048</v>
      </c>
      <c r="Z93" s="54">
        <f t="shared" si="63"/>
        <v>0.0077307048</v>
      </c>
      <c r="AA93" s="127"/>
      <c r="AB93" s="53">
        <f t="shared" si="60"/>
        <v>0.08960184198</v>
      </c>
      <c r="AC93" s="54">
        <f t="shared" si="65"/>
        <v>0.00874164312</v>
      </c>
      <c r="AD93" s="112">
        <f t="shared" si="66"/>
        <v>0.00874164312</v>
      </c>
      <c r="AE93" s="127"/>
      <c r="AF93" s="50"/>
      <c r="AG93" s="221"/>
    </row>
    <row r="94" ht="24.95" customHeight="1" spans="1:33">
      <c r="A94" s="77"/>
      <c r="B94" s="20"/>
      <c r="C94" s="46"/>
      <c r="D94" s="165" t="s">
        <v>57</v>
      </c>
      <c r="E94" s="166">
        <f>SUM(E86:E93)</f>
        <v>2280.51</v>
      </c>
      <c r="F94" s="49">
        <f>E94/100*15*(0.145*0.7*0.43)*0.8*0.3</f>
        <v>3.5831829222</v>
      </c>
      <c r="G94" s="114"/>
      <c r="H94" s="114">
        <f>E94/100*15*(0.145*0.7*0.43)*0.1*0.3</f>
        <v>0.447897865275</v>
      </c>
      <c r="I94" s="114"/>
      <c r="J94" s="114"/>
      <c r="K94" s="87">
        <f>E94/100*15*(0.145*0.7*0.43)*0.08*0.3</f>
        <v>0.35831829222</v>
      </c>
      <c r="L94" s="114"/>
      <c r="M94" s="114"/>
      <c r="N94" s="114"/>
      <c r="O94" s="114"/>
      <c r="P94" s="114"/>
      <c r="Q94" s="114"/>
      <c r="R94" s="122"/>
      <c r="S94" s="49"/>
      <c r="T94" s="114"/>
      <c r="U94" s="114"/>
      <c r="V94" s="123"/>
      <c r="W94" s="115"/>
      <c r="X94" s="50">
        <f>E94/100*15*(0.145*0.7*0.36)*0.82*0.3</f>
        <v>3.07487092626</v>
      </c>
      <c r="Y94" s="123">
        <f>E94/100*15*(0.145*0.7*0.36)*0.08*0.3</f>
        <v>0.29998740744</v>
      </c>
      <c r="Z94" s="88">
        <f>E94/100*15*(0.145*0.7*0.36)*0.08*0.3</f>
        <v>0.29998740744</v>
      </c>
      <c r="AA94" s="132"/>
      <c r="AB94" s="209">
        <f>E94/100*15*(0.145*0.7*0.17)*0.82*0.3</f>
        <v>1.452022381845</v>
      </c>
      <c r="AC94" s="114">
        <f>E94/100*15*(0.145*0.7*0.17)*0.08*0.3</f>
        <v>0.14166072018</v>
      </c>
      <c r="AD94" s="115">
        <f>E94/100*15*(0.145*0.7*0.17)*0.08*0.3</f>
        <v>0.14166072018</v>
      </c>
      <c r="AE94" s="132"/>
      <c r="AF94" s="50"/>
      <c r="AG94" s="145"/>
    </row>
    <row r="95" ht="24.95" customHeight="1" spans="1:33">
      <c r="A95" s="167">
        <v>12</v>
      </c>
      <c r="B95" s="20"/>
      <c r="C95" s="25" t="s">
        <v>38</v>
      </c>
      <c r="D95" s="32" t="s">
        <v>49</v>
      </c>
      <c r="E95" s="168">
        <v>376.81</v>
      </c>
      <c r="F95" s="34">
        <f>E95/100*15*0.855*0.6*0.334*0.8</f>
        <v>7.7476054824</v>
      </c>
      <c r="G95" s="50">
        <f t="shared" ref="G95:G98" si="67">E95/100*15*0.855*0.6*0.334*0.08</f>
        <v>0.77476054824</v>
      </c>
      <c r="H95" s="50">
        <f t="shared" ref="H95:H98" si="68">E95/100*15*0.855*0.6*0.334*0.1</f>
        <v>0.9684506853</v>
      </c>
      <c r="I95" s="101"/>
      <c r="J95" s="82"/>
      <c r="K95" s="82"/>
      <c r="L95" s="82"/>
      <c r="M95" s="82"/>
      <c r="N95" s="82"/>
      <c r="O95" s="82"/>
      <c r="P95" s="82"/>
      <c r="Q95" s="82"/>
      <c r="R95" s="111"/>
      <c r="S95" s="38">
        <f>E95/100*15*0.855*0.6*0.388*0.1</f>
        <v>1.1250265446</v>
      </c>
      <c r="T95" s="82">
        <f t="shared" ref="T95:T98" si="69">E95/100*15*0.855*0.6*0.388*0.8</f>
        <v>9.0002123568</v>
      </c>
      <c r="U95" s="82"/>
      <c r="V95" s="54">
        <f t="shared" ref="V95:V98" si="70">E95/100*15*0.855*0.6*0.388*0.08</f>
        <v>0.90002123568</v>
      </c>
      <c r="W95" s="111"/>
      <c r="X95" s="34"/>
      <c r="Y95" s="39">
        <f t="shared" ref="Y95:Y98" si="71">E95/100*15*0.855*0.6*0.13*0.08</f>
        <v>0.3015535068</v>
      </c>
      <c r="Z95" s="82">
        <f t="shared" ref="Z95:Z98" si="72">E95/100*15*0.855*0.6*0.13*0.08</f>
        <v>0.3015535068</v>
      </c>
      <c r="AA95" s="111">
        <f t="shared" ref="AA95:AA98" si="73">E95/100*15*0.855*0.6*0.13*0.82</f>
        <v>3.0909234447</v>
      </c>
      <c r="AB95" s="125">
        <f>E95/100*15*0.855*0.6*0.147*0.82</f>
        <v>3.49512112593</v>
      </c>
      <c r="AC95" s="54">
        <f t="shared" ref="AC95:AC98" si="74">E95/100*15*0.855*0.6*0.147*0.08</f>
        <v>0.34098742692</v>
      </c>
      <c r="AD95" s="112">
        <f t="shared" ref="AD95:AD98" si="75">E95/100*15*0.855*0.6*0.147*0.08</f>
        <v>0.34098742692</v>
      </c>
      <c r="AE95" s="126"/>
      <c r="AF95" s="50"/>
      <c r="AG95" s="141"/>
    </row>
    <row r="96" ht="24.95" customHeight="1" spans="1:33">
      <c r="A96" s="167"/>
      <c r="B96" s="20"/>
      <c r="C96" s="20"/>
      <c r="D96" s="32" t="s">
        <v>99</v>
      </c>
      <c r="E96" s="168">
        <v>279.84</v>
      </c>
      <c r="F96" s="38">
        <f>E96/100*15*0.855*0.6*0.334*0.8</f>
        <v>5.7538014336</v>
      </c>
      <c r="G96" s="39">
        <f t="shared" si="67"/>
        <v>0.57538014336</v>
      </c>
      <c r="H96" s="39">
        <f t="shared" si="68"/>
        <v>0.7192251792</v>
      </c>
      <c r="I96" s="54"/>
      <c r="J96" s="54"/>
      <c r="K96" s="54"/>
      <c r="L96" s="54"/>
      <c r="M96" s="54"/>
      <c r="N96" s="54"/>
      <c r="O96" s="54"/>
      <c r="P96" s="54"/>
      <c r="Q96" s="54"/>
      <c r="R96" s="112"/>
      <c r="S96" s="38">
        <f>E96/100*15*0.855*0.6*0.388*0.1</f>
        <v>0.8355070944</v>
      </c>
      <c r="T96" s="54">
        <f t="shared" si="69"/>
        <v>6.6840567552</v>
      </c>
      <c r="U96" s="54"/>
      <c r="V96" s="54">
        <f t="shared" si="70"/>
        <v>0.66840567552</v>
      </c>
      <c r="W96" s="112"/>
      <c r="X96" s="38"/>
      <c r="Y96" s="39">
        <f t="shared" si="71"/>
        <v>0.2239503552</v>
      </c>
      <c r="Z96" s="54">
        <f t="shared" si="72"/>
        <v>0.2239503552</v>
      </c>
      <c r="AA96" s="112">
        <f t="shared" si="73"/>
        <v>2.2954911408</v>
      </c>
      <c r="AB96" s="53">
        <f t="shared" ref="AB96" si="76">E96/100*15*0.855*0.6*0.147*0.82</f>
        <v>2.59567075152</v>
      </c>
      <c r="AC96" s="54">
        <f t="shared" si="74"/>
        <v>0.25323617088</v>
      </c>
      <c r="AD96" s="112">
        <f t="shared" si="75"/>
        <v>0.25323617088</v>
      </c>
      <c r="AE96" s="127"/>
      <c r="AF96" s="50"/>
      <c r="AG96" s="141"/>
    </row>
    <row r="97" ht="24.95" customHeight="1" spans="1:33">
      <c r="A97" s="167"/>
      <c r="B97" s="20"/>
      <c r="C97" s="46"/>
      <c r="D97" s="169" t="s">
        <v>57</v>
      </c>
      <c r="E97" s="170">
        <f>SUM(E95:E96)</f>
        <v>656.65</v>
      </c>
      <c r="F97" s="49">
        <f>E97/100*15*(0.145*0.7*0.43)*0.8</f>
        <v>3.43913871</v>
      </c>
      <c r="G97" s="123">
        <f>E97/100*15*(0.145*0.7*0.43)*0.08</f>
        <v>0.343913871</v>
      </c>
      <c r="H97" s="123">
        <f>E97/100*15*(0.145*0.7*0.43)*0.1</f>
        <v>0.42989233875</v>
      </c>
      <c r="I97" s="114"/>
      <c r="J97" s="114"/>
      <c r="K97" s="114"/>
      <c r="L97" s="114"/>
      <c r="M97" s="114"/>
      <c r="N97" s="114"/>
      <c r="O97" s="114"/>
      <c r="P97" s="114"/>
      <c r="Q97" s="114"/>
      <c r="R97" s="115"/>
      <c r="S97" s="49"/>
      <c r="T97" s="114"/>
      <c r="U97" s="114"/>
      <c r="V97" s="114"/>
      <c r="W97" s="115"/>
      <c r="X97" s="49"/>
      <c r="Y97" s="123">
        <f>E97/100*15*(0.145*0.7*0.36)*0.08</f>
        <v>0.287927892</v>
      </c>
      <c r="Z97" s="114">
        <f>E97/100*15*(0.145*0.7*0.36)*0.08</f>
        <v>0.287927892</v>
      </c>
      <c r="AA97" s="115">
        <f>E97/100*15*(0.145*0.7*0.36)*0.82</f>
        <v>2.951260893</v>
      </c>
      <c r="AB97" s="129">
        <f>E97/100*15*(0.145*0.7*0.17)*0.82</f>
        <v>1.39365097725</v>
      </c>
      <c r="AC97" s="114">
        <f>E97/100*15*(0.145*0.7*0.17)*0.08</f>
        <v>0.135965949</v>
      </c>
      <c r="AD97" s="115">
        <f>E97/100*15*(0.145*0.7*0.17)*0.08</f>
        <v>0.135965949</v>
      </c>
      <c r="AE97" s="130"/>
      <c r="AF97" s="50"/>
      <c r="AG97" s="141"/>
    </row>
    <row r="98" ht="24.95" customHeight="1" spans="1:33">
      <c r="A98" s="167">
        <v>13</v>
      </c>
      <c r="B98" s="20"/>
      <c r="C98" s="25" t="s">
        <v>39</v>
      </c>
      <c r="D98" s="169" t="s">
        <v>100</v>
      </c>
      <c r="E98" s="168">
        <v>1135.5</v>
      </c>
      <c r="F98" s="34">
        <f>E98/100*15*0.855*0.6*0.334*0.8</f>
        <v>23.34706092</v>
      </c>
      <c r="G98" s="35">
        <f t="shared" si="67"/>
        <v>2.334706092</v>
      </c>
      <c r="H98" s="35">
        <f t="shared" si="68"/>
        <v>2.918382615</v>
      </c>
      <c r="I98" s="101"/>
      <c r="J98" s="101"/>
      <c r="K98" s="101"/>
      <c r="L98" s="101"/>
      <c r="M98" s="101"/>
      <c r="N98" s="101"/>
      <c r="O98" s="101"/>
      <c r="P98" s="101"/>
      <c r="Q98" s="101"/>
      <c r="R98" s="116"/>
      <c r="S98" s="34">
        <f>E98/100*15*0.855*0.6*0.388*0.82</f>
        <v>27.799778826</v>
      </c>
      <c r="T98" s="54">
        <f>E98/100*15*0.855*0.6*0.388*0.08</f>
        <v>2.712173544</v>
      </c>
      <c r="U98" s="101"/>
      <c r="V98" s="54">
        <f t="shared" si="70"/>
        <v>2.712173544</v>
      </c>
      <c r="W98" s="116"/>
      <c r="X98" s="35"/>
      <c r="Y98" s="39">
        <f t="shared" si="71"/>
        <v>0.90871794</v>
      </c>
      <c r="Z98" s="82">
        <f t="shared" si="72"/>
        <v>0.90871794</v>
      </c>
      <c r="AA98" s="111">
        <f t="shared" si="73"/>
        <v>9.314358885</v>
      </c>
      <c r="AB98" s="125">
        <f>E98/100*15*0.855*0.6*0.147*0.82</f>
        <v>10.5323904315</v>
      </c>
      <c r="AC98" s="54">
        <f t="shared" si="74"/>
        <v>1.027550286</v>
      </c>
      <c r="AD98" s="112">
        <f t="shared" si="75"/>
        <v>1.027550286</v>
      </c>
      <c r="AE98" s="133"/>
      <c r="AF98" s="50"/>
      <c r="AG98" s="141"/>
    </row>
    <row r="99" ht="24.95" customHeight="1" spans="1:33">
      <c r="A99" s="167"/>
      <c r="B99" s="20"/>
      <c r="C99" s="46"/>
      <c r="D99" s="169" t="s">
        <v>57</v>
      </c>
      <c r="E99" s="171">
        <f>SUM(E98)</f>
        <v>1135.5</v>
      </c>
      <c r="F99" s="49">
        <f>E99/100*15*(0.145*0.7*0.43)*0.8</f>
        <v>5.9470677</v>
      </c>
      <c r="G99" s="123">
        <f>E99/100*15*(0.145*0.7*0.43)*0.08</f>
        <v>0.59470677</v>
      </c>
      <c r="H99" s="123">
        <f>E99/100*15*(0.145*0.7*0.43)*0.1</f>
        <v>0.7433834625</v>
      </c>
      <c r="I99" s="114"/>
      <c r="J99" s="114"/>
      <c r="K99" s="114"/>
      <c r="L99" s="114"/>
      <c r="M99" s="114"/>
      <c r="N99" s="114"/>
      <c r="O99" s="114"/>
      <c r="P99" s="114"/>
      <c r="Q99" s="114"/>
      <c r="R99" s="115"/>
      <c r="S99" s="49"/>
      <c r="T99" s="114"/>
      <c r="U99" s="114"/>
      <c r="V99" s="114"/>
      <c r="W99" s="115"/>
      <c r="X99" s="73"/>
      <c r="Y99" s="123">
        <f>E99/100*15*(0.145*0.7*0.36)*0.08</f>
        <v>0.49789404</v>
      </c>
      <c r="Z99" s="114">
        <f>E99/100*15*(0.145*0.7*0.36)*0.08</f>
        <v>0.49789404</v>
      </c>
      <c r="AA99" s="115">
        <f>E99/100*15*(0.145*0.7*0.36)*0.82</f>
        <v>5.10341391</v>
      </c>
      <c r="AB99" s="211">
        <f>E99/100*15*(0.145*0.7*0.17)*0.82</f>
        <v>2.4099454575</v>
      </c>
      <c r="AC99" s="114">
        <f>E99/100*15*(0.145*0.7*0.17)*0.08</f>
        <v>0.23511663</v>
      </c>
      <c r="AD99" s="115">
        <f>E99/100*15*(0.145*0.7*0.17)*0.08</f>
        <v>0.23511663</v>
      </c>
      <c r="AE99" s="212"/>
      <c r="AF99" s="50"/>
      <c r="AG99" s="141"/>
    </row>
    <row r="100" customFormat="1" ht="24.95" customHeight="1" spans="1:33">
      <c r="A100" s="74">
        <v>14</v>
      </c>
      <c r="B100" s="20"/>
      <c r="C100" s="172" t="s">
        <v>101</v>
      </c>
      <c r="D100" s="173" t="s">
        <v>102</v>
      </c>
      <c r="E100" s="62">
        <v>1364.35</v>
      </c>
      <c r="F100" s="34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111"/>
      <c r="S100" s="34"/>
      <c r="T100" s="35"/>
      <c r="U100" s="35"/>
      <c r="V100" s="35"/>
      <c r="W100" s="126"/>
      <c r="X100" s="35"/>
      <c r="Y100" s="35"/>
      <c r="Z100" s="35"/>
      <c r="AA100" s="126"/>
      <c r="AB100" s="213" t="s">
        <v>103</v>
      </c>
      <c r="AC100" s="82"/>
      <c r="AD100" s="111"/>
      <c r="AE100" s="133"/>
      <c r="AF100" s="50"/>
      <c r="AG100" s="222" t="s">
        <v>104</v>
      </c>
    </row>
    <row r="101" customFormat="1" ht="24.95" customHeight="1" spans="1:33">
      <c r="A101" s="77"/>
      <c r="B101" s="20"/>
      <c r="C101" s="174"/>
      <c r="D101" s="173" t="s">
        <v>105</v>
      </c>
      <c r="E101" s="62">
        <v>1258.26</v>
      </c>
      <c r="F101" s="72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121"/>
      <c r="S101" s="72"/>
      <c r="T101" s="87"/>
      <c r="U101" s="87"/>
      <c r="V101" s="87"/>
      <c r="W101" s="132"/>
      <c r="X101" s="87"/>
      <c r="Y101" s="87"/>
      <c r="Z101" s="87"/>
      <c r="AA101" s="132"/>
      <c r="AB101" s="200" t="s">
        <v>103</v>
      </c>
      <c r="AC101" s="88"/>
      <c r="AD101" s="121"/>
      <c r="AE101" s="214"/>
      <c r="AF101" s="50"/>
      <c r="AG101" s="174"/>
    </row>
    <row r="102" customFormat="1" ht="27" customHeight="1" spans="1:33">
      <c r="A102" s="175">
        <v>15</v>
      </c>
      <c r="B102" s="46"/>
      <c r="C102" s="176" t="s">
        <v>43</v>
      </c>
      <c r="D102" s="169" t="s">
        <v>106</v>
      </c>
      <c r="E102" s="177">
        <v>1053.04</v>
      </c>
      <c r="F102" s="178">
        <f>E102/100*15*0.855*0.6*0.334*0.08</f>
        <v>2.16515975616</v>
      </c>
      <c r="G102" s="179"/>
      <c r="H102" s="179">
        <f>E102/100*15*0.855*0.6*0.334*0.02</f>
        <v>0.54128993904</v>
      </c>
      <c r="I102" s="179">
        <f>E102/100*15*0.855*0.6*0.334*0.08</f>
        <v>2.16515975616</v>
      </c>
      <c r="J102" s="201"/>
      <c r="K102" s="201">
        <f>E102/100*15*0.855*0.6*0.334*0.8*0.2</f>
        <v>4.33031951232</v>
      </c>
      <c r="L102" s="201"/>
      <c r="M102" s="201"/>
      <c r="N102" s="202"/>
      <c r="O102" s="202"/>
      <c r="P102" s="202"/>
      <c r="Q102" s="202"/>
      <c r="R102" s="207"/>
      <c r="S102" s="178">
        <f>E102/100*15*0.855*0.6*0.388*0.1</f>
        <v>3.1440194064</v>
      </c>
      <c r="T102" s="201">
        <f>E102/100*15*0.855*0.6*0.388*0.8*0.2</f>
        <v>5.03043105024</v>
      </c>
      <c r="U102" s="201"/>
      <c r="V102" s="201">
        <f>E102/100*15*0.855*0.6*0.388*0.08</f>
        <v>2.51521552512</v>
      </c>
      <c r="W102" s="207"/>
      <c r="X102" s="178">
        <f>E102/100*15*0.855*0.6*0.13*0.82*0.2</f>
        <v>1.72759004496</v>
      </c>
      <c r="Y102" s="179">
        <f>E102/100*15*0.855*0.6*0.13*0.08</f>
        <v>0.8427268512</v>
      </c>
      <c r="Z102" s="201"/>
      <c r="AA102" s="179">
        <f>E102/100*15*0.855*0.6*0.13*0.08</f>
        <v>0.8427268512</v>
      </c>
      <c r="AB102" s="215">
        <f>E102/100*15*0.855*0.6*0.147*0.82*0.2</f>
        <v>1.953505666224</v>
      </c>
      <c r="AC102" s="201">
        <f>E102/100*15*0.855*0.6*0.147*0.08</f>
        <v>0.95292959328</v>
      </c>
      <c r="AD102" s="207">
        <f>E102/100*15*0.855*0.6*0.147*0.08</f>
        <v>0.95292959328</v>
      </c>
      <c r="AE102" s="216"/>
      <c r="AF102" s="50"/>
      <c r="AG102" s="223" t="s">
        <v>107</v>
      </c>
    </row>
    <row r="103" s="3" customFormat="1" ht="24.95" customHeight="1" spans="1:33">
      <c r="A103" s="180" t="s">
        <v>108</v>
      </c>
      <c r="B103" s="181"/>
      <c r="C103" s="182"/>
      <c r="D103" s="183"/>
      <c r="E103" s="184"/>
      <c r="F103" s="185">
        <f>SUM(F5:F102)</f>
        <v>647.162642866126</v>
      </c>
      <c r="G103" s="185">
        <f t="shared" ref="G103:N103" si="77">SUM(G5:G102)</f>
        <v>429.745298295924</v>
      </c>
      <c r="H103" s="185">
        <f t="shared" si="77"/>
        <v>139.695873181177</v>
      </c>
      <c r="I103" s="185">
        <f t="shared" si="77"/>
        <v>290.244366423888</v>
      </c>
      <c r="J103" s="185">
        <f t="shared" si="77"/>
        <v>35.538768127488</v>
      </c>
      <c r="K103" s="185">
        <f t="shared" si="77"/>
        <v>142.977465434009</v>
      </c>
      <c r="L103" s="185">
        <f t="shared" si="77"/>
        <v>21.5504438112</v>
      </c>
      <c r="M103" s="185">
        <f t="shared" si="77"/>
        <v>2.17044144</v>
      </c>
      <c r="N103" s="185">
        <f t="shared" si="77"/>
        <v>12.9662180865</v>
      </c>
      <c r="O103" s="203" t="s">
        <v>109</v>
      </c>
      <c r="P103" s="203"/>
      <c r="Q103" s="208"/>
      <c r="R103" s="185"/>
      <c r="S103" s="185">
        <f t="shared" ref="S103:AE103" si="78">SUM(S5:S102)</f>
        <v>775.098932924232</v>
      </c>
      <c r="T103" s="185">
        <f t="shared" si="78"/>
        <v>543.151548863683</v>
      </c>
      <c r="U103" s="185">
        <f t="shared" si="78"/>
        <v>26.6915187925488</v>
      </c>
      <c r="V103" s="185">
        <f t="shared" si="78"/>
        <v>116.767871361763</v>
      </c>
      <c r="W103" s="185"/>
      <c r="X103" s="185">
        <f t="shared" si="78"/>
        <v>245.426173316784</v>
      </c>
      <c r="Y103" s="185">
        <f t="shared" si="78"/>
        <v>102.303716616612</v>
      </c>
      <c r="Z103" s="185">
        <f t="shared" si="78"/>
        <v>140.593400782785</v>
      </c>
      <c r="AA103" s="185">
        <f t="shared" si="78"/>
        <v>263.855421503172</v>
      </c>
      <c r="AB103" s="185">
        <f t="shared" si="78"/>
        <v>378.390706254126</v>
      </c>
      <c r="AC103" s="185">
        <f t="shared" si="78"/>
        <v>54.1936902301116</v>
      </c>
      <c r="AD103" s="185">
        <f t="shared" si="78"/>
        <v>54.1936902301116</v>
      </c>
      <c r="AE103" s="185">
        <f t="shared" si="78"/>
        <v>167.404945555058</v>
      </c>
      <c r="AF103" s="185">
        <f>SUM(F103:AE103)</f>
        <v>4590.1231340973</v>
      </c>
      <c r="AG103" s="182"/>
    </row>
    <row r="104" ht="30" customHeight="1" spans="1:33">
      <c r="A104" s="186">
        <v>15</v>
      </c>
      <c r="B104" s="187"/>
      <c r="C104" s="21"/>
      <c r="D104" s="188" t="s">
        <v>110</v>
      </c>
      <c r="E104" s="189"/>
      <c r="F104" s="50">
        <f>D110*0.075</f>
        <v>129.153863824973</v>
      </c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85"/>
      <c r="S104" s="101"/>
      <c r="T104" s="101"/>
      <c r="U104" s="101"/>
      <c r="V104" s="101"/>
      <c r="W104" s="191"/>
      <c r="X104" s="101"/>
      <c r="Y104" s="101"/>
      <c r="Z104" s="191"/>
      <c r="AA104" s="191"/>
      <c r="AB104" s="191"/>
      <c r="AC104" s="189"/>
      <c r="AD104" s="189"/>
      <c r="AE104" s="190"/>
      <c r="AF104" s="101"/>
      <c r="AG104" s="141"/>
    </row>
    <row r="105" ht="30" customHeight="1" spans="1:33">
      <c r="A105" s="186">
        <v>16</v>
      </c>
      <c r="B105" s="187"/>
      <c r="C105" s="21"/>
      <c r="D105" s="188" t="s">
        <v>111</v>
      </c>
      <c r="E105" s="189"/>
      <c r="F105" s="190"/>
      <c r="G105" s="191"/>
      <c r="H105" s="191"/>
      <c r="I105" s="191"/>
      <c r="J105" s="191"/>
      <c r="K105" s="191"/>
      <c r="L105" s="191"/>
      <c r="M105" s="191"/>
      <c r="N105" s="191"/>
      <c r="O105" s="191"/>
      <c r="P105" s="191"/>
      <c r="Q105" s="191"/>
      <c r="R105" s="191"/>
      <c r="S105" s="101">
        <f>D111*0.075</f>
        <v>109.628240395667</v>
      </c>
      <c r="T105" s="101"/>
      <c r="U105" s="101"/>
      <c r="V105" s="101"/>
      <c r="W105" s="191"/>
      <c r="X105" s="189"/>
      <c r="Y105" s="189"/>
      <c r="Z105" s="189"/>
      <c r="AA105" s="189"/>
      <c r="AB105" s="189"/>
      <c r="AC105" s="189"/>
      <c r="AD105" s="189"/>
      <c r="AE105" s="217"/>
      <c r="AF105" s="101"/>
      <c r="AG105" s="141"/>
    </row>
    <row r="106" ht="30" customHeight="1" spans="1:33">
      <c r="A106" s="186">
        <v>17</v>
      </c>
      <c r="B106" s="187"/>
      <c r="C106" s="21"/>
      <c r="D106" s="188" t="s">
        <v>112</v>
      </c>
      <c r="E106" s="189"/>
      <c r="F106" s="190"/>
      <c r="G106" s="191"/>
      <c r="H106" s="191"/>
      <c r="I106" s="191"/>
      <c r="J106" s="191"/>
      <c r="K106" s="191"/>
      <c r="L106" s="191"/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01">
        <f>D112*0.075</f>
        <v>56.4134034164515</v>
      </c>
      <c r="Y106" s="101"/>
      <c r="Z106" s="101"/>
      <c r="AA106" s="101"/>
      <c r="AB106" s="189"/>
      <c r="AC106" s="189"/>
      <c r="AD106" s="189"/>
      <c r="AE106" s="217"/>
      <c r="AF106" s="101"/>
      <c r="AG106" s="141"/>
    </row>
    <row r="107" ht="30" customHeight="1" spans="1:33">
      <c r="A107" s="186">
        <v>18</v>
      </c>
      <c r="B107" s="187"/>
      <c r="C107" s="21"/>
      <c r="D107" s="188" t="s">
        <v>113</v>
      </c>
      <c r="E107" s="189"/>
      <c r="F107" s="190"/>
      <c r="G107" s="191"/>
      <c r="H107" s="191"/>
      <c r="I107" s="191"/>
      <c r="J107" s="191"/>
      <c r="K107" s="191"/>
      <c r="L107" s="191"/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01"/>
      <c r="Y107" s="101"/>
      <c r="Z107" s="189"/>
      <c r="AA107" s="189"/>
      <c r="AB107" s="101">
        <f>D113*0.075</f>
        <v>49.0637274202056</v>
      </c>
      <c r="AC107" s="54"/>
      <c r="AD107" s="54"/>
      <c r="AE107" s="50"/>
      <c r="AF107" s="101"/>
      <c r="AG107" s="141"/>
    </row>
    <row r="108" ht="30" customHeight="1" spans="1:33">
      <c r="A108" s="186">
        <v>19</v>
      </c>
      <c r="B108" s="46"/>
      <c r="C108" s="21"/>
      <c r="D108" s="188" t="s">
        <v>114</v>
      </c>
      <c r="E108" s="189"/>
      <c r="F108" s="192">
        <f>D114*0.06*0.6</f>
        <v>165.244432827503</v>
      </c>
      <c r="G108" s="192"/>
      <c r="H108" s="192"/>
      <c r="I108" s="192"/>
      <c r="J108" s="192"/>
      <c r="K108" s="192"/>
      <c r="L108" s="192"/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>
        <f>D114*0.06*0.4</f>
        <v>110.162955218335</v>
      </c>
      <c r="AB108" s="218"/>
      <c r="AC108" s="218"/>
      <c r="AD108" s="218"/>
      <c r="AE108" s="219"/>
      <c r="AF108" s="101"/>
      <c r="AG108" s="141"/>
    </row>
    <row r="109" ht="30" customHeight="1" spans="1:33">
      <c r="A109" s="193" t="s">
        <v>115</v>
      </c>
      <c r="B109" s="194"/>
      <c r="C109" s="195"/>
      <c r="D109" s="146"/>
      <c r="E109" s="196"/>
      <c r="F109" s="197">
        <f t="shared" ref="F109:N109" si="79">SUM(F103:F108)</f>
        <v>941.560939518602</v>
      </c>
      <c r="G109" s="197">
        <f t="shared" si="79"/>
        <v>429.745298295924</v>
      </c>
      <c r="H109" s="197">
        <f t="shared" si="79"/>
        <v>139.695873181177</v>
      </c>
      <c r="I109" s="197">
        <f t="shared" si="79"/>
        <v>290.244366423888</v>
      </c>
      <c r="J109" s="197">
        <f t="shared" si="79"/>
        <v>35.538768127488</v>
      </c>
      <c r="K109" s="197">
        <f t="shared" si="79"/>
        <v>142.977465434009</v>
      </c>
      <c r="L109" s="197">
        <f t="shared" si="79"/>
        <v>21.5504438112</v>
      </c>
      <c r="M109" s="197">
        <f t="shared" si="79"/>
        <v>2.17044144</v>
      </c>
      <c r="N109" s="197">
        <f t="shared" si="79"/>
        <v>12.9662180865</v>
      </c>
      <c r="O109" s="204"/>
      <c r="P109" s="204"/>
      <c r="Q109" s="204"/>
      <c r="R109" s="197"/>
      <c r="S109" s="197">
        <f t="shared" ref="R109:AE109" si="80">SUM(S103:S108)</f>
        <v>884.727173319899</v>
      </c>
      <c r="T109" s="197">
        <f t="shared" si="80"/>
        <v>543.151548863683</v>
      </c>
      <c r="U109" s="197">
        <f t="shared" si="80"/>
        <v>26.6915187925488</v>
      </c>
      <c r="V109" s="197">
        <f t="shared" si="80"/>
        <v>116.767871361763</v>
      </c>
      <c r="W109" s="197"/>
      <c r="X109" s="197">
        <f t="shared" si="80"/>
        <v>301.839576733236</v>
      </c>
      <c r="Y109" s="197">
        <f t="shared" si="80"/>
        <v>102.303716616612</v>
      </c>
      <c r="Z109" s="197">
        <f t="shared" si="80"/>
        <v>140.593400782785</v>
      </c>
      <c r="AA109" s="197">
        <f t="shared" si="80"/>
        <v>374.018376721507</v>
      </c>
      <c r="AB109" s="197">
        <f t="shared" si="80"/>
        <v>427.454433674332</v>
      </c>
      <c r="AC109" s="197">
        <f t="shared" si="80"/>
        <v>54.1936902301116</v>
      </c>
      <c r="AD109" s="197">
        <f t="shared" si="80"/>
        <v>54.1936902301116</v>
      </c>
      <c r="AE109" s="197">
        <f t="shared" si="80"/>
        <v>167.404945555058</v>
      </c>
      <c r="AF109" s="197"/>
      <c r="AG109" s="182" t="s">
        <v>116</v>
      </c>
    </row>
    <row r="110" ht="30" customHeight="1" spans="1:33">
      <c r="A110" s="196" t="s">
        <v>117</v>
      </c>
      <c r="B110" s="196"/>
      <c r="C110" s="196"/>
      <c r="D110" s="99">
        <f>SUM(F103:R103)</f>
        <v>1722.05151766631</v>
      </c>
      <c r="E110" s="54"/>
      <c r="F110" s="198" t="s">
        <v>118</v>
      </c>
      <c r="G110" s="198"/>
      <c r="H110" s="198"/>
      <c r="I110" s="198"/>
      <c r="J110" s="198"/>
      <c r="K110" s="198"/>
      <c r="L110" s="198"/>
      <c r="M110" s="198"/>
      <c r="N110" s="198"/>
      <c r="O110" s="198"/>
      <c r="P110" s="198"/>
      <c r="Q110" s="198"/>
      <c r="R110" s="198"/>
      <c r="S110" s="198"/>
      <c r="T110" s="198"/>
      <c r="U110" s="198"/>
      <c r="V110" s="198"/>
      <c r="W110" s="198"/>
      <c r="X110" s="198"/>
      <c r="Y110" s="198"/>
      <c r="Z110" s="198"/>
      <c r="AA110" s="198"/>
      <c r="AB110" s="198"/>
      <c r="AC110" s="198"/>
      <c r="AD110" s="198"/>
      <c r="AE110" s="198"/>
      <c r="AF110" s="198"/>
      <c r="AG110" s="224"/>
    </row>
    <row r="111" ht="30" customHeight="1" spans="1:33">
      <c r="A111" s="196" t="s">
        <v>119</v>
      </c>
      <c r="B111" s="196"/>
      <c r="C111" s="196"/>
      <c r="D111" s="99">
        <f>SUM(S103:W103)</f>
        <v>1461.70987194223</v>
      </c>
      <c r="E111" s="54"/>
      <c r="F111" s="198" t="s">
        <v>118</v>
      </c>
      <c r="G111" s="198"/>
      <c r="H111" s="198"/>
      <c r="I111" s="198"/>
      <c r="J111" s="198"/>
      <c r="K111" s="198"/>
      <c r="L111" s="198"/>
      <c r="M111" s="198"/>
      <c r="N111" s="198"/>
      <c r="O111" s="198"/>
      <c r="P111" s="198"/>
      <c r="Q111" s="198"/>
      <c r="R111" s="198"/>
      <c r="S111" s="198"/>
      <c r="T111" s="198"/>
      <c r="U111" s="198"/>
      <c r="V111" s="198"/>
      <c r="W111" s="198"/>
      <c r="X111" s="198"/>
      <c r="Y111" s="198"/>
      <c r="Z111" s="198"/>
      <c r="AA111" s="198"/>
      <c r="AB111" s="198"/>
      <c r="AC111" s="198"/>
      <c r="AD111" s="198"/>
      <c r="AE111" s="198"/>
      <c r="AF111" s="198"/>
      <c r="AG111" s="224"/>
    </row>
    <row r="112" ht="30" customHeight="1" spans="1:33">
      <c r="A112" s="196" t="s">
        <v>120</v>
      </c>
      <c r="B112" s="196"/>
      <c r="C112" s="196"/>
      <c r="D112" s="99">
        <f>SUM(X103:AA103)</f>
        <v>752.178712219353</v>
      </c>
      <c r="E112" s="54"/>
      <c r="F112" s="198" t="s">
        <v>118</v>
      </c>
      <c r="G112" s="198"/>
      <c r="H112" s="198"/>
      <c r="I112" s="198"/>
      <c r="J112" s="198"/>
      <c r="K112" s="198"/>
      <c r="L112" s="198"/>
      <c r="M112" s="198"/>
      <c r="N112" s="198"/>
      <c r="O112" s="198"/>
      <c r="P112" s="198"/>
      <c r="Q112" s="198"/>
      <c r="R112" s="198"/>
      <c r="S112" s="198"/>
      <c r="T112" s="198"/>
      <c r="U112" s="198"/>
      <c r="V112" s="198"/>
      <c r="W112" s="198"/>
      <c r="X112" s="198"/>
      <c r="Y112" s="198"/>
      <c r="Z112" s="198"/>
      <c r="AA112" s="198"/>
      <c r="AB112" s="198"/>
      <c r="AC112" s="198"/>
      <c r="AD112" s="198"/>
      <c r="AE112" s="198"/>
      <c r="AF112" s="198"/>
      <c r="AG112" s="224"/>
    </row>
    <row r="113" ht="30" customHeight="1" spans="1:33">
      <c r="A113" s="196" t="s">
        <v>121</v>
      </c>
      <c r="B113" s="196"/>
      <c r="C113" s="196"/>
      <c r="D113" s="99">
        <f>SUM(AB103:AE103)</f>
        <v>654.183032269408</v>
      </c>
      <c r="E113" s="54"/>
      <c r="F113" s="198" t="s">
        <v>118</v>
      </c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98"/>
      <c r="AA113" s="198"/>
      <c r="AB113" s="198"/>
      <c r="AC113" s="198"/>
      <c r="AD113" s="198"/>
      <c r="AE113" s="198"/>
      <c r="AF113" s="198"/>
      <c r="AG113" s="224"/>
    </row>
    <row r="114" ht="30" customHeight="1" spans="1:33">
      <c r="A114" s="196" t="s">
        <v>122</v>
      </c>
      <c r="B114" s="196"/>
      <c r="C114" s="196"/>
      <c r="D114" s="99">
        <f>SUM(D110:D113)</f>
        <v>4590.1231340973</v>
      </c>
      <c r="E114" s="54"/>
      <c r="F114" s="198" t="s">
        <v>123</v>
      </c>
      <c r="G114" s="198"/>
      <c r="H114" s="198"/>
      <c r="I114" s="198"/>
      <c r="J114" s="198"/>
      <c r="K114" s="198"/>
      <c r="L114" s="198"/>
      <c r="M114" s="198"/>
      <c r="N114" s="198"/>
      <c r="O114" s="198"/>
      <c r="P114" s="198"/>
      <c r="Q114" s="198"/>
      <c r="R114" s="198"/>
      <c r="S114" s="198"/>
      <c r="T114" s="198"/>
      <c r="U114" s="198"/>
      <c r="V114" s="198"/>
      <c r="W114" s="198"/>
      <c r="X114" s="198"/>
      <c r="Y114" s="198"/>
      <c r="Z114" s="198"/>
      <c r="AA114" s="198"/>
      <c r="AB114" s="198"/>
      <c r="AC114" s="198"/>
      <c r="AD114" s="198"/>
      <c r="AE114" s="198"/>
      <c r="AF114" s="198"/>
      <c r="AG114" s="224"/>
    </row>
  </sheetData>
  <mergeCells count="58">
    <mergeCell ref="A1:AG1"/>
    <mergeCell ref="F2:AE2"/>
    <mergeCell ref="F3:R3"/>
    <mergeCell ref="S3:W3"/>
    <mergeCell ref="X3:AA3"/>
    <mergeCell ref="AB3:AE3"/>
    <mergeCell ref="A103:B103"/>
    <mergeCell ref="O103:Q103"/>
    <mergeCell ref="A109:B109"/>
    <mergeCell ref="A110:B110"/>
    <mergeCell ref="F110:AG110"/>
    <mergeCell ref="A111:B111"/>
    <mergeCell ref="F111:AG111"/>
    <mergeCell ref="A112:B112"/>
    <mergeCell ref="F112:AG112"/>
    <mergeCell ref="A113:B113"/>
    <mergeCell ref="F113:AG113"/>
    <mergeCell ref="A114:B114"/>
    <mergeCell ref="F114:AG114"/>
    <mergeCell ref="A2:A4"/>
    <mergeCell ref="A5:A12"/>
    <mergeCell ref="A13:A19"/>
    <mergeCell ref="A20:A30"/>
    <mergeCell ref="A31:A37"/>
    <mergeCell ref="A38:A41"/>
    <mergeCell ref="A42:A52"/>
    <mergeCell ref="A53:A54"/>
    <mergeCell ref="A55:A61"/>
    <mergeCell ref="A62:A63"/>
    <mergeCell ref="A64:A74"/>
    <mergeCell ref="A75:A85"/>
    <mergeCell ref="A86:A94"/>
    <mergeCell ref="A95:A97"/>
    <mergeCell ref="A98:A99"/>
    <mergeCell ref="A100:A101"/>
    <mergeCell ref="B2:B4"/>
    <mergeCell ref="B5:B12"/>
    <mergeCell ref="B13:B102"/>
    <mergeCell ref="C2:C4"/>
    <mergeCell ref="C13:C19"/>
    <mergeCell ref="C20:C30"/>
    <mergeCell ref="C31:C37"/>
    <mergeCell ref="C38:C41"/>
    <mergeCell ref="C42:C52"/>
    <mergeCell ref="C53:C54"/>
    <mergeCell ref="C55:C61"/>
    <mergeCell ref="C62:C63"/>
    <mergeCell ref="C64:C74"/>
    <mergeCell ref="C75:C85"/>
    <mergeCell ref="C86:C94"/>
    <mergeCell ref="C95:C97"/>
    <mergeCell ref="C98:C99"/>
    <mergeCell ref="C100:C101"/>
    <mergeCell ref="D2:D4"/>
    <mergeCell ref="E2:E4"/>
    <mergeCell ref="AG62:AG63"/>
    <mergeCell ref="AG86:AG94"/>
    <mergeCell ref="AG100:AG101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樟吉改扩建项目房建施工图（施工图）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倒三角</cp:lastModifiedBy>
  <cp:revision>1</cp:revision>
  <dcterms:created xsi:type="dcterms:W3CDTF">2014-04-18T07:33:00Z</dcterms:created>
  <cp:lastPrinted>2020-06-12T06:50:00Z</cp:lastPrinted>
  <dcterms:modified xsi:type="dcterms:W3CDTF">2024-11-07T09:13:45Z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6DCA19DD46104CB6AA0CA33142185702</vt:lpwstr>
  </property>
</Properties>
</file>