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5"/>
  </bookViews>
  <sheets>
    <sheet name="新瑞" sheetId="16" r:id="rId1"/>
    <sheet name="洛市设备库" sheetId="17" r:id="rId2"/>
    <sheet name="都昌基地" sheetId="19" r:id="rId3"/>
    <sheet name="万年基地 " sheetId="20" r:id="rId4"/>
    <sheet name="萍乡绕城方案" sheetId="21" r:id="rId5"/>
    <sheet name="遂川服务区" sheetId="18" r:id="rId6"/>
  </sheets>
  <calcPr calcId="144525"/>
</workbook>
</file>

<file path=xl/sharedStrings.xml><?xml version="1.0" encoding="utf-8"?>
<sst xmlns="http://schemas.openxmlformats.org/spreadsheetml/2006/main" count="229" uniqueCount="88">
  <si>
    <t>新瑞高速房建工程初设工日计算表</t>
  </si>
  <si>
    <t>序号</t>
  </si>
  <si>
    <t>设计阶段</t>
  </si>
  <si>
    <t>子项名称</t>
  </si>
  <si>
    <t>单体名称</t>
  </si>
  <si>
    <t>建筑面积</t>
  </si>
  <si>
    <t>备注</t>
  </si>
  <si>
    <t>建筑专业</t>
  </si>
  <si>
    <t>给排水专业</t>
  </si>
  <si>
    <t>电气专业</t>
  </si>
  <si>
    <t>肖超群</t>
  </si>
  <si>
    <t>杨捷</t>
  </si>
  <si>
    <t>周予进</t>
  </si>
  <si>
    <t>刘扬</t>
  </si>
  <si>
    <t>梁翾翾</t>
  </si>
  <si>
    <t>郭勤</t>
  </si>
  <si>
    <t>朱凤琪</t>
  </si>
  <si>
    <t>温春辉</t>
  </si>
  <si>
    <t>周金民</t>
  </si>
  <si>
    <t>魏强</t>
  </si>
  <si>
    <t>初设</t>
  </si>
  <si>
    <t>樟树南收费站</t>
  </si>
  <si>
    <t>总图</t>
  </si>
  <si>
    <t>张家山收费站</t>
  </si>
  <si>
    <t>高安南服务区</t>
  </si>
  <si>
    <t>新街收费站</t>
  </si>
  <si>
    <t>高安西收费站</t>
  </si>
  <si>
    <t>伍桥收费站</t>
  </si>
  <si>
    <t>奉新南服务区</t>
  </si>
  <si>
    <t>奉新南收费站</t>
  </si>
  <si>
    <t>靖安西收费站</t>
  </si>
  <si>
    <t>靖安服务区</t>
  </si>
  <si>
    <t>三爪仑收费站</t>
  </si>
  <si>
    <t>严阳U型转弯</t>
  </si>
  <si>
    <t>武宁东收费站</t>
  </si>
  <si>
    <t>武宁东服务区</t>
  </si>
  <si>
    <t>鲁溪收费站</t>
  </si>
  <si>
    <t>肈陈收费站</t>
  </si>
  <si>
    <t>服务区+收费站</t>
  </si>
  <si>
    <t>单体</t>
  </si>
  <si>
    <t>项目负责人</t>
  </si>
  <si>
    <t>合计</t>
  </si>
  <si>
    <t>项目总工日：</t>
  </si>
  <si>
    <t>洛市设备库房建工程工日计算表</t>
  </si>
  <si>
    <t>总建筑面积（平方米）</t>
  </si>
  <si>
    <t>总工日</t>
  </si>
  <si>
    <t>结构专业</t>
  </si>
  <si>
    <t>沙子韬</t>
  </si>
  <si>
    <t>方案+施工图</t>
  </si>
  <si>
    <t>设备库</t>
  </si>
  <si>
    <t>建筑专业负责人</t>
  </si>
  <si>
    <t>结构专业负责人</t>
  </si>
  <si>
    <t>给排水专业负责人</t>
  </si>
  <si>
    <t>电气专业负责人</t>
  </si>
  <si>
    <t>都昌养护基地房建工程工日计算表</t>
  </si>
  <si>
    <t>综合楼</t>
  </si>
  <si>
    <t>万年养护基地一期房建工程工日计算表</t>
  </si>
  <si>
    <t>刘慧彬</t>
  </si>
  <si>
    <t>尹敏威</t>
  </si>
  <si>
    <t>邓磊</t>
  </si>
  <si>
    <t>料仓</t>
  </si>
  <si>
    <t>仓库</t>
  </si>
  <si>
    <t>萍乡绕城高速房建工程方案工日计算表</t>
  </si>
  <si>
    <t>张瑞琪</t>
  </si>
  <si>
    <t>方案</t>
  </si>
  <si>
    <t>收费大棚</t>
  </si>
  <si>
    <t>收费站办公楼</t>
  </si>
  <si>
    <t>收费站宿舍</t>
  </si>
  <si>
    <t>养护工区宿舍</t>
  </si>
  <si>
    <t>管理所办公楼</t>
  </si>
  <si>
    <t>管理所宿舍</t>
  </si>
  <si>
    <t>便民中心</t>
  </si>
  <si>
    <t>遂川服务区房建工程工日计算表</t>
  </si>
  <si>
    <t>叶于均</t>
  </si>
  <si>
    <t>陶澍</t>
  </si>
  <si>
    <t>胡志雄</t>
  </si>
  <si>
    <t>外委</t>
  </si>
  <si>
    <t>施工图
方案</t>
  </si>
  <si>
    <t>施工图反抽初设，初设用抚州院图框及签名，仅计设计套图系数0.2</t>
  </si>
  <si>
    <t>西区综合楼</t>
  </si>
  <si>
    <t>西区设备房</t>
  </si>
  <si>
    <t>东区综合楼</t>
  </si>
  <si>
    <t>东区设备房</t>
  </si>
  <si>
    <t>施设</t>
  </si>
  <si>
    <t>建筑专业总工日：</t>
  </si>
  <si>
    <t>结构专业总工日：</t>
  </si>
  <si>
    <t>给排水专业总工日：</t>
  </si>
  <si>
    <t>电气专业总工日：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</si>
</sst>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0.00_);[Red]\(0.00\)"/>
  </numFmts>
  <fonts count="27"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2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2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29" applyNumberFormat="0" applyAlignment="0" applyProtection="0">
      <alignment vertical="center"/>
    </xf>
    <xf numFmtId="0" fontId="21" fillId="12" borderId="25" applyNumberFormat="0" applyAlignment="0" applyProtection="0">
      <alignment vertical="center"/>
    </xf>
    <xf numFmtId="0" fontId="22" fillId="13" borderId="3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4" xfId="0" applyNumberForma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8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0" borderId="8" xfId="0" applyNumberForma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176" fontId="5" fillId="0" borderId="22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24"/>
  <sheetViews>
    <sheetView topLeftCell="A6" workbookViewId="0">
      <selection activeCell="U21" sqref="U21"/>
    </sheetView>
  </sheetViews>
  <sheetFormatPr defaultColWidth="9" defaultRowHeight="13.5"/>
  <cols>
    <col min="3" max="3" width="18.25" customWidth="1"/>
    <col min="4" max="4" width="11.625" customWidth="1"/>
    <col min="5" max="5" width="10.375"/>
    <col min="15" max="15" width="9" customWidth="1"/>
  </cols>
  <sheetData>
    <row r="1" ht="30" customHeight="1" spans="1:17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82"/>
    </row>
    <row r="2" ht="30" customHeight="1" spans="1:17">
      <c r="A2" s="53" t="s">
        <v>1</v>
      </c>
      <c r="B2" s="54" t="s">
        <v>2</v>
      </c>
      <c r="C2" s="54" t="s">
        <v>3</v>
      </c>
      <c r="D2" s="55" t="s">
        <v>4</v>
      </c>
      <c r="E2" s="56" t="s">
        <v>5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83" t="s">
        <v>6</v>
      </c>
    </row>
    <row r="3" ht="30" customHeight="1" spans="1:17">
      <c r="A3" s="58"/>
      <c r="B3" s="54"/>
      <c r="C3" s="54"/>
      <c r="D3" s="55"/>
      <c r="E3" s="56"/>
      <c r="F3" s="59" t="s">
        <v>7</v>
      </c>
      <c r="G3" s="59"/>
      <c r="H3" s="59"/>
      <c r="I3" s="59"/>
      <c r="J3" s="56" t="s">
        <v>8</v>
      </c>
      <c r="K3" s="56"/>
      <c r="L3" s="56"/>
      <c r="M3" s="56"/>
      <c r="N3" s="78" t="s">
        <v>9</v>
      </c>
      <c r="O3" s="59"/>
      <c r="P3" s="59"/>
      <c r="Q3" s="83"/>
    </row>
    <row r="4" ht="30" customHeight="1" spans="1:17">
      <c r="A4" s="58"/>
      <c r="B4" s="60"/>
      <c r="C4" s="60"/>
      <c r="D4" s="55"/>
      <c r="E4" s="56"/>
      <c r="F4" s="61" t="s">
        <v>10</v>
      </c>
      <c r="G4" s="61" t="s">
        <v>11</v>
      </c>
      <c r="H4" s="61" t="s">
        <v>12</v>
      </c>
      <c r="I4" s="61" t="s">
        <v>13</v>
      </c>
      <c r="J4" s="61" t="s">
        <v>14</v>
      </c>
      <c r="K4" s="61" t="s">
        <v>15</v>
      </c>
      <c r="L4" s="61" t="s">
        <v>16</v>
      </c>
      <c r="M4" s="61" t="s">
        <v>17</v>
      </c>
      <c r="N4" s="61" t="s">
        <v>18</v>
      </c>
      <c r="O4" s="61" t="s">
        <v>13</v>
      </c>
      <c r="P4" s="61" t="s">
        <v>19</v>
      </c>
      <c r="Q4" s="83"/>
    </row>
    <row r="5" ht="30" customHeight="1" spans="1:17">
      <c r="A5" s="62">
        <f>1</f>
        <v>1</v>
      </c>
      <c r="B5" s="63" t="s">
        <v>20</v>
      </c>
      <c r="C5" s="64" t="s">
        <v>21</v>
      </c>
      <c r="D5" s="65" t="s">
        <v>22</v>
      </c>
      <c r="E5" s="27">
        <v>1199.74</v>
      </c>
      <c r="F5" s="35">
        <f>E5/100*5*0.75*0.15*0.6*0.82</f>
        <v>3.32028045</v>
      </c>
      <c r="G5" s="66"/>
      <c r="H5" s="35">
        <f t="shared" ref="H5:H10" si="0">E5/100*5*0.75*0.15*0.6*0.08</f>
        <v>0.3239298</v>
      </c>
      <c r="I5" s="35">
        <f t="shared" ref="I5:I8" si="1">E5/100*5*0.75*0.15*0.6*0.08</f>
        <v>0.3239298</v>
      </c>
      <c r="J5" s="35">
        <f>E5/100*5*0.75*0.15*0.27*0.82</f>
        <v>1.4941262025</v>
      </c>
      <c r="K5" s="35">
        <f>E5/100*5*0.75*0.15*0.27*0.08</f>
        <v>0.14576841</v>
      </c>
      <c r="L5" s="35">
        <f>E5/100*5*0.75*0.15*0.27*0.08</f>
        <v>0.14576841</v>
      </c>
      <c r="M5" s="66"/>
      <c r="N5" s="35">
        <f t="shared" ref="N5:N10" si="2">E5/100*5*0.75*0.15*0.13*0.82</f>
        <v>0.7193940975</v>
      </c>
      <c r="O5" s="35">
        <f t="shared" ref="O5:O10" si="3">E5/100*5*0.75*0.15*0.13*0.08</f>
        <v>0.07018479</v>
      </c>
      <c r="P5" s="35">
        <f t="shared" ref="P5:P10" si="4">E5/100*5*0.75*0.15*0.13*0.08</f>
        <v>0.07018479</v>
      </c>
      <c r="Q5" s="84"/>
    </row>
    <row r="6" ht="30" customHeight="1" spans="1:17">
      <c r="A6" s="62">
        <f t="shared" ref="A6:A22" si="5">A5+1</f>
        <v>2</v>
      </c>
      <c r="B6" s="67"/>
      <c r="C6" s="63" t="s">
        <v>23</v>
      </c>
      <c r="D6" s="65" t="s">
        <v>22</v>
      </c>
      <c r="E6" s="27">
        <v>1099.27</v>
      </c>
      <c r="F6" s="35">
        <f>E6/100*5*0.75*0.15*0.6*0.82</f>
        <v>3.042229725</v>
      </c>
      <c r="G6" s="66"/>
      <c r="H6" s="35">
        <f t="shared" si="0"/>
        <v>0.2968029</v>
      </c>
      <c r="I6" s="35">
        <f t="shared" si="1"/>
        <v>0.2968029</v>
      </c>
      <c r="J6" s="35">
        <f>E6/100*5*0.75*0.15*0.27*0.82</f>
        <v>1.36900337625</v>
      </c>
      <c r="K6" s="35">
        <f>E6/100*5*0.75*0.15*0.27*0.08</f>
        <v>0.133561305</v>
      </c>
      <c r="L6" s="35">
        <f>E6/100*5*0.75*0.15*0.27*0.08</f>
        <v>0.133561305</v>
      </c>
      <c r="M6" s="66"/>
      <c r="N6" s="35">
        <f t="shared" si="2"/>
        <v>0.65914977375</v>
      </c>
      <c r="O6" s="35">
        <f t="shared" si="3"/>
        <v>0.064307295</v>
      </c>
      <c r="P6" s="35">
        <f t="shared" si="4"/>
        <v>0.064307295</v>
      </c>
      <c r="Q6" s="85"/>
    </row>
    <row r="7" ht="30" customHeight="1" spans="1:17">
      <c r="A7" s="62">
        <f t="shared" si="5"/>
        <v>3</v>
      </c>
      <c r="B7" s="67"/>
      <c r="C7" s="64" t="s">
        <v>24</v>
      </c>
      <c r="D7" s="65" t="s">
        <v>22</v>
      </c>
      <c r="E7" s="27">
        <v>5498.47</v>
      </c>
      <c r="F7" s="35">
        <f>E7/100*5*0.75*0.15*0.6*0.82</f>
        <v>15.217015725</v>
      </c>
      <c r="G7" s="66"/>
      <c r="H7" s="35">
        <f t="shared" si="0"/>
        <v>1.4845869</v>
      </c>
      <c r="I7" s="35">
        <f t="shared" si="1"/>
        <v>1.4845869</v>
      </c>
      <c r="J7" s="35">
        <f>E7/100*5*0.75*0.15*0.27*0.82</f>
        <v>6.84765707625</v>
      </c>
      <c r="K7" s="35">
        <f>E7/100*5*0.75*0.15*0.27*0.08</f>
        <v>0.668064105</v>
      </c>
      <c r="L7" s="35">
        <f>E7/100*5*0.75*0.15*0.27*0.08</f>
        <v>0.668064105</v>
      </c>
      <c r="M7" s="66"/>
      <c r="N7" s="35">
        <f t="shared" si="2"/>
        <v>3.29702007375</v>
      </c>
      <c r="O7" s="35">
        <f t="shared" si="3"/>
        <v>0.321660495</v>
      </c>
      <c r="P7" s="35">
        <f t="shared" si="4"/>
        <v>0.321660495</v>
      </c>
      <c r="Q7" s="86"/>
    </row>
    <row r="8" ht="30" customHeight="1" spans="1:17">
      <c r="A8" s="62">
        <f t="shared" si="5"/>
        <v>4</v>
      </c>
      <c r="B8" s="67"/>
      <c r="C8" s="64" t="s">
        <v>25</v>
      </c>
      <c r="D8" s="65" t="s">
        <v>22</v>
      </c>
      <c r="E8" s="27">
        <v>1099.27</v>
      </c>
      <c r="F8" s="66"/>
      <c r="G8" s="35">
        <f>E8/100*5*0.75*0.15*0.6*0.82</f>
        <v>3.042229725</v>
      </c>
      <c r="H8" s="35">
        <f t="shared" si="0"/>
        <v>0.2968029</v>
      </c>
      <c r="I8" s="35">
        <f t="shared" si="1"/>
        <v>0.2968029</v>
      </c>
      <c r="J8" s="35">
        <f>E8/100*5*0.75*0.15*0.27*0.08</f>
        <v>0.133561305</v>
      </c>
      <c r="K8" s="35">
        <f>E8/100*5*0.75*0.15*0.27*0.82</f>
        <v>1.36900337625</v>
      </c>
      <c r="L8" s="35"/>
      <c r="M8" s="35">
        <f>E8/100*5*0.75*0.15*0.27*0.08</f>
        <v>0.133561305</v>
      </c>
      <c r="N8" s="35">
        <f t="shared" si="2"/>
        <v>0.65914977375</v>
      </c>
      <c r="O8" s="35">
        <f t="shared" si="3"/>
        <v>0.064307295</v>
      </c>
      <c r="P8" s="35">
        <f t="shared" si="4"/>
        <v>0.064307295</v>
      </c>
      <c r="Q8" s="86"/>
    </row>
    <row r="9" ht="30" customHeight="1" spans="1:17">
      <c r="A9" s="62">
        <f t="shared" si="5"/>
        <v>5</v>
      </c>
      <c r="B9" s="67"/>
      <c r="C9" s="64" t="s">
        <v>26</v>
      </c>
      <c r="D9" s="65" t="s">
        <v>22</v>
      </c>
      <c r="E9" s="27">
        <v>5437.42</v>
      </c>
      <c r="F9" s="35">
        <f t="shared" ref="F9:F13" si="6">E9/100*5*0.75*0.15*0.6*0.08</f>
        <v>1.4681034</v>
      </c>
      <c r="G9" s="35">
        <f>E9/100*5*0.75*0.15*0.6*0.82</f>
        <v>15.04805985</v>
      </c>
      <c r="H9" s="35">
        <f t="shared" si="0"/>
        <v>1.4681034</v>
      </c>
      <c r="I9" s="68"/>
      <c r="J9" s="35">
        <f>E9/100*5*0.75*0.15*0.27*0.08</f>
        <v>0.66064653</v>
      </c>
      <c r="K9" s="35">
        <f>E9/100*5*0.75*0.15*0.27*0.82</f>
        <v>6.7716269325</v>
      </c>
      <c r="L9" s="35"/>
      <c r="M9" s="35">
        <f>E9/100*5*0.75*0.15*0.27*0.08</f>
        <v>0.66064653</v>
      </c>
      <c r="N9" s="35">
        <f t="shared" si="2"/>
        <v>3.2604129675</v>
      </c>
      <c r="O9" s="35">
        <f t="shared" si="3"/>
        <v>0.31808907</v>
      </c>
      <c r="P9" s="35">
        <f t="shared" si="4"/>
        <v>0.31808907</v>
      </c>
      <c r="Q9" s="86"/>
    </row>
    <row r="10" ht="30" customHeight="1" spans="1:17">
      <c r="A10" s="62">
        <f t="shared" si="5"/>
        <v>6</v>
      </c>
      <c r="B10" s="67"/>
      <c r="C10" s="64" t="s">
        <v>27</v>
      </c>
      <c r="D10" s="65" t="s">
        <v>22</v>
      </c>
      <c r="E10" s="27">
        <v>1099.27</v>
      </c>
      <c r="F10" s="35">
        <f t="shared" si="6"/>
        <v>0.2968029</v>
      </c>
      <c r="G10" s="35">
        <f>E10/100*5*0.75*0.15*0.6*0.82</f>
        <v>3.042229725</v>
      </c>
      <c r="H10" s="35">
        <f t="shared" si="0"/>
        <v>0.2968029</v>
      </c>
      <c r="I10" s="68"/>
      <c r="J10" s="35">
        <f>E10/100*5*0.75*0.15*0.27*0.08</f>
        <v>0.133561305</v>
      </c>
      <c r="K10" s="35">
        <f>E10/100*5*0.75*0.15*0.27*0.82</f>
        <v>1.36900337625</v>
      </c>
      <c r="L10" s="35"/>
      <c r="M10" s="35">
        <f>E10/100*5*0.75*0.15*0.27*0.08</f>
        <v>0.133561305</v>
      </c>
      <c r="N10" s="35">
        <f t="shared" si="2"/>
        <v>0.65914977375</v>
      </c>
      <c r="O10" s="35">
        <f t="shared" si="3"/>
        <v>0.064307295</v>
      </c>
      <c r="P10" s="35">
        <f t="shared" si="4"/>
        <v>0.064307295</v>
      </c>
      <c r="Q10" s="86"/>
    </row>
    <row r="11" ht="30" customHeight="1" spans="1:17">
      <c r="A11" s="62">
        <f t="shared" si="5"/>
        <v>7</v>
      </c>
      <c r="B11" s="67"/>
      <c r="C11" s="64" t="s">
        <v>28</v>
      </c>
      <c r="D11" s="65" t="s">
        <v>22</v>
      </c>
      <c r="E11" s="27">
        <v>5498.47</v>
      </c>
      <c r="F11" s="35">
        <f t="shared" si="6"/>
        <v>1.4845869</v>
      </c>
      <c r="G11" s="68"/>
      <c r="H11" s="35">
        <f>E11/100*5*0.75*0.15*0.6*0.82</f>
        <v>15.217015725</v>
      </c>
      <c r="I11" s="35">
        <f>E11/100*5*0.75*0.15*0.6*0.08</f>
        <v>1.4845869</v>
      </c>
      <c r="J11" s="35">
        <f>E11/100*5*0.75*0.15*0.27*0.08</f>
        <v>0.668064105</v>
      </c>
      <c r="K11" s="35">
        <f>E11/100*5*0.75*0.15*0.27*0.82</f>
        <v>6.84765707625</v>
      </c>
      <c r="L11" s="35"/>
      <c r="M11" s="35">
        <f>E11/100*5*0.75*0.15*0.27*0.08</f>
        <v>0.668064105</v>
      </c>
      <c r="N11" s="35">
        <f t="shared" ref="N11:N13" si="7">E11/100*5*0.75*0.15*0.13*0.82</f>
        <v>3.29702007375</v>
      </c>
      <c r="O11" s="35">
        <f t="shared" ref="O11:O13" si="8">E11/100*5*0.75*0.15*0.13*0.08</f>
        <v>0.321660495</v>
      </c>
      <c r="P11" s="35">
        <f t="shared" ref="P11:P13" si="9">E11/100*5*0.75*0.15*0.13*0.08</f>
        <v>0.321660495</v>
      </c>
      <c r="Q11" s="86"/>
    </row>
    <row r="12" ht="30" customHeight="1" spans="1:17">
      <c r="A12" s="62">
        <f t="shared" si="5"/>
        <v>8</v>
      </c>
      <c r="B12" s="67"/>
      <c r="C12" s="64" t="s">
        <v>29</v>
      </c>
      <c r="D12" s="65" t="s">
        <v>22</v>
      </c>
      <c r="E12" s="27">
        <v>2696.26</v>
      </c>
      <c r="F12" s="35">
        <f t="shared" si="6"/>
        <v>0.7279902</v>
      </c>
      <c r="G12" s="68"/>
      <c r="H12" s="35">
        <f>E12/100*5*0.75*0.15*0.6*0.82</f>
        <v>7.46189955</v>
      </c>
      <c r="I12" s="35">
        <f>E12/100*5*0.75*0.15*0.6*0.08</f>
        <v>0.7279902</v>
      </c>
      <c r="J12" s="35">
        <f t="shared" ref="J12:J18" si="10">E12/100*5*0.75*0.15*0.27*0.08</f>
        <v>0.32759559</v>
      </c>
      <c r="K12" s="35">
        <f t="shared" ref="K12:K18" si="11">E12/100*5*0.75*0.15*0.27*0.82</f>
        <v>3.3578547975</v>
      </c>
      <c r="L12" s="35"/>
      <c r="M12" s="35">
        <f t="shared" ref="M12:M18" si="12">E12/100*5*0.75*0.15*0.27*0.08</f>
        <v>0.32759559</v>
      </c>
      <c r="N12" s="35">
        <f t="shared" si="7"/>
        <v>1.6167449025</v>
      </c>
      <c r="O12" s="35">
        <f t="shared" si="8"/>
        <v>0.15773121</v>
      </c>
      <c r="P12" s="35">
        <f t="shared" si="9"/>
        <v>0.15773121</v>
      </c>
      <c r="Q12" s="86"/>
    </row>
    <row r="13" ht="30" customHeight="1" spans="1:17">
      <c r="A13" s="62">
        <f t="shared" si="5"/>
        <v>9</v>
      </c>
      <c r="B13" s="67"/>
      <c r="C13" s="64" t="s">
        <v>30</v>
      </c>
      <c r="D13" s="65" t="s">
        <v>22</v>
      </c>
      <c r="E13" s="27">
        <v>1199.74</v>
      </c>
      <c r="F13" s="35">
        <f t="shared" si="6"/>
        <v>0.3239298</v>
      </c>
      <c r="G13" s="68"/>
      <c r="H13" s="35">
        <f>E13/100*5*0.75*0.15*0.6*0.82</f>
        <v>3.32028045</v>
      </c>
      <c r="I13" s="35">
        <f>E13/100*5*0.75*0.15*0.6*0.08</f>
        <v>0.3239298</v>
      </c>
      <c r="J13" s="35">
        <f t="shared" si="10"/>
        <v>0.14576841</v>
      </c>
      <c r="K13" s="35">
        <f t="shared" si="11"/>
        <v>1.4941262025</v>
      </c>
      <c r="L13" s="35"/>
      <c r="M13" s="35">
        <f t="shared" si="12"/>
        <v>0.14576841</v>
      </c>
      <c r="N13" s="35">
        <f t="shared" si="7"/>
        <v>0.7193940975</v>
      </c>
      <c r="O13" s="35">
        <f t="shared" si="8"/>
        <v>0.07018479</v>
      </c>
      <c r="P13" s="35">
        <f t="shared" si="9"/>
        <v>0.07018479</v>
      </c>
      <c r="Q13" s="86"/>
    </row>
    <row r="14" ht="30" customHeight="1" spans="1:17">
      <c r="A14" s="62">
        <f t="shared" si="5"/>
        <v>10</v>
      </c>
      <c r="B14" s="67"/>
      <c r="C14" s="64" t="s">
        <v>31</v>
      </c>
      <c r="D14" s="65" t="s">
        <v>22</v>
      </c>
      <c r="E14" s="27">
        <v>5497.98</v>
      </c>
      <c r="F14" s="35">
        <f>E14/100*5*0.75*0.15*0.6*0.82</f>
        <v>15.21565965</v>
      </c>
      <c r="G14" s="66"/>
      <c r="H14" s="35">
        <f t="shared" ref="H14:H18" si="13">E14/100*5*0.75*0.15*0.6*0.08</f>
        <v>1.4844546</v>
      </c>
      <c r="I14" s="35">
        <f t="shared" ref="I14:I20" si="14">E14/100*5*0.75*0.15*0.6*0.08</f>
        <v>1.4844546</v>
      </c>
      <c r="J14" s="35">
        <f t="shared" ref="J14:J20" si="15">E14/100*5*0.75*0.15*0.27*0.82</f>
        <v>6.8470468425</v>
      </c>
      <c r="K14" s="35">
        <f t="shared" ref="K14:K20" si="16">E14/100*5*0.75*0.15*0.27*0.08</f>
        <v>0.66800457</v>
      </c>
      <c r="L14" s="35">
        <f t="shared" ref="L14:L20" si="17">E14/100*5*0.75*0.15*0.27*0.08</f>
        <v>0.66800457</v>
      </c>
      <c r="M14" s="68"/>
      <c r="N14" s="35">
        <f t="shared" ref="N14:N17" si="18">E14/100*5*0.75*0.15*0.13*0.82</f>
        <v>3.2967262575</v>
      </c>
      <c r="O14" s="35">
        <f t="shared" ref="O14:O17" si="19">E14/100*5*0.75*0.15*0.13*0.08</f>
        <v>0.32163183</v>
      </c>
      <c r="P14" s="35">
        <f t="shared" ref="P14:P17" si="20">E14/100*5*0.75*0.15*0.13*0.08</f>
        <v>0.32163183</v>
      </c>
      <c r="Q14" s="84"/>
    </row>
    <row r="15" ht="30" customHeight="1" spans="1:17">
      <c r="A15" s="62">
        <f t="shared" si="5"/>
        <v>11</v>
      </c>
      <c r="B15" s="67"/>
      <c r="C15" s="64" t="s">
        <v>32</v>
      </c>
      <c r="D15" s="65" t="s">
        <v>22</v>
      </c>
      <c r="E15" s="27">
        <v>2287.9</v>
      </c>
      <c r="F15" s="35">
        <f>E15/100*5*0.75*0.15*0.6*0.82</f>
        <v>6.33176325</v>
      </c>
      <c r="G15" s="66"/>
      <c r="H15" s="35">
        <f t="shared" si="13"/>
        <v>0.617733</v>
      </c>
      <c r="I15" s="35">
        <f t="shared" si="14"/>
        <v>0.617733</v>
      </c>
      <c r="J15" s="35">
        <f t="shared" si="15"/>
        <v>2.8492934625</v>
      </c>
      <c r="K15" s="35">
        <f t="shared" si="16"/>
        <v>0.27797985</v>
      </c>
      <c r="L15" s="35">
        <f t="shared" si="17"/>
        <v>0.27797985</v>
      </c>
      <c r="M15" s="68"/>
      <c r="N15" s="35">
        <f t="shared" si="18"/>
        <v>1.3718820375</v>
      </c>
      <c r="O15" s="35">
        <f t="shared" si="19"/>
        <v>0.13384215</v>
      </c>
      <c r="P15" s="35">
        <f t="shared" si="20"/>
        <v>0.13384215</v>
      </c>
      <c r="Q15" s="86"/>
    </row>
    <row r="16" ht="30" customHeight="1" spans="1:17">
      <c r="A16" s="62">
        <f t="shared" si="5"/>
        <v>12</v>
      </c>
      <c r="B16" s="67"/>
      <c r="C16" s="64" t="s">
        <v>33</v>
      </c>
      <c r="D16" s="65" t="s">
        <v>22</v>
      </c>
      <c r="E16" s="27">
        <v>294.02</v>
      </c>
      <c r="F16" s="35">
        <f>E16/100*5*0.75*0.15*0.6*0.82</f>
        <v>0.81370035</v>
      </c>
      <c r="G16" s="66"/>
      <c r="H16" s="35">
        <f t="shared" si="13"/>
        <v>0.0793854</v>
      </c>
      <c r="I16" s="35">
        <f t="shared" si="14"/>
        <v>0.0793854</v>
      </c>
      <c r="J16" s="35">
        <f t="shared" si="15"/>
        <v>0.3661651575</v>
      </c>
      <c r="K16" s="35">
        <f t="shared" si="16"/>
        <v>0.03572343</v>
      </c>
      <c r="L16" s="35">
        <f t="shared" si="17"/>
        <v>0.03572343</v>
      </c>
      <c r="M16" s="68"/>
      <c r="N16" s="35">
        <f t="shared" si="18"/>
        <v>0.1763017425</v>
      </c>
      <c r="O16" s="35">
        <f t="shared" si="19"/>
        <v>0.01720017</v>
      </c>
      <c r="P16" s="35">
        <f t="shared" si="20"/>
        <v>0.01720017</v>
      </c>
      <c r="Q16" s="84"/>
    </row>
    <row r="17" ht="30" customHeight="1" spans="1:17">
      <c r="A17" s="62">
        <f t="shared" si="5"/>
        <v>13</v>
      </c>
      <c r="B17" s="67"/>
      <c r="C17" s="64" t="s">
        <v>34</v>
      </c>
      <c r="D17" s="65" t="s">
        <v>22</v>
      </c>
      <c r="E17" s="27">
        <v>5122.46</v>
      </c>
      <c r="F17" s="35">
        <f t="shared" ref="F17:F20" si="21">E17/100*5*0.75*0.15*0.6*0.08</f>
        <v>1.3830642</v>
      </c>
      <c r="G17" s="35">
        <f>E17/100*5*0.75*0.15*0.6*0.82</f>
        <v>14.17640805</v>
      </c>
      <c r="H17" s="35">
        <f t="shared" si="13"/>
        <v>1.3830642</v>
      </c>
      <c r="I17" s="68"/>
      <c r="J17" s="35">
        <f t="shared" si="10"/>
        <v>0.62237889</v>
      </c>
      <c r="K17" s="35">
        <f t="shared" si="11"/>
        <v>6.3793836225</v>
      </c>
      <c r="L17" s="35"/>
      <c r="M17" s="35">
        <f t="shared" si="12"/>
        <v>0.62237889</v>
      </c>
      <c r="N17" s="35">
        <f t="shared" si="18"/>
        <v>3.0715550775</v>
      </c>
      <c r="O17" s="35">
        <f t="shared" si="19"/>
        <v>0.29966391</v>
      </c>
      <c r="P17" s="35">
        <f t="shared" si="20"/>
        <v>0.29966391</v>
      </c>
      <c r="Q17" s="84"/>
    </row>
    <row r="18" ht="30" customHeight="1" spans="1:17">
      <c r="A18" s="62">
        <f t="shared" si="5"/>
        <v>14</v>
      </c>
      <c r="B18" s="67"/>
      <c r="C18" s="64" t="s">
        <v>35</v>
      </c>
      <c r="D18" s="65" t="s">
        <v>22</v>
      </c>
      <c r="E18" s="27">
        <v>5483.23</v>
      </c>
      <c r="F18" s="35">
        <f t="shared" si="21"/>
        <v>1.4804721</v>
      </c>
      <c r="G18" s="35">
        <f>E18/100*5*0.75*0.15*0.6*0.82</f>
        <v>15.174839025</v>
      </c>
      <c r="H18" s="35">
        <f t="shared" si="13"/>
        <v>1.4804721</v>
      </c>
      <c r="I18" s="35"/>
      <c r="J18" s="35">
        <f t="shared" si="10"/>
        <v>0.666212445</v>
      </c>
      <c r="K18" s="35">
        <f t="shared" si="11"/>
        <v>6.82867756125</v>
      </c>
      <c r="L18" s="35"/>
      <c r="M18" s="35">
        <f t="shared" si="12"/>
        <v>0.666212445</v>
      </c>
      <c r="N18" s="35">
        <f t="shared" ref="N18:N20" si="22">E18/100*5*0.75*0.15*0.13*0.82</f>
        <v>3.28788178875</v>
      </c>
      <c r="O18" s="35">
        <f t="shared" ref="O18:O20" si="23">E18/100*5*0.75*0.15*0.13*0.08</f>
        <v>0.320768955</v>
      </c>
      <c r="P18" s="35">
        <f t="shared" ref="P18:P20" si="24">E18/100*5*0.75*0.15*0.13*0.08</f>
        <v>0.320768955</v>
      </c>
      <c r="Q18" s="86"/>
    </row>
    <row r="19" ht="30" customHeight="1" spans="1:17">
      <c r="A19" s="62">
        <f t="shared" si="5"/>
        <v>15</v>
      </c>
      <c r="B19" s="67"/>
      <c r="C19" s="64" t="s">
        <v>36</v>
      </c>
      <c r="D19" s="65" t="s">
        <v>22</v>
      </c>
      <c r="E19" s="27">
        <v>6425.11</v>
      </c>
      <c r="F19" s="35">
        <f t="shared" si="21"/>
        <v>1.7347797</v>
      </c>
      <c r="G19" s="68"/>
      <c r="H19" s="35">
        <f>E19/100*5*0.75*0.15*0.6*0.82</f>
        <v>17.781491925</v>
      </c>
      <c r="I19" s="35">
        <f t="shared" si="14"/>
        <v>1.7347797</v>
      </c>
      <c r="J19" s="35">
        <f t="shared" si="15"/>
        <v>8.00167136625</v>
      </c>
      <c r="K19" s="35">
        <f t="shared" si="16"/>
        <v>0.780650865</v>
      </c>
      <c r="L19" s="35">
        <f t="shared" si="17"/>
        <v>0.780650865</v>
      </c>
      <c r="M19" s="68"/>
      <c r="N19" s="35">
        <f t="shared" si="22"/>
        <v>3.85265658375</v>
      </c>
      <c r="O19" s="35">
        <f t="shared" si="23"/>
        <v>0.375868935</v>
      </c>
      <c r="P19" s="35">
        <f t="shared" si="24"/>
        <v>0.375868935</v>
      </c>
      <c r="Q19" s="86"/>
    </row>
    <row r="20" ht="30" customHeight="1" spans="1:17">
      <c r="A20" s="62">
        <f t="shared" si="5"/>
        <v>16</v>
      </c>
      <c r="B20" s="67"/>
      <c r="C20" s="64" t="s">
        <v>37</v>
      </c>
      <c r="D20" s="65" t="s">
        <v>22</v>
      </c>
      <c r="E20" s="27">
        <v>1099.27</v>
      </c>
      <c r="F20" s="35">
        <f t="shared" si="21"/>
        <v>0.2968029</v>
      </c>
      <c r="G20" s="68"/>
      <c r="H20" s="35">
        <f>E20/100*5*0.75*0.15*0.6*0.82</f>
        <v>3.042229725</v>
      </c>
      <c r="I20" s="35">
        <f t="shared" si="14"/>
        <v>0.2968029</v>
      </c>
      <c r="J20" s="35">
        <f t="shared" si="15"/>
        <v>1.36900337625</v>
      </c>
      <c r="K20" s="35">
        <f t="shared" si="16"/>
        <v>0.133561305</v>
      </c>
      <c r="L20" s="35">
        <f t="shared" si="17"/>
        <v>0.133561305</v>
      </c>
      <c r="M20" s="68"/>
      <c r="N20" s="35">
        <f t="shared" si="22"/>
        <v>0.65914977375</v>
      </c>
      <c r="O20" s="35">
        <f t="shared" si="23"/>
        <v>0.064307295</v>
      </c>
      <c r="P20" s="35">
        <f t="shared" si="24"/>
        <v>0.064307295</v>
      </c>
      <c r="Q20" s="84"/>
    </row>
    <row r="21" ht="30" customHeight="1" spans="1:17">
      <c r="A21" s="62">
        <f t="shared" si="5"/>
        <v>17</v>
      </c>
      <c r="B21" s="67"/>
      <c r="C21" s="64" t="s">
        <v>38</v>
      </c>
      <c r="D21" s="65" t="s">
        <v>39</v>
      </c>
      <c r="E21" s="27">
        <f>SUM(E5:E20)</f>
        <v>51037.88</v>
      </c>
      <c r="F21" s="35"/>
      <c r="G21" s="68"/>
      <c r="H21" s="68"/>
      <c r="I21" s="35">
        <f>E21/100*5*0.25*0.2*0.4*0.82</f>
        <v>41.8510616</v>
      </c>
      <c r="J21" s="68"/>
      <c r="K21" s="68"/>
      <c r="L21" s="68"/>
      <c r="M21" s="68"/>
      <c r="N21" s="79"/>
      <c r="O21" s="66"/>
      <c r="P21" s="80"/>
      <c r="Q21" s="84"/>
    </row>
    <row r="22" ht="30" customHeight="1" spans="1:17">
      <c r="A22" s="69">
        <f t="shared" si="5"/>
        <v>18</v>
      </c>
      <c r="B22" s="70"/>
      <c r="C22" s="64"/>
      <c r="D22" s="50" t="s">
        <v>40</v>
      </c>
      <c r="E22" s="68"/>
      <c r="F22" s="68"/>
      <c r="G22" s="68"/>
      <c r="H22" s="68"/>
      <c r="I22" s="68">
        <f>C24*0.12</f>
        <v>38.783685012</v>
      </c>
      <c r="J22" s="68"/>
      <c r="K22" s="68"/>
      <c r="L22" s="68"/>
      <c r="M22" s="68"/>
      <c r="N22" s="79"/>
      <c r="O22" s="66"/>
      <c r="P22" s="81"/>
      <c r="Q22" s="84"/>
    </row>
    <row r="23" ht="30" customHeight="1" spans="1:17">
      <c r="A23" s="71" t="s">
        <v>41</v>
      </c>
      <c r="B23" s="72"/>
      <c r="C23" s="50"/>
      <c r="D23" s="50"/>
      <c r="E23" s="66"/>
      <c r="F23" s="73">
        <f>SUM(F5:F22)</f>
        <v>53.13718125</v>
      </c>
      <c r="G23" s="73">
        <f t="shared" ref="G23:P23" si="25">SUM(G5:G22)</f>
        <v>50.483766375</v>
      </c>
      <c r="H23" s="73">
        <f t="shared" si="25"/>
        <v>56.035055475</v>
      </c>
      <c r="I23" s="73">
        <f t="shared" si="25"/>
        <v>89.786531612</v>
      </c>
      <c r="J23" s="73">
        <f t="shared" si="25"/>
        <v>32.50175544</v>
      </c>
      <c r="K23" s="73">
        <f t="shared" si="25"/>
        <v>37.260646785</v>
      </c>
      <c r="L23" s="73">
        <f t="shared" si="25"/>
        <v>2.84331384</v>
      </c>
      <c r="M23" s="73">
        <f t="shared" si="25"/>
        <v>3.35778858</v>
      </c>
      <c r="N23" s="73">
        <f t="shared" si="25"/>
        <v>30.603588795</v>
      </c>
      <c r="O23" s="73">
        <f t="shared" si="25"/>
        <v>2.98571598</v>
      </c>
      <c r="P23" s="73">
        <f t="shared" si="25"/>
        <v>2.98571598</v>
      </c>
      <c r="Q23" s="87">
        <f>SUM(F23:P23)</f>
        <v>361.981060112</v>
      </c>
    </row>
    <row r="24" ht="30" customHeight="1" spans="1:17">
      <c r="A24" s="74" t="s">
        <v>42</v>
      </c>
      <c r="B24" s="75"/>
      <c r="C24" s="76">
        <f>SUM(F5:P21)</f>
        <v>323.1973751</v>
      </c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88"/>
    </row>
  </sheetData>
  <mergeCells count="14">
    <mergeCell ref="A1:Q1"/>
    <mergeCell ref="F2:P2"/>
    <mergeCell ref="F3:I3"/>
    <mergeCell ref="J3:M3"/>
    <mergeCell ref="N3:P3"/>
    <mergeCell ref="A23:B23"/>
    <mergeCell ref="A24:B24"/>
    <mergeCell ref="A2:A4"/>
    <mergeCell ref="B2:B4"/>
    <mergeCell ref="B5:B22"/>
    <mergeCell ref="C2:C4"/>
    <mergeCell ref="D2:D4"/>
    <mergeCell ref="E2:E4"/>
    <mergeCell ref="Q2:Q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Q12"/>
  <sheetViews>
    <sheetView workbookViewId="0">
      <selection activeCell="H5" sqref="H5"/>
    </sheetView>
  </sheetViews>
  <sheetFormatPr defaultColWidth="9" defaultRowHeight="13.5"/>
  <cols>
    <col min="1" max="1" width="5.5" customWidth="1"/>
    <col min="3" max="3" width="9.5" customWidth="1"/>
    <col min="4" max="4" width="19" customWidth="1"/>
    <col min="14" max="14" width="10.5" customWidth="1"/>
  </cols>
  <sheetData>
    <row r="1" ht="30" customHeight="1" spans="1:17">
      <c r="A1" s="48" t="s">
        <v>43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ht="30" customHeight="1" spans="1:17">
      <c r="A2" s="17" t="s">
        <v>1</v>
      </c>
      <c r="B2" s="5" t="s">
        <v>2</v>
      </c>
      <c r="C2" s="49" t="s">
        <v>4</v>
      </c>
      <c r="D2" s="5" t="s">
        <v>44</v>
      </c>
      <c r="E2" s="8"/>
      <c r="F2" s="9"/>
      <c r="G2" s="9"/>
      <c r="H2" s="9"/>
      <c r="I2" s="9"/>
      <c r="J2" s="9"/>
      <c r="K2" s="9"/>
      <c r="L2" s="9"/>
      <c r="M2" s="9"/>
      <c r="N2" s="9"/>
      <c r="O2" s="34"/>
      <c r="P2" s="17" t="s">
        <v>45</v>
      </c>
      <c r="Q2" s="17" t="s">
        <v>6</v>
      </c>
    </row>
    <row r="3" ht="30" customHeight="1" spans="1:17">
      <c r="A3" s="17"/>
      <c r="B3" s="5"/>
      <c r="C3" s="4"/>
      <c r="D3" s="5"/>
      <c r="E3" s="17" t="s">
        <v>7</v>
      </c>
      <c r="F3" s="17"/>
      <c r="G3" s="17"/>
      <c r="H3" s="17" t="s">
        <v>46</v>
      </c>
      <c r="I3" s="17"/>
      <c r="J3" s="17"/>
      <c r="K3" s="17" t="s">
        <v>8</v>
      </c>
      <c r="L3" s="17"/>
      <c r="M3" s="17"/>
      <c r="N3" s="8" t="s">
        <v>9</v>
      </c>
      <c r="O3" s="34"/>
      <c r="P3" s="17"/>
      <c r="Q3" s="17"/>
    </row>
    <row r="4" ht="30" customHeight="1" spans="1:17">
      <c r="A4" s="17"/>
      <c r="B4" s="5"/>
      <c r="C4" s="10"/>
      <c r="D4" s="5"/>
      <c r="E4" s="17" t="s">
        <v>10</v>
      </c>
      <c r="F4" s="17" t="s">
        <v>12</v>
      </c>
      <c r="G4" s="17" t="s">
        <v>11</v>
      </c>
      <c r="H4" s="17" t="s">
        <v>47</v>
      </c>
      <c r="I4" s="17" t="s">
        <v>19</v>
      </c>
      <c r="J4" s="17" t="s">
        <v>13</v>
      </c>
      <c r="K4" s="17" t="s">
        <v>14</v>
      </c>
      <c r="L4" s="17" t="s">
        <v>16</v>
      </c>
      <c r="M4" s="17" t="s">
        <v>17</v>
      </c>
      <c r="N4" s="17" t="s">
        <v>18</v>
      </c>
      <c r="O4" s="17" t="s">
        <v>13</v>
      </c>
      <c r="P4" s="17"/>
      <c r="Q4" s="17"/>
    </row>
    <row r="5" ht="30" customHeight="1" spans="1:17">
      <c r="A5" s="27">
        <v>1</v>
      </c>
      <c r="B5" s="21" t="s">
        <v>48</v>
      </c>
      <c r="C5" s="27" t="s">
        <v>22</v>
      </c>
      <c r="D5" s="27">
        <v>308.4</v>
      </c>
      <c r="E5" s="17"/>
      <c r="F5" s="18">
        <f>500/100*15*0.145*(0.7*0.43*0.8+0.15*0.8*0.8)*1.4</f>
        <v>5.12778</v>
      </c>
      <c r="G5" s="18"/>
      <c r="H5" s="18">
        <f>500/100*15*0.145*0.7*0.04*0.8*1.4</f>
        <v>0.34104</v>
      </c>
      <c r="I5" s="17"/>
      <c r="J5" s="18"/>
      <c r="K5" s="18">
        <f>500/100*15*0.145*0.7*0.36*0.08*1.4</f>
        <v>0.306936</v>
      </c>
      <c r="L5" s="18">
        <f>500/100*15*0.145*0.7*0.36*0.08*1.4</f>
        <v>0.306936</v>
      </c>
      <c r="M5" s="18">
        <f t="shared" ref="M5" si="0">500/100*15*0.145*0.7*0.36*0.82*1.4</f>
        <v>3.146094</v>
      </c>
      <c r="N5" s="18">
        <f>500/100*15*0.145*0.7*0.17*0.82*1.4</f>
        <v>1.4856555</v>
      </c>
      <c r="O5" s="18">
        <f>500/100*15*0.145*0.7*0.17*0.08*1.4</f>
        <v>0.144942</v>
      </c>
      <c r="P5" s="17"/>
      <c r="Q5" s="44"/>
    </row>
    <row r="6" ht="30" customHeight="1" spans="1:17">
      <c r="A6" s="27">
        <f t="shared" ref="A6:A11" si="1">A5+1</f>
        <v>2</v>
      </c>
      <c r="B6" s="14"/>
      <c r="C6" s="27" t="s">
        <v>49</v>
      </c>
      <c r="D6" s="27">
        <v>308.4</v>
      </c>
      <c r="E6" s="18">
        <f>500/100*15*0.855*0.6*0.334*0.1*1.4</f>
        <v>1.799091</v>
      </c>
      <c r="F6" s="18">
        <f>500/100*15*0.855*(0.6*0.334*0.8+0.2*0.88*0.4)*1.4</f>
        <v>20.712888</v>
      </c>
      <c r="G6" s="18">
        <f>500/100*15*0.855*0.6*0.334*0.08*1.4</f>
        <v>1.4392728</v>
      </c>
      <c r="H6" s="18">
        <f>500/100*15*0.855*0.6*0.388*0.8*1.4</f>
        <v>16.719696</v>
      </c>
      <c r="I6" s="18">
        <f>500/100*15*0.855*0.6*0.388*0.1*1.4</f>
        <v>2.089962</v>
      </c>
      <c r="J6" s="18">
        <f>500/100*15*0.855*0.6*0.388*0.08*1.4</f>
        <v>1.6719696</v>
      </c>
      <c r="K6" s="18">
        <f>500/100*15*0.855*0.6*0.13*0.08*1.4</f>
        <v>0.560196</v>
      </c>
      <c r="L6" s="18">
        <f>500/100*15*0.855*0.6*0.13*0.08*1.4</f>
        <v>0.560196</v>
      </c>
      <c r="M6" s="18">
        <f>500/100*15*0.855*0.6*0.13*0.82*1.4</f>
        <v>5.742009</v>
      </c>
      <c r="N6" s="18">
        <f>500/100*15*0.855*0.6*0.147*0.82*1.4</f>
        <v>6.4928871</v>
      </c>
      <c r="O6" s="18">
        <f>500/100*15*0.855*0.6*0.147*0.08*1.4</f>
        <v>0.6334524</v>
      </c>
      <c r="P6" s="18"/>
      <c r="Q6" s="44"/>
    </row>
    <row r="7" ht="30" customHeight="1" spans="1:17">
      <c r="A7" s="27">
        <f t="shared" si="1"/>
        <v>3</v>
      </c>
      <c r="B7" s="14"/>
      <c r="C7" s="27"/>
      <c r="D7" s="27" t="s">
        <v>50</v>
      </c>
      <c r="E7" s="27"/>
      <c r="F7" s="18">
        <f>SUM(E5:G6)*0.09</f>
        <v>2.617112862</v>
      </c>
      <c r="G7" s="27"/>
      <c r="H7" s="27"/>
      <c r="I7" s="27"/>
      <c r="J7" s="27"/>
      <c r="K7" s="27"/>
      <c r="L7" s="27"/>
      <c r="M7" s="27"/>
      <c r="N7" s="27"/>
      <c r="O7" s="18"/>
      <c r="P7" s="18"/>
      <c r="Q7" s="44"/>
    </row>
    <row r="8" ht="30" customHeight="1" spans="1:17">
      <c r="A8" s="27">
        <f t="shared" si="1"/>
        <v>4</v>
      </c>
      <c r="B8" s="14"/>
      <c r="C8" s="27"/>
      <c r="D8" s="27" t="s">
        <v>51</v>
      </c>
      <c r="E8" s="27"/>
      <c r="F8" s="27"/>
      <c r="G8" s="27"/>
      <c r="H8" s="18">
        <f>SUM(H5:J6)*0.09</f>
        <v>1.874040084</v>
      </c>
      <c r="I8" s="27"/>
      <c r="J8" s="18"/>
      <c r="K8" s="27"/>
      <c r="L8" s="27"/>
      <c r="M8" s="18"/>
      <c r="N8" s="27"/>
      <c r="O8" s="18"/>
      <c r="P8" s="18"/>
      <c r="Q8" s="44"/>
    </row>
    <row r="9" ht="30" customHeight="1" spans="1:17">
      <c r="A9" s="27">
        <f t="shared" si="1"/>
        <v>5</v>
      </c>
      <c r="B9" s="14"/>
      <c r="C9" s="27"/>
      <c r="D9" s="27" t="s">
        <v>52</v>
      </c>
      <c r="E9" s="27"/>
      <c r="F9" s="27"/>
      <c r="G9" s="27"/>
      <c r="H9" s="27"/>
      <c r="I9" s="27"/>
      <c r="J9" s="27"/>
      <c r="K9" s="18"/>
      <c r="L9" s="27"/>
      <c r="M9" s="18">
        <f>SUM(K5:M6)*0.09</f>
        <v>0.95601303</v>
      </c>
      <c r="N9" s="27"/>
      <c r="O9" s="18"/>
      <c r="P9" s="18"/>
      <c r="Q9" s="44"/>
    </row>
    <row r="10" ht="30" customHeight="1" spans="1:17">
      <c r="A10" s="27">
        <f t="shared" si="1"/>
        <v>6</v>
      </c>
      <c r="B10" s="14"/>
      <c r="C10" s="27"/>
      <c r="D10" s="27" t="s">
        <v>53</v>
      </c>
      <c r="E10" s="27"/>
      <c r="F10" s="35"/>
      <c r="G10" s="35"/>
      <c r="H10" s="35"/>
      <c r="I10" s="35"/>
      <c r="J10" s="35"/>
      <c r="K10" s="35"/>
      <c r="L10" s="35"/>
      <c r="M10" s="35"/>
      <c r="N10" s="18">
        <f>SUM(N5:O6)*0.09</f>
        <v>0.78812433</v>
      </c>
      <c r="O10" s="18"/>
      <c r="P10" s="18"/>
      <c r="Q10" s="44"/>
    </row>
    <row r="11" ht="30" customHeight="1" spans="1:17">
      <c r="A11" s="27">
        <f t="shared" si="1"/>
        <v>7</v>
      </c>
      <c r="B11" s="23"/>
      <c r="C11" s="27"/>
      <c r="D11" s="27" t="s">
        <v>40</v>
      </c>
      <c r="E11" s="35"/>
      <c r="F11" s="35"/>
      <c r="G11" s="35"/>
      <c r="H11" s="35"/>
      <c r="I11" s="35"/>
      <c r="J11" s="35">
        <f>SUM(E5:O6)*0.15</f>
        <v>10.39215051</v>
      </c>
      <c r="K11" s="35"/>
      <c r="L11" s="35"/>
      <c r="M11" s="35"/>
      <c r="N11" s="18"/>
      <c r="O11" s="18"/>
      <c r="P11" s="18"/>
      <c r="Q11" s="44"/>
    </row>
    <row r="12" ht="30" customHeight="1" spans="1:17">
      <c r="A12" s="27" t="s">
        <v>41</v>
      </c>
      <c r="B12" s="27"/>
      <c r="C12" s="27"/>
      <c r="D12" s="27"/>
      <c r="E12" s="30">
        <f>SUM(E5:E11)</f>
        <v>1.799091</v>
      </c>
      <c r="F12" s="30">
        <f>SUM(F5:F11)</f>
        <v>28.457780862</v>
      </c>
      <c r="G12" s="30">
        <f t="shared" ref="G12:O12" si="2">SUM(G5:G11)</f>
        <v>1.4392728</v>
      </c>
      <c r="H12" s="30">
        <f t="shared" si="2"/>
        <v>18.934776084</v>
      </c>
      <c r="I12" s="30">
        <f t="shared" si="2"/>
        <v>2.089962</v>
      </c>
      <c r="J12" s="30">
        <f t="shared" si="2"/>
        <v>12.06412011</v>
      </c>
      <c r="K12" s="30">
        <f t="shared" si="2"/>
        <v>0.867132</v>
      </c>
      <c r="L12" s="30">
        <f t="shared" si="2"/>
        <v>0.867132</v>
      </c>
      <c r="M12" s="30">
        <f t="shared" si="2"/>
        <v>9.84411603</v>
      </c>
      <c r="N12" s="30">
        <f t="shared" si="2"/>
        <v>8.76666693</v>
      </c>
      <c r="O12" s="30">
        <f t="shared" si="2"/>
        <v>0.7783944</v>
      </c>
      <c r="P12" s="18">
        <f>SUM(E12:O12)</f>
        <v>85.908444216</v>
      </c>
      <c r="Q12" s="44"/>
    </row>
  </sheetData>
  <mergeCells count="15">
    <mergeCell ref="A1:Q1"/>
    <mergeCell ref="E2:O2"/>
    <mergeCell ref="E3:G3"/>
    <mergeCell ref="H3:J3"/>
    <mergeCell ref="K3:M3"/>
    <mergeCell ref="N3:O3"/>
    <mergeCell ref="A12:B12"/>
    <mergeCell ref="A2:A4"/>
    <mergeCell ref="B2:B4"/>
    <mergeCell ref="B5:B11"/>
    <mergeCell ref="C2:C4"/>
    <mergeCell ref="D2:D4"/>
    <mergeCell ref="P2:P4"/>
    <mergeCell ref="Q2:Q4"/>
    <mergeCell ref="Q5:Q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12"/>
  <sheetViews>
    <sheetView workbookViewId="0">
      <selection activeCell="J11" sqref="J11"/>
    </sheetView>
  </sheetViews>
  <sheetFormatPr defaultColWidth="9" defaultRowHeight="13.5"/>
  <cols>
    <col min="1" max="1" width="6.875" customWidth="1"/>
    <col min="3" max="3" width="10.875" customWidth="1"/>
    <col min="4" max="4" width="19" customWidth="1"/>
    <col min="14" max="14" width="10.5" customWidth="1"/>
  </cols>
  <sheetData>
    <row r="1" ht="30" customHeight="1" spans="1:17">
      <c r="A1" s="48" t="s">
        <v>54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ht="30" customHeight="1" spans="1:17">
      <c r="A2" s="17" t="s">
        <v>1</v>
      </c>
      <c r="B2" s="5" t="s">
        <v>2</v>
      </c>
      <c r="C2" s="49" t="s">
        <v>4</v>
      </c>
      <c r="D2" s="5" t="s">
        <v>44</v>
      </c>
      <c r="E2" s="8"/>
      <c r="F2" s="9"/>
      <c r="G2" s="9"/>
      <c r="H2" s="9"/>
      <c r="I2" s="9"/>
      <c r="J2" s="9"/>
      <c r="K2" s="9"/>
      <c r="L2" s="9"/>
      <c r="M2" s="9"/>
      <c r="N2" s="9"/>
      <c r="O2" s="34"/>
      <c r="P2" s="17" t="s">
        <v>45</v>
      </c>
      <c r="Q2" s="17" t="s">
        <v>6</v>
      </c>
    </row>
    <row r="3" ht="30" customHeight="1" spans="1:17">
      <c r="A3" s="17"/>
      <c r="B3" s="5"/>
      <c r="C3" s="4"/>
      <c r="D3" s="5"/>
      <c r="E3" s="17" t="s">
        <v>7</v>
      </c>
      <c r="F3" s="17"/>
      <c r="G3" s="17"/>
      <c r="H3" s="17" t="s">
        <v>46</v>
      </c>
      <c r="I3" s="17"/>
      <c r="J3" s="17"/>
      <c r="K3" s="17" t="s">
        <v>8</v>
      </c>
      <c r="L3" s="17"/>
      <c r="M3" s="17"/>
      <c r="N3" s="8" t="s">
        <v>9</v>
      </c>
      <c r="O3" s="34"/>
      <c r="P3" s="17"/>
      <c r="Q3" s="17"/>
    </row>
    <row r="4" ht="30" customHeight="1" spans="1:17">
      <c r="A4" s="17"/>
      <c r="B4" s="5"/>
      <c r="C4" s="10"/>
      <c r="D4" s="5"/>
      <c r="E4" s="17" t="s">
        <v>10</v>
      </c>
      <c r="F4" s="17" t="s">
        <v>12</v>
      </c>
      <c r="G4" s="17" t="s">
        <v>11</v>
      </c>
      <c r="H4" s="17" t="s">
        <v>47</v>
      </c>
      <c r="I4" s="17" t="s">
        <v>19</v>
      </c>
      <c r="J4" s="17" t="s">
        <v>13</v>
      </c>
      <c r="K4" s="17" t="s">
        <v>14</v>
      </c>
      <c r="L4" s="17" t="s">
        <v>16</v>
      </c>
      <c r="M4" s="17" t="s">
        <v>17</v>
      </c>
      <c r="N4" s="17" t="s">
        <v>18</v>
      </c>
      <c r="O4" s="17" t="s">
        <v>13</v>
      </c>
      <c r="P4" s="17"/>
      <c r="Q4" s="17"/>
    </row>
    <row r="5" ht="30" customHeight="1" spans="1:17">
      <c r="A5" s="27">
        <v>1</v>
      </c>
      <c r="B5" s="21" t="s">
        <v>48</v>
      </c>
      <c r="C5" s="27" t="s">
        <v>22</v>
      </c>
      <c r="D5" s="27">
        <v>1706.5</v>
      </c>
      <c r="E5" s="17"/>
      <c r="F5" s="18">
        <f>D6/100*15*0.145*(0.7*0.43*0.8+0.15*0.8*0.8)*1.3</f>
        <v>16.25103363</v>
      </c>
      <c r="G5" s="18"/>
      <c r="H5" s="18">
        <f>D6/100*15*0.145*0.7*0.04*0.8*1.3</f>
        <v>1.08082884</v>
      </c>
      <c r="I5" s="17"/>
      <c r="J5" s="18"/>
      <c r="K5" s="18">
        <f>D6/100*15*0.145*0.7*0.36*0.08*1.3</f>
        <v>0.972745956</v>
      </c>
      <c r="L5" s="18">
        <f>D6/100*15*0.145*0.7*0.36*0.08*1.3</f>
        <v>0.972745956</v>
      </c>
      <c r="M5" s="18">
        <f>D6/100*15*0.145*0.7*0.36*0.82*1.3</f>
        <v>9.970646049</v>
      </c>
      <c r="N5" s="18">
        <f>D6/100*15*0.145*0.7*0.17*0.82*1.3</f>
        <v>4.70836063425</v>
      </c>
      <c r="O5" s="18">
        <f>D6/100*15*0.145*0.7*0.17*0.08*1.3</f>
        <v>0.459352257</v>
      </c>
      <c r="P5" s="17"/>
      <c r="Q5" s="44"/>
    </row>
    <row r="6" ht="30" customHeight="1" spans="1:17">
      <c r="A6" s="27">
        <f t="shared" ref="A6:A11" si="0">A5+1</f>
        <v>2</v>
      </c>
      <c r="B6" s="14"/>
      <c r="C6" s="27" t="s">
        <v>55</v>
      </c>
      <c r="D6" s="27">
        <v>1706.5</v>
      </c>
      <c r="E6" s="18">
        <f>D6/100*15*0.855*0.6*0.334*0.1*1.3</f>
        <v>5.7017048985</v>
      </c>
      <c r="F6" s="18">
        <f>D6/100*15*0.855*(0.6*0.334*0.8+0.2*0.88*0.4)*1.3</f>
        <v>65.643580548</v>
      </c>
      <c r="G6" s="18">
        <f>D6/100*15*0.855*0.6*0.334*0.08*1.3</f>
        <v>4.5613639188</v>
      </c>
      <c r="H6" s="18">
        <f>D6/100*15*0.855*0.6*0.388*0.8*1.3</f>
        <v>52.988299416</v>
      </c>
      <c r="I6" s="18">
        <f>D6/100*15*0.855*0.6*0.388*0.1*1.3</f>
        <v>6.623537427</v>
      </c>
      <c r="J6" s="18">
        <f>D6/100*15*0.855*0.6*0.388*0.08*1.3</f>
        <v>5.2988299416</v>
      </c>
      <c r="K6" s="18">
        <f>D6/100*15*0.855*0.6*0.13*0.08*1.3</f>
        <v>1.775381166</v>
      </c>
      <c r="L6" s="18">
        <f>D6/100*15*0.855*0.6*0.13*0.08*1.3</f>
        <v>1.775381166</v>
      </c>
      <c r="M6" s="18">
        <f>D6/100*15*0.855*0.6*0.13*0.82*1.3</f>
        <v>18.1976569515</v>
      </c>
      <c r="N6" s="18">
        <f>D6/100*15*0.855*0.6*0.147*0.82*1.3</f>
        <v>20.57735055285</v>
      </c>
      <c r="O6" s="18">
        <f>D6/100*15*0.855*0.6*0.147*0.08*1.3</f>
        <v>2.0075463954</v>
      </c>
      <c r="P6" s="18"/>
      <c r="Q6" s="44"/>
    </row>
    <row r="7" ht="30" customHeight="1" spans="1:17">
      <c r="A7" s="27">
        <f t="shared" si="0"/>
        <v>3</v>
      </c>
      <c r="B7" s="14"/>
      <c r="C7" s="27"/>
      <c r="D7" s="27" t="s">
        <v>50</v>
      </c>
      <c r="E7" s="27"/>
      <c r="F7" s="18">
        <f>SUM(E5:G6)*0.09</f>
        <v>8.294191469577</v>
      </c>
      <c r="G7" s="27"/>
      <c r="H7" s="27"/>
      <c r="I7" s="27"/>
      <c r="J7" s="27"/>
      <c r="K7" s="27"/>
      <c r="L7" s="27"/>
      <c r="M7" s="27"/>
      <c r="N7" s="27"/>
      <c r="O7" s="18"/>
      <c r="P7" s="18"/>
      <c r="Q7" s="44"/>
    </row>
    <row r="8" ht="30" customHeight="1" spans="1:17">
      <c r="A8" s="27">
        <f t="shared" si="0"/>
        <v>4</v>
      </c>
      <c r="B8" s="14"/>
      <c r="C8" s="27"/>
      <c r="D8" s="27" t="s">
        <v>51</v>
      </c>
      <c r="E8" s="27"/>
      <c r="F8" s="27"/>
      <c r="G8" s="27"/>
      <c r="H8" s="18">
        <f>SUM(H5:J6)*0.09</f>
        <v>5.939234606214</v>
      </c>
      <c r="I8" s="27"/>
      <c r="J8" s="18"/>
      <c r="K8" s="27"/>
      <c r="L8" s="27"/>
      <c r="M8" s="18"/>
      <c r="N8" s="27"/>
      <c r="O8" s="18"/>
      <c r="P8" s="18"/>
      <c r="Q8" s="44"/>
    </row>
    <row r="9" ht="30" customHeight="1" spans="1:17">
      <c r="A9" s="27">
        <f t="shared" si="0"/>
        <v>5</v>
      </c>
      <c r="B9" s="14"/>
      <c r="C9" s="27"/>
      <c r="D9" s="27" t="s">
        <v>52</v>
      </c>
      <c r="E9" s="27"/>
      <c r="F9" s="27"/>
      <c r="G9" s="27"/>
      <c r="H9" s="27"/>
      <c r="I9" s="27"/>
      <c r="J9" s="27"/>
      <c r="K9" s="18"/>
      <c r="L9" s="27"/>
      <c r="M9" s="18">
        <f>SUM(K5:M6)*0.09</f>
        <v>3.029810152005</v>
      </c>
      <c r="N9" s="27"/>
      <c r="O9" s="18"/>
      <c r="P9" s="18"/>
      <c r="Q9" s="44"/>
    </row>
    <row r="10" ht="30" customHeight="1" spans="1:17">
      <c r="A10" s="27">
        <f t="shared" si="0"/>
        <v>6</v>
      </c>
      <c r="B10" s="23"/>
      <c r="C10" s="27"/>
      <c r="D10" s="27" t="s">
        <v>53</v>
      </c>
      <c r="E10" s="27"/>
      <c r="F10" s="35"/>
      <c r="G10" s="35"/>
      <c r="H10" s="35"/>
      <c r="I10" s="35"/>
      <c r="J10" s="35"/>
      <c r="K10" s="35"/>
      <c r="L10" s="35"/>
      <c r="M10" s="35"/>
      <c r="N10" s="18">
        <f>SUM(N5:O6)*0.09</f>
        <v>2.497734885555</v>
      </c>
      <c r="O10" s="18"/>
      <c r="P10" s="18"/>
      <c r="Q10" s="44"/>
    </row>
    <row r="11" ht="30" customHeight="1" spans="1:17">
      <c r="A11" s="27">
        <f t="shared" si="0"/>
        <v>7</v>
      </c>
      <c r="B11" s="15"/>
      <c r="C11" s="27"/>
      <c r="D11" s="27" t="s">
        <v>40</v>
      </c>
      <c r="E11" s="35"/>
      <c r="F11" s="35"/>
      <c r="G11" s="35"/>
      <c r="H11" s="35"/>
      <c r="I11" s="35"/>
      <c r="J11" s="35">
        <f>SUM(E5:O6)*0.15</f>
        <v>32.934951855585</v>
      </c>
      <c r="K11" s="35"/>
      <c r="L11" s="35"/>
      <c r="M11" s="35"/>
      <c r="N11" s="18"/>
      <c r="O11" s="18"/>
      <c r="P11" s="18"/>
      <c r="Q11" s="44"/>
    </row>
    <row r="12" ht="30" customHeight="1" spans="1:17">
      <c r="A12" s="27" t="s">
        <v>41</v>
      </c>
      <c r="B12" s="27"/>
      <c r="C12" s="27"/>
      <c r="D12" s="27"/>
      <c r="E12" s="30">
        <f t="shared" ref="E12:O12" si="1">SUM(E5:E11)</f>
        <v>5.7017048985</v>
      </c>
      <c r="F12" s="30">
        <f t="shared" si="1"/>
        <v>90.188805647577</v>
      </c>
      <c r="G12" s="30">
        <f t="shared" si="1"/>
        <v>4.5613639188</v>
      </c>
      <c r="H12" s="30">
        <f t="shared" si="1"/>
        <v>60.008362862214</v>
      </c>
      <c r="I12" s="30">
        <f t="shared" si="1"/>
        <v>6.623537427</v>
      </c>
      <c r="J12" s="30">
        <f t="shared" si="1"/>
        <v>38.233781797185</v>
      </c>
      <c r="K12" s="30">
        <f t="shared" si="1"/>
        <v>2.748127122</v>
      </c>
      <c r="L12" s="30">
        <f t="shared" si="1"/>
        <v>2.748127122</v>
      </c>
      <c r="M12" s="30">
        <f t="shared" si="1"/>
        <v>31.198113152505</v>
      </c>
      <c r="N12" s="30">
        <f t="shared" si="1"/>
        <v>27.783446072655</v>
      </c>
      <c r="O12" s="30">
        <f t="shared" si="1"/>
        <v>2.4668986524</v>
      </c>
      <c r="P12" s="18">
        <f>SUM(E12:O12)</f>
        <v>272.262268672836</v>
      </c>
      <c r="Q12" s="44"/>
    </row>
  </sheetData>
  <mergeCells count="15">
    <mergeCell ref="A1:Q1"/>
    <mergeCell ref="E2:O2"/>
    <mergeCell ref="E3:G3"/>
    <mergeCell ref="H3:J3"/>
    <mergeCell ref="K3:M3"/>
    <mergeCell ref="N3:O3"/>
    <mergeCell ref="A12:B12"/>
    <mergeCell ref="A2:A4"/>
    <mergeCell ref="B2:B4"/>
    <mergeCell ref="B5:B10"/>
    <mergeCell ref="C2:C4"/>
    <mergeCell ref="D2:D4"/>
    <mergeCell ref="P2:P4"/>
    <mergeCell ref="Q2:Q4"/>
    <mergeCell ref="Q5:Q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R13"/>
  <sheetViews>
    <sheetView workbookViewId="0">
      <selection activeCell="I12" sqref="I12"/>
    </sheetView>
  </sheetViews>
  <sheetFormatPr defaultColWidth="9" defaultRowHeight="13.5"/>
  <cols>
    <col min="1" max="1" width="6.875" customWidth="1"/>
    <col min="3" max="3" width="10.875" customWidth="1"/>
    <col min="4" max="4" width="19" customWidth="1"/>
    <col min="15" max="15" width="10.5" customWidth="1"/>
  </cols>
  <sheetData>
    <row r="1" ht="30" customHeight="1" spans="1:18">
      <c r="A1" s="48" t="s">
        <v>56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ht="30" customHeight="1" spans="1:18">
      <c r="A2" s="17" t="s">
        <v>1</v>
      </c>
      <c r="B2" s="5" t="s">
        <v>2</v>
      </c>
      <c r="C2" s="49" t="s">
        <v>4</v>
      </c>
      <c r="D2" s="5" t="s">
        <v>44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34"/>
      <c r="Q2" s="17" t="s">
        <v>45</v>
      </c>
      <c r="R2" s="17" t="s">
        <v>6</v>
      </c>
    </row>
    <row r="3" ht="30" customHeight="1" spans="1:18">
      <c r="A3" s="17"/>
      <c r="B3" s="5"/>
      <c r="C3" s="4"/>
      <c r="D3" s="5"/>
      <c r="E3" s="8" t="s">
        <v>7</v>
      </c>
      <c r="F3" s="9"/>
      <c r="G3" s="9"/>
      <c r="H3" s="34"/>
      <c r="I3" s="17" t="s">
        <v>46</v>
      </c>
      <c r="J3" s="17"/>
      <c r="K3" s="17"/>
      <c r="L3" s="17" t="s">
        <v>8</v>
      </c>
      <c r="M3" s="17"/>
      <c r="N3" s="17"/>
      <c r="O3" s="8" t="s">
        <v>9</v>
      </c>
      <c r="P3" s="34"/>
      <c r="Q3" s="17"/>
      <c r="R3" s="17"/>
    </row>
    <row r="4" ht="30" customHeight="1" spans="1:18">
      <c r="A4" s="17"/>
      <c r="B4" s="5"/>
      <c r="C4" s="10"/>
      <c r="D4" s="5"/>
      <c r="E4" s="17" t="s">
        <v>10</v>
      </c>
      <c r="F4" s="17" t="s">
        <v>12</v>
      </c>
      <c r="G4" s="17" t="s">
        <v>57</v>
      </c>
      <c r="H4" s="17" t="s">
        <v>58</v>
      </c>
      <c r="I4" s="17" t="s">
        <v>13</v>
      </c>
      <c r="J4" s="17" t="s">
        <v>19</v>
      </c>
      <c r="K4" s="17" t="s">
        <v>59</v>
      </c>
      <c r="L4" s="17" t="s">
        <v>14</v>
      </c>
      <c r="M4" s="17" t="s">
        <v>16</v>
      </c>
      <c r="N4" s="17" t="s">
        <v>17</v>
      </c>
      <c r="O4" s="17" t="s">
        <v>18</v>
      </c>
      <c r="P4" s="17" t="s">
        <v>13</v>
      </c>
      <c r="Q4" s="17"/>
      <c r="R4" s="17"/>
    </row>
    <row r="5" ht="30" customHeight="1" spans="1:18">
      <c r="A5" s="27">
        <v>1</v>
      </c>
      <c r="B5" s="21" t="s">
        <v>48</v>
      </c>
      <c r="C5" s="27" t="s">
        <v>22</v>
      </c>
      <c r="D5" s="27">
        <f>D6+D7</f>
        <v>3888.54</v>
      </c>
      <c r="E5" s="18">
        <f>D5/100*8.5*0.09*0.7*0.43*0.82*1.2</f>
        <v>8.810683484904</v>
      </c>
      <c r="F5" s="18">
        <f>D5/100*8.5*0.09*0.7*0.43*0.08*1.2</f>
        <v>0.859578876576</v>
      </c>
      <c r="G5" s="18">
        <f>D5/100*8.5*0.09*0.7*0.43*0.08*1.2</f>
        <v>0.859578876576</v>
      </c>
      <c r="H5" s="18">
        <f>D5/100*8.5*0.09*0.15*0.8*0.8*1.2</f>
        <v>3.4268925312</v>
      </c>
      <c r="I5" s="18">
        <f>D5/100*8.5*0.09*0.7*0.04*0.8*1.2</f>
        <v>0.79960825728</v>
      </c>
      <c r="J5" s="17"/>
      <c r="K5" s="18"/>
      <c r="L5" s="18">
        <f>D5/100*8.5*0.09*0.7*0.36*0.82*1.2</f>
        <v>7.376386173408</v>
      </c>
      <c r="M5" s="18">
        <f>D5/100*8.5*0.09*0.7*0.36*0.08*1.2</f>
        <v>0.719647431552</v>
      </c>
      <c r="N5" s="18">
        <f>D5/100*8.5*0.09*0.7*0.36*0.08*1.2</f>
        <v>0.719647431552</v>
      </c>
      <c r="O5" s="18">
        <f>D5/100*8.5*0.09*0.7*0.17*0.82*1.2</f>
        <v>3.483293470776</v>
      </c>
      <c r="P5" s="18">
        <f>D5/100*8.5*0.09*0.7*0.17*0.08*1.2</f>
        <v>0.339833509344</v>
      </c>
      <c r="Q5" s="17"/>
      <c r="R5" s="44"/>
    </row>
    <row r="6" ht="30" customHeight="1" spans="1:18">
      <c r="A6" s="27">
        <f t="shared" ref="A6:A11" si="0">A5+1</f>
        <v>2</v>
      </c>
      <c r="B6" s="14"/>
      <c r="C6" s="27" t="s">
        <v>60</v>
      </c>
      <c r="D6" s="27">
        <v>3108.54</v>
      </c>
      <c r="E6" s="18">
        <f>D6/100*8.5*0.91*0.6*0.25*0.82*1.2</f>
        <v>35.4897659844</v>
      </c>
      <c r="F6" s="18">
        <f>D6/100*8.5*0.91*0.6*0.25*0.08*1.2</f>
        <v>3.4624161936</v>
      </c>
      <c r="G6" s="18">
        <f>D6/100*8.5*0.91*0.6*0.25*0.08*1.2</f>
        <v>3.4624161936</v>
      </c>
      <c r="H6" s="18"/>
      <c r="I6" s="18">
        <f>D6/100*8.5*0.91*0.6*0.44*0.8*1.2</f>
        <v>60.93852500736</v>
      </c>
      <c r="J6" s="18">
        <f>D6/100*8.5*0.91*0.6*0.44*0.08*1.2</f>
        <v>6.093852500736</v>
      </c>
      <c r="K6" s="18">
        <f>D6/100*8.5*0.91*0.6*0.44*0.08*1.2</f>
        <v>6.093852500736</v>
      </c>
      <c r="L6" s="18">
        <f>D6/100*8.5*0.91*0.6*0.15*0.82*1.2</f>
        <v>21.29385959064</v>
      </c>
      <c r="M6" s="18">
        <f>D6/100*8.5*0.91*0.6*0.15*0.08*1.2</f>
        <v>2.07744971616</v>
      </c>
      <c r="N6" s="18">
        <f>D6/100*8.5*0.91*0.6*0.15*0.08*1.2</f>
        <v>2.07744971616</v>
      </c>
      <c r="O6" s="18">
        <f>D6/100*8.5*0.91*0.6*0.16*0.82*1.2</f>
        <v>22.713450230016</v>
      </c>
      <c r="P6" s="18">
        <f>D6/100*8.5*0.91*0.6*0.16*0.08*1.2</f>
        <v>2.215946363904</v>
      </c>
      <c r="Q6" s="18"/>
      <c r="R6" s="44"/>
    </row>
    <row r="7" ht="30" customHeight="1" spans="1:18">
      <c r="A7" s="27">
        <f t="shared" si="0"/>
        <v>3</v>
      </c>
      <c r="B7" s="14"/>
      <c r="C7" s="27" t="s">
        <v>61</v>
      </c>
      <c r="D7" s="27">
        <v>780</v>
      </c>
      <c r="E7" s="18">
        <f>D7/100*8.5*0.91*0.6*0.25*0.82*1.2</f>
        <v>8.9051508</v>
      </c>
      <c r="F7" s="18">
        <f>D7/100*8.5*0.91*0.6*0.25*0.08*1.2</f>
        <v>0.8687952</v>
      </c>
      <c r="G7" s="18">
        <f>D7/100*8.5*0.91*0.6*0.25*0.08*1.2</f>
        <v>0.8687952</v>
      </c>
      <c r="H7" s="18"/>
      <c r="I7" s="18">
        <f>D7/100*8.5*0.91*0.6*0.44*0.8*1.2</f>
        <v>15.29079552</v>
      </c>
      <c r="J7" s="18">
        <f>D7/100*8.5*0.91*0.6*0.44*0.08*1.2</f>
        <v>1.529079552</v>
      </c>
      <c r="K7" s="18">
        <f>D7/100*8.5*0.91*0.6*0.44*0.08*1.2</f>
        <v>1.529079552</v>
      </c>
      <c r="L7" s="18">
        <f>D7/100*8.5*0.91*0.6*0.15*0.82*1.2</f>
        <v>5.34309048</v>
      </c>
      <c r="M7" s="18">
        <f>D7/100*8.5*0.91*0.6*0.15*0.08*1.2</f>
        <v>0.52127712</v>
      </c>
      <c r="N7" s="18">
        <f>D7/100*8.5*0.91*0.6*0.15*0.08*1.2</f>
        <v>0.52127712</v>
      </c>
      <c r="O7" s="18">
        <f>D7/100*8.5*0.91*0.6*0.16*0.82*1.2</f>
        <v>5.699296512</v>
      </c>
      <c r="P7" s="18">
        <f>D7/100*8.5*0.91*0.6*0.16*0.08*1.2</f>
        <v>0.556028928</v>
      </c>
      <c r="Q7" s="18"/>
      <c r="R7" s="44"/>
    </row>
    <row r="8" ht="30" customHeight="1" spans="1:18">
      <c r="A8" s="27">
        <f t="shared" si="0"/>
        <v>4</v>
      </c>
      <c r="B8" s="14"/>
      <c r="C8" s="27"/>
      <c r="D8" s="27" t="s">
        <v>50</v>
      </c>
      <c r="E8" s="27"/>
      <c r="F8" s="18">
        <f>SUM(E5:H7)*0.09</f>
        <v>6.03126660067704</v>
      </c>
      <c r="G8" s="27"/>
      <c r="H8" s="27"/>
      <c r="I8" s="27"/>
      <c r="J8" s="27"/>
      <c r="K8" s="27"/>
      <c r="L8" s="27"/>
      <c r="M8" s="27"/>
      <c r="N8" s="27"/>
      <c r="O8" s="27"/>
      <c r="P8" s="18"/>
      <c r="Q8" s="18"/>
      <c r="R8" s="44"/>
    </row>
    <row r="9" ht="30" customHeight="1" spans="1:18">
      <c r="A9" s="27">
        <f t="shared" si="0"/>
        <v>5</v>
      </c>
      <c r="B9" s="14"/>
      <c r="C9" s="27"/>
      <c r="D9" s="27" t="s">
        <v>51</v>
      </c>
      <c r="E9" s="27"/>
      <c r="F9" s="27"/>
      <c r="G9" s="27"/>
      <c r="H9" s="18"/>
      <c r="I9" s="18">
        <f>SUM(I5:K7)*0.09</f>
        <v>8.30473136011008</v>
      </c>
      <c r="J9" s="27"/>
      <c r="K9" s="18"/>
      <c r="L9" s="27"/>
      <c r="M9" s="27"/>
      <c r="N9" s="18"/>
      <c r="O9" s="27"/>
      <c r="P9" s="18"/>
      <c r="Q9" s="18"/>
      <c r="R9" s="44"/>
    </row>
    <row r="10" ht="30" customHeight="1" spans="1:18">
      <c r="A10" s="27">
        <f t="shared" si="0"/>
        <v>6</v>
      </c>
      <c r="B10" s="14"/>
      <c r="C10" s="27"/>
      <c r="D10" s="27" t="s">
        <v>52</v>
      </c>
      <c r="E10" s="27"/>
      <c r="F10" s="27"/>
      <c r="G10" s="27"/>
      <c r="H10" s="27"/>
      <c r="I10" s="27"/>
      <c r="J10" s="27"/>
      <c r="K10" s="27"/>
      <c r="L10" s="18">
        <f>SUM(L5:N7)*0.09</f>
        <v>3.65850763015248</v>
      </c>
      <c r="M10" s="27"/>
      <c r="N10" s="18"/>
      <c r="O10" s="27"/>
      <c r="P10" s="18"/>
      <c r="Q10" s="18"/>
      <c r="R10" s="44"/>
    </row>
    <row r="11" ht="30" customHeight="1" spans="1:18">
      <c r="A11" s="27">
        <f t="shared" si="0"/>
        <v>7</v>
      </c>
      <c r="B11" s="14"/>
      <c r="C11" s="27"/>
      <c r="D11" s="27" t="s">
        <v>53</v>
      </c>
      <c r="E11" s="27"/>
      <c r="F11" s="35"/>
      <c r="G11" s="35"/>
      <c r="H11" s="35"/>
      <c r="I11" s="35"/>
      <c r="J11" s="35"/>
      <c r="K11" s="35"/>
      <c r="L11" s="35"/>
      <c r="M11" s="35"/>
      <c r="N11" s="35"/>
      <c r="O11" s="18">
        <f>SUM(O5:P7)*0.09</f>
        <v>3.1507064112636</v>
      </c>
      <c r="P11" s="18"/>
      <c r="Q11" s="18"/>
      <c r="R11" s="44"/>
    </row>
    <row r="12" ht="30" customHeight="1" spans="1:18">
      <c r="A12" s="27">
        <v>8</v>
      </c>
      <c r="B12" s="23"/>
      <c r="C12" s="27"/>
      <c r="D12" s="27" t="s">
        <v>40</v>
      </c>
      <c r="E12" s="35"/>
      <c r="F12" s="35"/>
      <c r="G12" s="35"/>
      <c r="H12" s="35"/>
      <c r="I12" s="35">
        <f>SUM(E5:P7)*0.15</f>
        <v>35.242020003672</v>
      </c>
      <c r="J12" s="35"/>
      <c r="K12" s="35"/>
      <c r="L12" s="35"/>
      <c r="M12" s="35"/>
      <c r="N12" s="35"/>
      <c r="O12" s="18"/>
      <c r="P12" s="18"/>
      <c r="Q12" s="18"/>
      <c r="R12" s="44"/>
    </row>
    <row r="13" ht="30" customHeight="1" spans="1:18">
      <c r="A13" s="27" t="s">
        <v>41</v>
      </c>
      <c r="B13" s="27"/>
      <c r="C13" s="27"/>
      <c r="D13" s="27"/>
      <c r="E13" s="30">
        <f t="shared" ref="E13:H13" si="1">SUM(E5:E12)</f>
        <v>53.205600269304</v>
      </c>
      <c r="F13" s="30">
        <f t="shared" si="1"/>
        <v>11.222056870853</v>
      </c>
      <c r="G13" s="30">
        <f t="shared" si="1"/>
        <v>5.190790270176</v>
      </c>
      <c r="H13" s="30">
        <f t="shared" si="1"/>
        <v>3.4268925312</v>
      </c>
      <c r="I13" s="30">
        <f t="shared" ref="I13:P13" si="2">SUM(I5:I12)</f>
        <v>120.575680148422</v>
      </c>
      <c r="J13" s="30">
        <f t="shared" si="2"/>
        <v>7.622932052736</v>
      </c>
      <c r="K13" s="30">
        <f t="shared" si="2"/>
        <v>7.622932052736</v>
      </c>
      <c r="L13" s="30">
        <f t="shared" si="2"/>
        <v>37.6718438742005</v>
      </c>
      <c r="M13" s="30">
        <f t="shared" si="2"/>
        <v>3.318374267712</v>
      </c>
      <c r="N13" s="30">
        <f t="shared" si="2"/>
        <v>3.318374267712</v>
      </c>
      <c r="O13" s="30">
        <f t="shared" si="2"/>
        <v>35.0467466240556</v>
      </c>
      <c r="P13" s="30">
        <f t="shared" si="2"/>
        <v>3.111808801248</v>
      </c>
      <c r="Q13" s="18">
        <f>SUM(E13:P13)</f>
        <v>291.334032030355</v>
      </c>
      <c r="R13" s="44"/>
    </row>
  </sheetData>
  <mergeCells count="15">
    <mergeCell ref="A1:R1"/>
    <mergeCell ref="E2:P2"/>
    <mergeCell ref="E3:H3"/>
    <mergeCell ref="I3:K3"/>
    <mergeCell ref="L3:N3"/>
    <mergeCell ref="O3:P3"/>
    <mergeCell ref="A13:B13"/>
    <mergeCell ref="A2:A4"/>
    <mergeCell ref="B2:B4"/>
    <mergeCell ref="B5:B12"/>
    <mergeCell ref="C2:C4"/>
    <mergeCell ref="D2:D4"/>
    <mergeCell ref="Q2:Q4"/>
    <mergeCell ref="R2:R4"/>
    <mergeCell ref="R5:R1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6"/>
  <sheetViews>
    <sheetView workbookViewId="0">
      <selection activeCell="K12" sqref="K12"/>
    </sheetView>
  </sheetViews>
  <sheetFormatPr defaultColWidth="9" defaultRowHeight="13.5"/>
  <cols>
    <col min="1" max="1" width="6.875" customWidth="1"/>
    <col min="3" max="3" width="14.375" customWidth="1"/>
    <col min="4" max="4" width="19" customWidth="1"/>
    <col min="5" max="9" width="15.625" customWidth="1"/>
  </cols>
  <sheetData>
    <row r="1" ht="30" customHeight="1" spans="1:9">
      <c r="A1" s="48" t="s">
        <v>62</v>
      </c>
      <c r="B1" s="48"/>
      <c r="C1" s="48"/>
      <c r="D1" s="48"/>
      <c r="E1" s="48"/>
      <c r="F1" s="48"/>
      <c r="G1" s="48"/>
      <c r="H1" s="48"/>
      <c r="I1" s="48"/>
    </row>
    <row r="2" ht="30" customHeight="1" spans="1:9">
      <c r="A2" s="17" t="s">
        <v>1</v>
      </c>
      <c r="B2" s="5" t="s">
        <v>2</v>
      </c>
      <c r="C2" s="49" t="s">
        <v>4</v>
      </c>
      <c r="D2" s="5" t="s">
        <v>44</v>
      </c>
      <c r="E2" s="8"/>
      <c r="F2" s="9"/>
      <c r="G2" s="9"/>
      <c r="H2" s="17" t="s">
        <v>45</v>
      </c>
      <c r="I2" s="17" t="s">
        <v>6</v>
      </c>
    </row>
    <row r="3" ht="30" customHeight="1" spans="1:9">
      <c r="A3" s="17"/>
      <c r="B3" s="5"/>
      <c r="C3" s="4"/>
      <c r="D3" s="5"/>
      <c r="E3" s="8" t="s">
        <v>7</v>
      </c>
      <c r="F3" s="9"/>
      <c r="G3" s="17" t="s">
        <v>46</v>
      </c>
      <c r="H3" s="17"/>
      <c r="I3" s="17"/>
    </row>
    <row r="4" ht="30" customHeight="1" spans="1:9">
      <c r="A4" s="17"/>
      <c r="B4" s="5"/>
      <c r="C4" s="10"/>
      <c r="D4" s="5"/>
      <c r="E4" s="17" t="s">
        <v>63</v>
      </c>
      <c r="F4" s="17" t="s">
        <v>12</v>
      </c>
      <c r="G4" s="17" t="s">
        <v>13</v>
      </c>
      <c r="H4" s="17"/>
      <c r="I4" s="17"/>
    </row>
    <row r="5" ht="30" customHeight="1" spans="1:9">
      <c r="A5" s="27">
        <v>1</v>
      </c>
      <c r="B5" s="21" t="s">
        <v>64</v>
      </c>
      <c r="C5" s="27" t="s">
        <v>22</v>
      </c>
      <c r="D5" s="50">
        <v>12000</v>
      </c>
      <c r="E5" s="18">
        <f>D5/100*15*0.145*0.15*0.8*0.8*0.5</f>
        <v>12.528</v>
      </c>
      <c r="F5" s="18">
        <f>E5</f>
        <v>12.528</v>
      </c>
      <c r="G5" s="18"/>
      <c r="H5" s="17"/>
      <c r="I5" s="44"/>
    </row>
    <row r="6" ht="30" customHeight="1" spans="1:9">
      <c r="A6" s="27">
        <f>A5+1</f>
        <v>2</v>
      </c>
      <c r="B6" s="14"/>
      <c r="C6" s="27" t="s">
        <v>55</v>
      </c>
      <c r="D6" s="50">
        <v>9000</v>
      </c>
      <c r="E6" s="18">
        <f>D6/100*15*0.855*0.2*0.88*0.8*0.6</f>
        <v>97.51104</v>
      </c>
      <c r="F6" s="18"/>
      <c r="G6" s="18"/>
      <c r="H6" s="18"/>
      <c r="I6" s="44"/>
    </row>
    <row r="7" ht="30" customHeight="1" spans="1:9">
      <c r="A7" s="27">
        <f>A6+1</f>
        <v>3</v>
      </c>
      <c r="B7" s="14"/>
      <c r="C7" s="27" t="s">
        <v>65</v>
      </c>
      <c r="D7" s="50">
        <v>3763.5</v>
      </c>
      <c r="E7" s="18">
        <f>D7/100*15*0.855*0.2*0.88*0.8*0.5</f>
        <v>33.9798888</v>
      </c>
      <c r="F7" s="18"/>
      <c r="G7" s="18"/>
      <c r="H7" s="18"/>
      <c r="I7" s="44"/>
    </row>
    <row r="8" ht="30" customHeight="1" spans="1:9">
      <c r="A8" s="27"/>
      <c r="B8" s="14"/>
      <c r="C8" s="27" t="s">
        <v>66</v>
      </c>
      <c r="D8" s="27">
        <v>741.28</v>
      </c>
      <c r="E8" s="18">
        <f t="shared" ref="E8:E14" si="0">D8/100*15*0.855*0.2*0.88*0.8*0.4</f>
        <v>5.3542950912</v>
      </c>
      <c r="F8" s="18"/>
      <c r="G8" s="18"/>
      <c r="H8" s="18"/>
      <c r="I8" s="44"/>
    </row>
    <row r="9" ht="30" customHeight="1" spans="1:9">
      <c r="A9" s="27"/>
      <c r="B9" s="14"/>
      <c r="C9" s="27" t="s">
        <v>67</v>
      </c>
      <c r="D9" s="27">
        <v>924.81</v>
      </c>
      <c r="E9" s="18">
        <f t="shared" si="0"/>
        <v>6.6799396224</v>
      </c>
      <c r="F9" s="18"/>
      <c r="G9" s="18"/>
      <c r="H9" s="18"/>
      <c r="I9" s="44"/>
    </row>
    <row r="10" ht="30" customHeight="1" spans="1:9">
      <c r="A10" s="27"/>
      <c r="B10" s="14"/>
      <c r="C10" s="27" t="s">
        <v>68</v>
      </c>
      <c r="D10" s="27">
        <v>1244.22</v>
      </c>
      <c r="E10" s="18">
        <f t="shared" si="0"/>
        <v>8.9870508288</v>
      </c>
      <c r="F10" s="18"/>
      <c r="G10" s="18"/>
      <c r="H10" s="18"/>
      <c r="I10" s="44"/>
    </row>
    <row r="11" ht="30" customHeight="1" spans="1:9">
      <c r="A11" s="27"/>
      <c r="B11" s="14"/>
      <c r="C11" s="27" t="s">
        <v>49</v>
      </c>
      <c r="D11" s="27">
        <v>1044.24</v>
      </c>
      <c r="E11" s="18">
        <f t="shared" si="0"/>
        <v>7.5425872896</v>
      </c>
      <c r="F11" s="18"/>
      <c r="G11" s="18"/>
      <c r="H11" s="18"/>
      <c r="I11" s="44"/>
    </row>
    <row r="12" ht="30" customHeight="1" spans="1:9">
      <c r="A12" s="27"/>
      <c r="B12" s="14"/>
      <c r="C12" s="27" t="s">
        <v>69</v>
      </c>
      <c r="D12" s="27">
        <v>784.22</v>
      </c>
      <c r="E12" s="18">
        <f t="shared" si="0"/>
        <v>5.6644524288</v>
      </c>
      <c r="F12" s="18"/>
      <c r="G12" s="18"/>
      <c r="H12" s="18"/>
      <c r="I12" s="44"/>
    </row>
    <row r="13" ht="30" customHeight="1" spans="1:9">
      <c r="A13" s="27"/>
      <c r="B13" s="14"/>
      <c r="C13" s="27" t="s">
        <v>70</v>
      </c>
      <c r="D13" s="27">
        <v>1102.26</v>
      </c>
      <c r="E13" s="18">
        <f t="shared" si="0"/>
        <v>7.9616680704</v>
      </c>
      <c r="F13" s="18"/>
      <c r="G13" s="18"/>
      <c r="H13" s="18"/>
      <c r="I13" s="44"/>
    </row>
    <row r="14" ht="30" customHeight="1" spans="1:9">
      <c r="A14" s="27">
        <v>4</v>
      </c>
      <c r="B14" s="14"/>
      <c r="C14" s="27" t="s">
        <v>71</v>
      </c>
      <c r="D14" s="27">
        <v>212.8</v>
      </c>
      <c r="E14" s="18">
        <f t="shared" si="0"/>
        <v>1.537062912</v>
      </c>
      <c r="F14" s="18"/>
      <c r="G14" s="27"/>
      <c r="H14" s="18"/>
      <c r="I14" s="44"/>
    </row>
    <row r="15" ht="30" customHeight="1" spans="1:9">
      <c r="A15" s="27">
        <v>9</v>
      </c>
      <c r="B15" s="23"/>
      <c r="C15" s="27"/>
      <c r="D15" s="27" t="s">
        <v>40</v>
      </c>
      <c r="E15" s="35"/>
      <c r="F15" s="35"/>
      <c r="G15" s="35">
        <f>SUM(E5:F14)*0.15</f>
        <v>30.04109775648</v>
      </c>
      <c r="H15" s="18"/>
      <c r="I15" s="44"/>
    </row>
    <row r="16" ht="30" customHeight="1" spans="1:9">
      <c r="A16" s="27" t="s">
        <v>41</v>
      </c>
      <c r="B16" s="27"/>
      <c r="C16" s="27"/>
      <c r="D16" s="27"/>
      <c r="E16" s="30">
        <f>SUM(E5:E15)-E6-E5</f>
        <v>77.7069450432</v>
      </c>
      <c r="F16" s="30">
        <f>SUM(F5:F15)</f>
        <v>12.528</v>
      </c>
      <c r="G16" s="30">
        <f>SUM(G5:G15)</f>
        <v>30.04109775648</v>
      </c>
      <c r="H16" s="18">
        <f>SUM(E16:G16)</f>
        <v>120.27604279968</v>
      </c>
      <c r="I16" s="44"/>
    </row>
  </sheetData>
  <mergeCells count="12">
    <mergeCell ref="A1:I1"/>
    <mergeCell ref="E2:G2"/>
    <mergeCell ref="E3:F3"/>
    <mergeCell ref="A16:B16"/>
    <mergeCell ref="A2:A4"/>
    <mergeCell ref="B2:B4"/>
    <mergeCell ref="B5:B15"/>
    <mergeCell ref="C2:C4"/>
    <mergeCell ref="D2:D4"/>
    <mergeCell ref="H2:H4"/>
    <mergeCell ref="I2:I4"/>
    <mergeCell ref="I5:I1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W27"/>
  <sheetViews>
    <sheetView tabSelected="1" workbookViewId="0">
      <selection activeCell="W6" sqref="W6"/>
    </sheetView>
  </sheetViews>
  <sheetFormatPr defaultColWidth="9" defaultRowHeight="13.5"/>
  <cols>
    <col min="3" max="3" width="10.375"/>
    <col min="4" max="4" width="17.625" customWidth="1"/>
    <col min="23" max="23" width="10.375"/>
  </cols>
  <sheetData>
    <row r="1" ht="32.1" customHeight="1" spans="1:18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8"/>
    </row>
    <row r="2" ht="30" customHeight="1" spans="1:18">
      <c r="A2" s="3" t="s">
        <v>1</v>
      </c>
      <c r="B2" s="4" t="s">
        <v>2</v>
      </c>
      <c r="C2" s="5" t="s">
        <v>5</v>
      </c>
      <c r="D2" s="5" t="s">
        <v>3</v>
      </c>
      <c r="E2" s="6"/>
      <c r="F2" s="6"/>
      <c r="G2" s="6"/>
      <c r="H2" s="6"/>
      <c r="I2" s="6"/>
      <c r="J2" s="6"/>
      <c r="K2" s="6"/>
      <c r="L2" s="33"/>
      <c r="M2" s="33"/>
      <c r="N2" s="33"/>
      <c r="O2" s="33"/>
      <c r="P2" s="11"/>
      <c r="Q2" s="12" t="s">
        <v>45</v>
      </c>
      <c r="R2" s="17" t="s">
        <v>6</v>
      </c>
    </row>
    <row r="3" ht="30" customHeight="1" spans="1:18">
      <c r="A3" s="7"/>
      <c r="B3" s="4"/>
      <c r="C3" s="5"/>
      <c r="D3" s="5"/>
      <c r="E3" s="8" t="s">
        <v>7</v>
      </c>
      <c r="F3" s="9"/>
      <c r="G3" s="9"/>
      <c r="H3" s="8" t="s">
        <v>46</v>
      </c>
      <c r="I3" s="9"/>
      <c r="J3" s="9"/>
      <c r="K3" s="34"/>
      <c r="L3" s="34" t="s">
        <v>8</v>
      </c>
      <c r="M3" s="34"/>
      <c r="N3" s="17"/>
      <c r="O3" s="8" t="s">
        <v>9</v>
      </c>
      <c r="P3" s="34"/>
      <c r="Q3" s="17"/>
      <c r="R3" s="17"/>
    </row>
    <row r="4" ht="30" customHeight="1" spans="1:23">
      <c r="A4" s="7"/>
      <c r="B4" s="10"/>
      <c r="C4" s="5"/>
      <c r="D4" s="5"/>
      <c r="E4" s="11" t="s">
        <v>73</v>
      </c>
      <c r="F4" s="11" t="s">
        <v>12</v>
      </c>
      <c r="G4" s="11" t="s">
        <v>74</v>
      </c>
      <c r="H4" s="12" t="s">
        <v>47</v>
      </c>
      <c r="I4" s="12" t="s">
        <v>19</v>
      </c>
      <c r="J4" s="12" t="s">
        <v>75</v>
      </c>
      <c r="K4" s="12" t="s">
        <v>13</v>
      </c>
      <c r="L4" s="17" t="s">
        <v>14</v>
      </c>
      <c r="M4" s="17" t="s">
        <v>16</v>
      </c>
      <c r="N4" s="17" t="s">
        <v>17</v>
      </c>
      <c r="O4" s="17" t="s">
        <v>18</v>
      </c>
      <c r="P4" s="17" t="s">
        <v>76</v>
      </c>
      <c r="Q4" s="17"/>
      <c r="R4" s="17"/>
      <c r="W4" s="39">
        <f>20000+28982.96+8000+8000+8000+8000+8000+29813.61+8000+16495+8000</f>
        <v>151291.57</v>
      </c>
    </row>
    <row r="5" ht="30" customHeight="1" spans="1:18">
      <c r="A5" s="13">
        <v>1</v>
      </c>
      <c r="B5" s="14" t="s">
        <v>77</v>
      </c>
      <c r="C5" s="15">
        <f>3426.28</f>
        <v>3426.28</v>
      </c>
      <c r="D5" s="16" t="s">
        <v>22</v>
      </c>
      <c r="E5" s="17"/>
      <c r="F5" s="17"/>
      <c r="G5" s="18">
        <f>C5/100*15*0.145*0.15*0.8*0.8*1.2</f>
        <v>8.584887168</v>
      </c>
      <c r="H5" s="17"/>
      <c r="I5" s="17"/>
      <c r="J5" s="17"/>
      <c r="K5" s="17"/>
      <c r="L5" s="17"/>
      <c r="M5" s="17"/>
      <c r="N5" s="17"/>
      <c r="O5" s="17"/>
      <c r="P5" s="17"/>
      <c r="Q5" s="11"/>
      <c r="R5" s="17"/>
    </row>
    <row r="6" ht="30" customHeight="1" spans="1:18">
      <c r="A6" s="19"/>
      <c r="B6" s="14"/>
      <c r="C6" s="15">
        <v>1563.54</v>
      </c>
      <c r="D6" s="20" t="s">
        <v>55</v>
      </c>
      <c r="E6" s="17"/>
      <c r="F6" s="17"/>
      <c r="G6" s="18">
        <f>C6/100*15*0.855*0.2*0.88*0.8*0.6*1.2</f>
        <v>20.32832153088</v>
      </c>
      <c r="H6" s="17"/>
      <c r="I6" s="17"/>
      <c r="J6" s="17"/>
      <c r="K6" s="17"/>
      <c r="L6" s="17"/>
      <c r="M6" s="17"/>
      <c r="N6" s="17"/>
      <c r="O6" s="17"/>
      <c r="P6" s="17"/>
      <c r="Q6" s="11"/>
      <c r="R6" s="17"/>
    </row>
    <row r="7" ht="30" customHeight="1" spans="1:18">
      <c r="A7" s="13">
        <v>2</v>
      </c>
      <c r="B7" s="21" t="s">
        <v>20</v>
      </c>
      <c r="C7" s="15">
        <f>3426.28</f>
        <v>3426.28</v>
      </c>
      <c r="D7" s="16" t="s">
        <v>22</v>
      </c>
      <c r="E7" s="18"/>
      <c r="F7" s="18"/>
      <c r="G7" s="18">
        <f>C7/100*15*0.145*0.7*0.43*0.82*1.2*0.2</f>
        <v>4.414420522512</v>
      </c>
      <c r="H7" s="18"/>
      <c r="I7" s="18"/>
      <c r="J7" s="18"/>
      <c r="K7" s="18"/>
      <c r="L7" s="18"/>
      <c r="M7" s="18"/>
      <c r="N7" s="18">
        <f>C7/100*15*0.145*0.7*0.36*0.82*1.2*0.2</f>
        <v>3.695793925824</v>
      </c>
      <c r="O7" s="18"/>
      <c r="P7" s="18">
        <f>C7/100*15*0.145*0.7*0.17*0.82*0.2*1.2</f>
        <v>1.745236020528</v>
      </c>
      <c r="Q7" s="40"/>
      <c r="R7" s="41" t="s">
        <v>78</v>
      </c>
    </row>
    <row r="8" ht="30" customHeight="1" spans="1:18">
      <c r="A8" s="19"/>
      <c r="B8" s="14"/>
      <c r="C8" s="15">
        <v>1563.54</v>
      </c>
      <c r="D8" s="22" t="s">
        <v>79</v>
      </c>
      <c r="E8" s="18">
        <f>C8/100*15*0.855*0.6*0.334*0.8*1.2*0.2</f>
        <v>7.715522035584</v>
      </c>
      <c r="F8" s="18"/>
      <c r="G8" s="18"/>
      <c r="H8" s="18">
        <f>C8/100*15*0.855*0.6*0.388*0.8*1.2*0.2</f>
        <v>8.962941765888</v>
      </c>
      <c r="I8" s="18"/>
      <c r="J8" s="18"/>
      <c r="K8" s="18"/>
      <c r="L8" s="18"/>
      <c r="M8" s="18"/>
      <c r="N8" s="18">
        <f>C8/100*15*0.855*0.6*0.13*0.82*1.2*0.2</f>
        <v>3.078123686352</v>
      </c>
      <c r="O8" s="18"/>
      <c r="P8" s="18">
        <f>C8/100*15*0.855*0.6*0.147*0.82*1.2*0.2</f>
        <v>3.4806475530288</v>
      </c>
      <c r="Q8" s="40"/>
      <c r="R8" s="42"/>
    </row>
    <row r="9" ht="30" customHeight="1" spans="1:18">
      <c r="A9" s="19"/>
      <c r="B9" s="14"/>
      <c r="C9" s="15">
        <v>149.6</v>
      </c>
      <c r="D9" s="16" t="s">
        <v>80</v>
      </c>
      <c r="E9" s="18">
        <f>C9/100*15*0.855*0.6*0.334*0.8*1.2*1.3*0.2</f>
        <v>0.959690654208</v>
      </c>
      <c r="F9" s="18"/>
      <c r="G9" s="18"/>
      <c r="H9" s="18">
        <f>C9/100*15*0.855*0.6*0.388*0.8*1.2*1.3*0.2</f>
        <v>1.114850221056</v>
      </c>
      <c r="I9" s="18"/>
      <c r="J9" s="18"/>
      <c r="K9" s="18"/>
      <c r="L9" s="18"/>
      <c r="M9" s="18"/>
      <c r="N9" s="18">
        <f>C9/100*15*0.855*0.6*0.13*0.82*1.2*1.3*0.5</f>
        <v>0.95717649456</v>
      </c>
      <c r="O9" s="18"/>
      <c r="P9" s="18">
        <f>C9/100*15*0.855*0.6*0.147*0.82*1.2*1.3*0.5</f>
        <v>1.082345728464</v>
      </c>
      <c r="Q9" s="40"/>
      <c r="R9" s="42"/>
    </row>
    <row r="10" ht="30" customHeight="1" spans="1:18">
      <c r="A10" s="19"/>
      <c r="B10" s="14"/>
      <c r="C10" s="15">
        <v>1563.54</v>
      </c>
      <c r="D10" s="22" t="s">
        <v>81</v>
      </c>
      <c r="E10" s="18">
        <f>C10/100*15*0.855*0.6*0.334*0.8*1.2*0.2</f>
        <v>7.715522035584</v>
      </c>
      <c r="F10" s="18"/>
      <c r="G10" s="18"/>
      <c r="H10" s="18">
        <f>C10/100*15*0.855*0.6*0.388*0.8*1.2*0.2</f>
        <v>8.962941765888</v>
      </c>
      <c r="I10" s="18"/>
      <c r="J10" s="18"/>
      <c r="K10" s="18"/>
      <c r="L10" s="18"/>
      <c r="M10" s="18"/>
      <c r="N10" s="18">
        <f>C10/100*15*0.855*0.6*0.13*0.82*1.2*0.2</f>
        <v>3.078123686352</v>
      </c>
      <c r="O10" s="18"/>
      <c r="P10" s="18">
        <f>C10/100*15*0.855*0.6*0.147*0.82*1.2*0.2</f>
        <v>3.4806475530288</v>
      </c>
      <c r="Q10" s="40"/>
      <c r="R10" s="42"/>
    </row>
    <row r="11" ht="30" customHeight="1" spans="1:18">
      <c r="A11" s="19"/>
      <c r="B11" s="23"/>
      <c r="C11" s="15">
        <v>149.6</v>
      </c>
      <c r="D11" s="22" t="s">
        <v>82</v>
      </c>
      <c r="E11" s="18">
        <f>C11/100*15*0.855*0.6*0.334*0.8*1.2*1.3*0.2</f>
        <v>0.959690654208</v>
      </c>
      <c r="F11" s="18"/>
      <c r="G11" s="18"/>
      <c r="H11" s="18">
        <f>C11/100*15*0.855*0.6*0.388*0.8*1.2*1.3*0.2</f>
        <v>1.114850221056</v>
      </c>
      <c r="I11" s="18"/>
      <c r="J11" s="18"/>
      <c r="K11" s="18"/>
      <c r="L11" s="18"/>
      <c r="M11" s="18"/>
      <c r="N11" s="18">
        <f>C11/100*15*0.855*0.6*0.13*0.82*1.2*1.3*0.5</f>
        <v>0.95717649456</v>
      </c>
      <c r="O11" s="18"/>
      <c r="P11" s="18">
        <f>C11/100*15*0.855*0.6*0.147*0.82*1.2*1.3*0.5</f>
        <v>1.082345728464</v>
      </c>
      <c r="Q11" s="40"/>
      <c r="R11" s="43"/>
    </row>
    <row r="12" ht="30" customHeight="1" spans="1:18">
      <c r="A12" s="13">
        <v>3</v>
      </c>
      <c r="B12" s="21" t="s">
        <v>83</v>
      </c>
      <c r="C12" s="15">
        <f>3426.28</f>
        <v>3426.28</v>
      </c>
      <c r="D12" s="16" t="s">
        <v>22</v>
      </c>
      <c r="E12" s="18">
        <f>C12/100*15*0.145*0.7*0.43*0.08*1.2</f>
        <v>2.15337586464</v>
      </c>
      <c r="F12" s="18">
        <f>C12/100*15*0.145*0.7*0.43*0.08*1.2</f>
        <v>2.15337586464</v>
      </c>
      <c r="G12" s="18">
        <f>C12/100*15*0.145*0.7*0.43*0.82*1.2</f>
        <v>22.07210261256</v>
      </c>
      <c r="H12" s="18">
        <f>C12/100*15*0.145*0.7*0.04*0.8*1.2</f>
        <v>2.0031403392</v>
      </c>
      <c r="I12" s="18"/>
      <c r="J12" s="18"/>
      <c r="K12" s="18"/>
      <c r="L12" s="18">
        <f>C12/100*15*0.145*0.7*0.36*0.08*1.2</f>
        <v>1.80282630528</v>
      </c>
      <c r="M12" s="18">
        <f>C12/100*15*0.145*0.7*0.36*0.08*1.2</f>
        <v>1.80282630528</v>
      </c>
      <c r="N12" s="18">
        <f>C12/100*15*0.145*0.7*0.36*0.82*1.2</f>
        <v>18.47896962912</v>
      </c>
      <c r="O12" s="18">
        <f>C12/100*15*0.145*0.7*0.17*0.82*0.2*1.2</f>
        <v>1.745236020528</v>
      </c>
      <c r="P12" s="18">
        <f>C12/100*15*0.145*0.7*0.17*0.82*0.8*1.2</f>
        <v>6.980944082112</v>
      </c>
      <c r="Q12" s="40"/>
      <c r="R12" s="44"/>
    </row>
    <row r="13" ht="30" customHeight="1" spans="1:18">
      <c r="A13" s="19"/>
      <c r="B13" s="14"/>
      <c r="C13" s="15">
        <v>1563.54</v>
      </c>
      <c r="D13" s="22" t="s">
        <v>79</v>
      </c>
      <c r="E13" s="18">
        <f>C13/100*15*0.855*0.6*0.334*0.8*1.2</f>
        <v>38.57761017792</v>
      </c>
      <c r="F13" s="18">
        <f>C13/100*15*0.855*0.6*0.334*0.08*1.2</f>
        <v>3.857761017792</v>
      </c>
      <c r="G13" s="18">
        <f>C13/100*15*0.855*0.6*0.334*0.1*1.2</f>
        <v>4.82220127224</v>
      </c>
      <c r="H13" s="18">
        <f>C13/100*15*0.855*0.6*0.388*0.8*1.2</f>
        <v>44.81470882944</v>
      </c>
      <c r="I13" s="18">
        <f>C13/100*15*0.855*0.6*0.388*0.1*1.2</f>
        <v>5.60183860368</v>
      </c>
      <c r="J13" s="18">
        <f>C13/100*15*0.855*0.6*0.388*0.08*1.2</f>
        <v>4.481470882944</v>
      </c>
      <c r="K13" s="18"/>
      <c r="L13" s="18">
        <f>C13/100*15*0.855*0.6*0.13*0.08*1.2</f>
        <v>1.50152374944</v>
      </c>
      <c r="M13" s="18">
        <f>C13/100*15*0.855*0.6*0.13*0.08*1.2</f>
        <v>1.50152374944</v>
      </c>
      <c r="N13" s="18">
        <f>C13/100*15*0.855*0.6*0.13*0.82*1.2</f>
        <v>15.39061843176</v>
      </c>
      <c r="O13" s="18">
        <f>C13/100*15*0.855*0.6*0.147*0.82*0.2*1.2</f>
        <v>3.4806475530288</v>
      </c>
      <c r="P13" s="18">
        <f>C13/100*15*0.855*0.6*0.147*0.82*0.8*1.2</f>
        <v>13.9225902121152</v>
      </c>
      <c r="Q13" s="40"/>
      <c r="R13" s="44"/>
    </row>
    <row r="14" ht="30" customHeight="1" spans="1:18">
      <c r="A14" s="19"/>
      <c r="B14" s="14"/>
      <c r="C14" s="15">
        <v>149.6</v>
      </c>
      <c r="D14" s="16" t="s">
        <v>80</v>
      </c>
      <c r="E14" s="18">
        <f>C14/100*15*0.855*0.6*0.334*0.8*1.2*1.3</f>
        <v>4.79845327104</v>
      </c>
      <c r="F14" s="18">
        <f>C14/100*15*0.855*0.6*0.334*0.08*1.2*1.3</f>
        <v>0.479845327104</v>
      </c>
      <c r="G14" s="18">
        <f>C14/100*15*0.855*0.6*0.334*0.1*1.2*1.3</f>
        <v>0.59980665888</v>
      </c>
      <c r="H14" s="18">
        <f>C14/100*15*0.855*0.6*0.388*0.8*1.2*1.3</f>
        <v>5.57425110528</v>
      </c>
      <c r="I14" s="18">
        <f>C14/100*15*0.855*0.6*0.388*0.1*1.2*1.3</f>
        <v>0.69678138816</v>
      </c>
      <c r="J14" s="18">
        <f>C14/100*15*0.855*0.6*0.388*0.08*1.2*1.3</f>
        <v>0.557425110528</v>
      </c>
      <c r="K14" s="18"/>
      <c r="L14" s="18">
        <f>C14/100*15*0.855*0.6*0.13*0.08*1.2*1.3</f>
        <v>0.18676614528</v>
      </c>
      <c r="M14" s="18">
        <f>C14/100*15*0.855*0.6*0.13*0.08*1.2*1.3</f>
        <v>0.18676614528</v>
      </c>
      <c r="N14" s="18">
        <f>C14/100*15*0.855*0.6*0.13*0.82*1.2*1.3</f>
        <v>1.91435298912</v>
      </c>
      <c r="O14" s="18">
        <f>C14/100*15*0.855*0.6*0.147*0.82*0.2*1.2*1.3</f>
        <v>0.4329382913856</v>
      </c>
      <c r="P14" s="18">
        <f>C14/100*15*0.855*0.6*0.147*0.82*0.8*1.2*1.3</f>
        <v>1.7317531655424</v>
      </c>
      <c r="Q14" s="40"/>
      <c r="R14" s="44"/>
    </row>
    <row r="15" ht="30" customHeight="1" spans="1:18">
      <c r="A15" s="19"/>
      <c r="B15" s="14"/>
      <c r="C15" s="15">
        <v>1563.54</v>
      </c>
      <c r="D15" s="22" t="s">
        <v>81</v>
      </c>
      <c r="E15" s="18">
        <f>C15/100*15*0.855*0.6*0.334*0.8*1.2*0.2</f>
        <v>7.715522035584</v>
      </c>
      <c r="F15" s="18">
        <f>C15/100*15*0.855*0.6*0.334*0.08*1.2*0.2</f>
        <v>0.7715522035584</v>
      </c>
      <c r="G15" s="18">
        <f>C15/100*15*0.855*0.6*0.334*0.1*1.2*0.2</f>
        <v>0.964440254448</v>
      </c>
      <c r="H15" s="18">
        <f>C15/100*15*0.855*0.6*0.388*0.8*1.2*0.2</f>
        <v>8.962941765888</v>
      </c>
      <c r="I15" s="18">
        <f>C15/100*15*0.855*0.6*0.388*0.1*1.2*0.2</f>
        <v>1.120367720736</v>
      </c>
      <c r="J15" s="18">
        <f>C15/100*15*0.855*0.6*0.388*0.08*1.2*0.2</f>
        <v>0.8962941765888</v>
      </c>
      <c r="K15" s="18"/>
      <c r="L15" s="18">
        <f>C15/100*15*0.855*0.6*0.13*0.08*1.2*0.2</f>
        <v>0.300304749888</v>
      </c>
      <c r="M15" s="18">
        <f>C15/100*15*0.855*0.6*0.13*0.08*1.2*0.2</f>
        <v>0.300304749888</v>
      </c>
      <c r="N15" s="18">
        <f>C15/100*15*0.855*0.6*0.13*0.82*1.2*0.2</f>
        <v>3.078123686352</v>
      </c>
      <c r="O15" s="18">
        <f>C15/100*15*0.855*0.6*0.147*0.82*0.2*1.2*0.2</f>
        <v>0.69612951060576</v>
      </c>
      <c r="P15" s="18">
        <f>C15/100*15*0.855*0.6*0.147*0.82*0.8*1.2*0.2</f>
        <v>2.78451804242304</v>
      </c>
      <c r="Q15" s="40"/>
      <c r="R15" s="44"/>
    </row>
    <row r="16" ht="30" customHeight="1" spans="1:18">
      <c r="A16" s="24"/>
      <c r="B16" s="23"/>
      <c r="C16" s="15">
        <v>149.6</v>
      </c>
      <c r="D16" s="22" t="s">
        <v>82</v>
      </c>
      <c r="E16" s="18">
        <f>C16/100*15*0.855*0.6*0.334*0.8*1.2*1.3*0.2</f>
        <v>0.959690654208</v>
      </c>
      <c r="F16" s="18">
        <f>C16/100*15*0.855*0.6*0.334*0.08*1.2*1.3*0.2</f>
        <v>0.0959690654208</v>
      </c>
      <c r="G16" s="18">
        <f>C16/100*15*0.855*0.6*0.334*0.1*1.2*1.3*0.2</f>
        <v>0.119961331776</v>
      </c>
      <c r="H16" s="18">
        <f>C16/100*15*0.855*0.6*0.388*0.8*1.2*1.3*0.2</f>
        <v>1.114850221056</v>
      </c>
      <c r="I16" s="18">
        <f>C16/100*15*0.855*0.6*0.388*0.1*1.2*1.3*0.2</f>
        <v>0.139356277632</v>
      </c>
      <c r="J16" s="18">
        <f>C16/100*15*0.855*0.6*0.388*0.08*1.2*1.3*0.2</f>
        <v>0.1114850221056</v>
      </c>
      <c r="K16" s="18"/>
      <c r="L16" s="18">
        <f>C16/100*15*0.855*0.6*0.13*0.08*1.2*1.3*0.5</f>
        <v>0.09338307264</v>
      </c>
      <c r="M16" s="18">
        <f>C16/100*15*0.855*0.6*0.13*0.08*1.2*1.3*0.5</f>
        <v>0.09338307264</v>
      </c>
      <c r="N16" s="18">
        <f>C16/100*15*0.855*0.6*0.13*0.82*1.2*1.3*0.5</f>
        <v>0.95717649456</v>
      </c>
      <c r="O16" s="18">
        <f>C16/100*15*0.855*0.6*0.147*0.82*0.2*1.2*1.3*0.5</f>
        <v>0.2164691456928</v>
      </c>
      <c r="P16" s="18">
        <f>C16/100*15*0.855*0.6*0.147*0.82*0.8*1.2*1.3*0.5</f>
        <v>0.8658765827712</v>
      </c>
      <c r="Q16" s="40"/>
      <c r="R16" s="44"/>
    </row>
    <row r="17" ht="30" customHeight="1" spans="1:18">
      <c r="A17" s="25">
        <v>6</v>
      </c>
      <c r="B17" s="15"/>
      <c r="C17" s="20"/>
      <c r="D17" s="16" t="s">
        <v>50</v>
      </c>
      <c r="E17" s="18"/>
      <c r="F17" s="18"/>
      <c r="G17" s="26">
        <f>D23*0.09</f>
        <v>12.6737749991508</v>
      </c>
      <c r="H17" s="18"/>
      <c r="I17" s="18"/>
      <c r="J17" s="18"/>
      <c r="K17" s="18"/>
      <c r="L17" s="18"/>
      <c r="M17" s="18"/>
      <c r="N17" s="27"/>
      <c r="O17" s="27"/>
      <c r="P17" s="27"/>
      <c r="Q17" s="40"/>
      <c r="R17" s="44"/>
    </row>
    <row r="18" ht="30" customHeight="1" spans="1:18">
      <c r="A18" s="25">
        <f t="shared" ref="A18:A20" si="0">A17+1</f>
        <v>7</v>
      </c>
      <c r="B18" s="15"/>
      <c r="C18" s="20"/>
      <c r="D18" s="16" t="s">
        <v>51</v>
      </c>
      <c r="E18" s="27"/>
      <c r="F18" s="27"/>
      <c r="G18" s="27"/>
      <c r="H18" s="26">
        <f>D24*0.09</f>
        <v>8.66074458754137</v>
      </c>
      <c r="I18" s="18"/>
      <c r="J18" s="18"/>
      <c r="K18" s="27"/>
      <c r="L18" s="27"/>
      <c r="M18" s="27"/>
      <c r="N18" s="27"/>
      <c r="O18" s="27"/>
      <c r="P18" s="27"/>
      <c r="Q18" s="40"/>
      <c r="R18" s="44"/>
    </row>
    <row r="19" ht="30" customHeight="1" spans="1:18">
      <c r="A19" s="25">
        <f t="shared" si="0"/>
        <v>8</v>
      </c>
      <c r="B19" s="15"/>
      <c r="C19" s="20"/>
      <c r="D19" s="16" t="s">
        <v>52</v>
      </c>
      <c r="E19" s="27"/>
      <c r="F19" s="27"/>
      <c r="G19" s="27"/>
      <c r="H19" s="27"/>
      <c r="I19" s="27"/>
      <c r="J19" s="27"/>
      <c r="K19" s="18"/>
      <c r="L19" s="18"/>
      <c r="M19" s="18"/>
      <c r="N19" s="26">
        <f>D25*0.09</f>
        <v>5.34197192072544</v>
      </c>
      <c r="O19" s="27"/>
      <c r="P19" s="27"/>
      <c r="Q19" s="40"/>
      <c r="R19" s="44"/>
    </row>
    <row r="20" ht="30" customHeight="1" spans="1:18">
      <c r="A20" s="25">
        <f t="shared" si="0"/>
        <v>9</v>
      </c>
      <c r="B20" s="15"/>
      <c r="C20" s="20"/>
      <c r="D20" s="16" t="s">
        <v>53</v>
      </c>
      <c r="E20" s="27"/>
      <c r="F20" s="27"/>
      <c r="G20" s="27"/>
      <c r="H20" s="27"/>
      <c r="I20" s="27"/>
      <c r="J20" s="27"/>
      <c r="K20" s="18"/>
      <c r="L20" s="18"/>
      <c r="M20" s="18"/>
      <c r="N20" s="27"/>
      <c r="O20" s="35">
        <f>D26*0.09</f>
        <v>3.93554926707465</v>
      </c>
      <c r="P20" s="27"/>
      <c r="Q20" s="40"/>
      <c r="R20" s="44"/>
    </row>
    <row r="21" ht="30" customHeight="1" spans="1:18">
      <c r="A21" s="25">
        <v>6</v>
      </c>
      <c r="B21" s="23"/>
      <c r="C21" s="15"/>
      <c r="D21" s="27" t="s">
        <v>40</v>
      </c>
      <c r="E21" s="26"/>
      <c r="F21" s="26"/>
      <c r="G21" s="26"/>
      <c r="H21" s="26"/>
      <c r="I21" s="26"/>
      <c r="J21" s="26"/>
      <c r="K21" s="26">
        <f>D27*0.15</f>
        <v>51.0200679574872</v>
      </c>
      <c r="L21" s="26"/>
      <c r="M21" s="26"/>
      <c r="N21" s="26"/>
      <c r="O21" s="36"/>
      <c r="P21" s="37"/>
      <c r="Q21" s="45"/>
      <c r="R21" s="44"/>
    </row>
    <row r="22" ht="30" customHeight="1" spans="1:18">
      <c r="A22" s="28" t="s">
        <v>41</v>
      </c>
      <c r="B22" s="29"/>
      <c r="C22" s="19"/>
      <c r="D22" s="18"/>
      <c r="E22" s="30">
        <f t="shared" ref="E22:O22" si="1">SUM(E5:E21)</f>
        <v>71.555077382976</v>
      </c>
      <c r="F22" s="30">
        <f t="shared" si="1"/>
        <v>7.3585034785152</v>
      </c>
      <c r="G22" s="30">
        <f t="shared" si="1"/>
        <v>74.5799163504468</v>
      </c>
      <c r="H22" s="30">
        <f t="shared" si="1"/>
        <v>91.2862208222934</v>
      </c>
      <c r="I22" s="30">
        <f t="shared" si="1"/>
        <v>7.558343990208</v>
      </c>
      <c r="J22" s="30">
        <f t="shared" si="1"/>
        <v>6.0466751921664</v>
      </c>
      <c r="K22" s="30">
        <f t="shared" si="1"/>
        <v>51.0200679574872</v>
      </c>
      <c r="L22" s="30">
        <f t="shared" si="1"/>
        <v>3.884804022528</v>
      </c>
      <c r="M22" s="30">
        <f t="shared" si="1"/>
        <v>3.884804022528</v>
      </c>
      <c r="N22" s="30">
        <f t="shared" si="1"/>
        <v>56.9276074392854</v>
      </c>
      <c r="O22" s="30">
        <f t="shared" si="1"/>
        <v>10.5069697883156</v>
      </c>
      <c r="P22" s="30"/>
      <c r="Q22" s="46">
        <f>SUM(E22:P22)</f>
        <v>384.60899044675</v>
      </c>
      <c r="R22" s="30"/>
    </row>
    <row r="23" ht="30" customHeight="1" spans="1:18">
      <c r="A23" s="16" t="s">
        <v>84</v>
      </c>
      <c r="B23" s="31"/>
      <c r="C23" s="25"/>
      <c r="D23" s="18">
        <f>SUM(E5:G16)</f>
        <v>140.819722212787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47"/>
    </row>
    <row r="24" ht="30" customHeight="1" spans="1:18">
      <c r="A24" s="16" t="s">
        <v>85</v>
      </c>
      <c r="B24" s="31"/>
      <c r="C24" s="25"/>
      <c r="D24" s="18">
        <f>SUM(H7:J16)</f>
        <v>96.2304954171264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47"/>
    </row>
    <row r="25" ht="30" customHeight="1" spans="1:18">
      <c r="A25" s="16" t="s">
        <v>86</v>
      </c>
      <c r="B25" s="31"/>
      <c r="C25" s="25"/>
      <c r="D25" s="18">
        <f>SUM(L7:N16)</f>
        <v>59.355243563616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47"/>
    </row>
    <row r="26" ht="30" customHeight="1" spans="1:18">
      <c r="A26" s="16" t="s">
        <v>87</v>
      </c>
      <c r="B26" s="31"/>
      <c r="C26" s="25"/>
      <c r="D26" s="18">
        <f>SUM(O7:P16)</f>
        <v>43.7283251897184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47"/>
    </row>
    <row r="27" ht="30" customHeight="1" spans="1:18">
      <c r="A27" s="16" t="s">
        <v>42</v>
      </c>
      <c r="B27" s="31"/>
      <c r="C27" s="25"/>
      <c r="D27" s="18">
        <f>SUM(E5:P16)</f>
        <v>340.133786383248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47"/>
    </row>
  </sheetData>
  <mergeCells count="30">
    <mergeCell ref="A1:R1"/>
    <mergeCell ref="E2:P2"/>
    <mergeCell ref="E3:G3"/>
    <mergeCell ref="H3:K3"/>
    <mergeCell ref="L3:N3"/>
    <mergeCell ref="O3:P3"/>
    <mergeCell ref="A22:C22"/>
    <mergeCell ref="A23:C23"/>
    <mergeCell ref="E23:R23"/>
    <mergeCell ref="A24:C24"/>
    <mergeCell ref="E24:R24"/>
    <mergeCell ref="A25:C25"/>
    <mergeCell ref="E25:R25"/>
    <mergeCell ref="A26:C26"/>
    <mergeCell ref="E26:R26"/>
    <mergeCell ref="A27:C27"/>
    <mergeCell ref="E27:R27"/>
    <mergeCell ref="A2:A4"/>
    <mergeCell ref="A5:A6"/>
    <mergeCell ref="A7:A11"/>
    <mergeCell ref="A12:A16"/>
    <mergeCell ref="B2:B4"/>
    <mergeCell ref="B5:B6"/>
    <mergeCell ref="B7:B11"/>
    <mergeCell ref="B12:B16"/>
    <mergeCell ref="C2:C4"/>
    <mergeCell ref="D2:D4"/>
    <mergeCell ref="Q2:Q4"/>
    <mergeCell ref="R2:R4"/>
    <mergeCell ref="R7:R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新瑞</vt:lpstr>
      <vt:lpstr>洛市设备库</vt:lpstr>
      <vt:lpstr>都昌基地</vt:lpstr>
      <vt:lpstr>万年基地 </vt:lpstr>
      <vt:lpstr>萍乡绕城方案</vt:lpstr>
      <vt:lpstr>遂川服务区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降落伞</cp:lastModifiedBy>
  <cp:revision>1</cp:revision>
  <dcterms:created xsi:type="dcterms:W3CDTF">2014-04-18T07:33:00Z</dcterms:created>
  <cp:lastPrinted>2021-01-14T04:12:00Z</cp:lastPrinted>
  <dcterms:modified xsi:type="dcterms:W3CDTF">2025-06-10T03:39:30Z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D2ACE7C68B1C4781AD34F6FB13E6265E_12</vt:lpwstr>
  </property>
</Properties>
</file>