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950" activeTab="1"/>
  </bookViews>
  <sheets>
    <sheet name="吉安天福服务区提质升级改造工程" sheetId="15" r:id="rId1"/>
    <sheet name="2024老旧小区算工日" sheetId="14" r:id="rId2"/>
    <sheet name="2024年度市中心城区青云街办老旧小区抚州市荆公路等6个片区" sheetId="16" r:id="rId3"/>
    <sheet name="东埠高岭古遗址修复配套设施提质工程（2025年）" sheetId="18" r:id="rId4"/>
    <sheet name="通铜项目" sheetId="20" r:id="rId5"/>
    <sheet name="四川交通职工俱乐部维修加固工程" sheetId="17" r:id="rId6"/>
  </sheets>
  <calcPr calcId="144525"/>
</workbook>
</file>

<file path=xl/sharedStrings.xml><?xml version="1.0" encoding="utf-8"?>
<sst xmlns="http://schemas.openxmlformats.org/spreadsheetml/2006/main" count="590" uniqueCount="185">
  <si>
    <t>建筑</t>
  </si>
  <si>
    <t>结构</t>
  </si>
  <si>
    <t>给排水</t>
  </si>
  <si>
    <t>电</t>
  </si>
  <si>
    <t>暖通</t>
  </si>
  <si>
    <t>方案</t>
  </si>
  <si>
    <t>单体</t>
  </si>
  <si>
    <t>总图</t>
  </si>
  <si>
    <t>初步设计</t>
  </si>
  <si>
    <t>施工图</t>
  </si>
  <si>
    <t>总图（交通口项目）：</t>
  </si>
  <si>
    <t>全专业</t>
  </si>
  <si>
    <t>电气</t>
  </si>
  <si>
    <t>合计</t>
  </si>
  <si>
    <t>备注</t>
  </si>
  <si>
    <r>
      <rPr>
        <b/>
        <sz val="11"/>
        <color indexed="8"/>
        <rFont val="宋体"/>
        <charset val="134"/>
      </rPr>
      <t>无暖通专业时，暖通比例按照</t>
    </r>
    <r>
      <rPr>
        <b/>
        <sz val="11"/>
        <color indexed="8"/>
        <rFont val="Times New Roman"/>
        <charset val="134"/>
      </rPr>
      <t>1:1</t>
    </r>
    <r>
      <rPr>
        <b/>
        <sz val="11"/>
        <color indexed="8"/>
        <rFont val="宋体"/>
        <charset val="134"/>
      </rPr>
      <t>分配给水、电专业</t>
    </r>
  </si>
  <si>
    <t>无暖通专业时，暖通比例全部分配给电专业</t>
  </si>
  <si>
    <r>
      <rPr>
        <b/>
        <sz val="11"/>
        <color indexed="8"/>
        <rFont val="宋体"/>
        <charset val="134"/>
      </rPr>
      <t>无暖通专业时，暖通比例按照</t>
    </r>
    <r>
      <rPr>
        <b/>
        <sz val="11"/>
        <color indexed="8"/>
        <rFont val="Times New Roman"/>
        <charset val="134"/>
      </rPr>
      <t>2:1</t>
    </r>
    <r>
      <rPr>
        <b/>
        <sz val="11"/>
        <color indexed="8"/>
        <rFont val="宋体"/>
        <charset val="134"/>
      </rPr>
      <t>分配给水、电专业</t>
    </r>
  </si>
  <si>
    <t>吉安天福服务区提质升级改造工程计算表</t>
  </si>
  <si>
    <t>序号</t>
  </si>
  <si>
    <t>设计阶段</t>
  </si>
  <si>
    <t>子项名称</t>
  </si>
  <si>
    <t>单体名称</t>
  </si>
  <si>
    <t>总图占地或建筑面积</t>
  </si>
  <si>
    <t>总工日</t>
  </si>
  <si>
    <t>备注（初步设计与施工图合并）</t>
  </si>
  <si>
    <t>建筑专业</t>
  </si>
  <si>
    <t>结构专业</t>
  </si>
  <si>
    <t>给排水专业</t>
  </si>
  <si>
    <t>电气专业</t>
  </si>
  <si>
    <t>亮化</t>
  </si>
  <si>
    <t>土方平衡</t>
  </si>
  <si>
    <t>土方防护</t>
  </si>
  <si>
    <t>刘慧彬</t>
  </si>
  <si>
    <t>周予进</t>
  </si>
  <si>
    <t>刘国印</t>
  </si>
  <si>
    <t>外委</t>
  </si>
  <si>
    <t>装修外委</t>
  </si>
  <si>
    <t>魏强</t>
  </si>
  <si>
    <t>沙子滔</t>
  </si>
  <si>
    <t>胡志雄</t>
  </si>
  <si>
    <t>朱凤琪</t>
  </si>
  <si>
    <t>梁翾翾</t>
  </si>
  <si>
    <t>温春辉</t>
  </si>
  <si>
    <t>周金民</t>
  </si>
  <si>
    <t>刘扬</t>
  </si>
  <si>
    <t>余洋</t>
  </si>
  <si>
    <t>谢信忠</t>
  </si>
  <si>
    <t>东区综合楼</t>
  </si>
  <si>
    <t>西区综合楼</t>
  </si>
  <si>
    <t>东区设备房</t>
  </si>
  <si>
    <t>西区设备房</t>
  </si>
  <si>
    <t>警务执法室</t>
  </si>
  <si>
    <t>东区维修车间（改造）</t>
  </si>
  <si>
    <t>西区维修车间（改造）</t>
  </si>
  <si>
    <t>天安楼（改造）</t>
  </si>
  <si>
    <t>专业负责人</t>
  </si>
  <si>
    <t>项目负责人</t>
  </si>
  <si>
    <t>建筑专业总工日：</t>
  </si>
  <si>
    <t>结构专业总工日：</t>
  </si>
  <si>
    <t>给排水专业总工日：</t>
  </si>
  <si>
    <t>电气专业总工日：</t>
  </si>
  <si>
    <t>暖通专业总工日：</t>
  </si>
  <si>
    <t>项目总工日：</t>
  </si>
  <si>
    <t>2024老旧小区房建工程工日计算表</t>
  </si>
  <si>
    <t>魏智超</t>
  </si>
  <si>
    <t>张瑞琪</t>
  </si>
  <si>
    <t>尹敏威</t>
  </si>
  <si>
    <t>陶澍</t>
  </si>
  <si>
    <t>象湖公寓南区</t>
  </si>
  <si>
    <t>总图占地面积</t>
  </si>
  <si>
    <t>住宅单体（刷漆）</t>
  </si>
  <si>
    <t>刷漆面积</t>
  </si>
  <si>
    <t>楼道（刷白店招栏杆立面雨水管）</t>
  </si>
  <si>
    <t>围墙/门头</t>
  </si>
  <si>
    <t>地下室</t>
  </si>
  <si>
    <t>建筑面积</t>
  </si>
  <si>
    <t>象湖公寓北区</t>
  </si>
  <si>
    <t xml:space="preserve"> </t>
  </si>
  <si>
    <t>广州路立面改造</t>
  </si>
  <si>
    <t>纯立面改造</t>
  </si>
  <si>
    <t>干休所雨污分流</t>
  </si>
  <si>
    <t>纯雨污分流</t>
  </si>
  <si>
    <t>总图（建设口项目）：</t>
  </si>
  <si>
    <t>审核</t>
  </si>
  <si>
    <t>审校</t>
  </si>
  <si>
    <t>审定</t>
  </si>
  <si>
    <t>楼道（刷白店招栏杆）</t>
  </si>
  <si>
    <t>注册章</t>
  </si>
  <si>
    <t>设计代表驻场工日</t>
  </si>
  <si>
    <t>抚州市中心城区荆公路等6个片区套名初步设计工日计算表</t>
  </si>
  <si>
    <t>单位（㎡）</t>
  </si>
  <si>
    <t>道路专业</t>
  </si>
  <si>
    <t>胡启力</t>
  </si>
  <si>
    <t>肖超群</t>
  </si>
  <si>
    <t>沙子韬</t>
  </si>
  <si>
    <t>郭勤</t>
  </si>
  <si>
    <t>青云街办片区</t>
  </si>
  <si>
    <t>结构仅为屋顶构架大样一张图。道路仅计算总图</t>
  </si>
  <si>
    <t>荆公路等6个片区</t>
  </si>
  <si>
    <t>建筑专业负责人</t>
  </si>
  <si>
    <t>结构专业负责人</t>
  </si>
  <si>
    <t>给排水专业负责人</t>
  </si>
  <si>
    <t>电气专业负责人</t>
  </si>
  <si>
    <t>道路专业负责人</t>
  </si>
  <si>
    <t>统一打1折</t>
  </si>
  <si>
    <t>占比</t>
  </si>
  <si>
    <t xml:space="preserve">   </t>
  </si>
  <si>
    <t>道路专业总工日：</t>
  </si>
  <si>
    <t>东埠高岭施工图工日计算表（2025年结算）</t>
  </si>
  <si>
    <t>名称</t>
  </si>
  <si>
    <t>熊高亮</t>
  </si>
  <si>
    <t>东埠高岭古遗址修复配套设施片区</t>
  </si>
  <si>
    <t>后期增加了一个厕所</t>
  </si>
  <si>
    <t>通铜房建施工图工日计算表</t>
  </si>
  <si>
    <t>总建筑面积（平方米）</t>
  </si>
  <si>
    <t>单体面积</t>
  </si>
  <si>
    <t>施设方案</t>
  </si>
  <si>
    <t>石坳服务区</t>
  </si>
  <si>
    <t>综合楼+总图</t>
  </si>
  <si>
    <t>西向服务区</t>
  </si>
  <si>
    <t>所站单体</t>
  </si>
  <si>
    <t>收费大棚</t>
  </si>
  <si>
    <t>所站总图</t>
  </si>
  <si>
    <t>·</t>
  </si>
  <si>
    <t>西综合楼</t>
  </si>
  <si>
    <t>A东综合楼</t>
  </si>
  <si>
    <t>维修车间西</t>
  </si>
  <si>
    <t>A维修车间东</t>
  </si>
  <si>
    <t>警务室</t>
  </si>
  <si>
    <t>设备房西</t>
  </si>
  <si>
    <t>A设备房东</t>
  </si>
  <si>
    <t>宿舍楼</t>
  </si>
  <si>
    <t>综合楼西</t>
  </si>
  <si>
    <t>综合楼东</t>
  </si>
  <si>
    <t>A维修车间西</t>
  </si>
  <si>
    <t>A警务室</t>
  </si>
  <si>
    <t>A宿舍楼</t>
  </si>
  <si>
    <t>总图（停车区）</t>
  </si>
  <si>
    <t>白岭收费站</t>
  </si>
  <si>
    <t>办公楼1</t>
  </si>
  <si>
    <t>宿舍1</t>
  </si>
  <si>
    <t>设备房1</t>
  </si>
  <si>
    <t>食堂1</t>
  </si>
  <si>
    <t>石坳收费站</t>
  </si>
  <si>
    <t>收费站</t>
  </si>
  <si>
    <t>站务房</t>
  </si>
  <si>
    <t>办公楼2</t>
  </si>
  <si>
    <t>宿舍2</t>
  </si>
  <si>
    <t>设备房2</t>
  </si>
  <si>
    <t>食堂2</t>
  </si>
  <si>
    <t>修水石坳养护站（含桥隧监控通信站）</t>
  </si>
  <si>
    <t>办公楼3</t>
  </si>
  <si>
    <t>门卫</t>
  </si>
  <si>
    <t>宿舍3</t>
  </si>
  <si>
    <t>食堂3</t>
  </si>
  <si>
    <t>设备库</t>
  </si>
  <si>
    <t>石坳交警中队</t>
  </si>
  <si>
    <t>综合楼</t>
  </si>
  <si>
    <t>A门卫</t>
  </si>
  <si>
    <t>石坳路政中队</t>
  </si>
  <si>
    <t>石坳清障中队</t>
  </si>
  <si>
    <t>办公楼4</t>
  </si>
  <si>
    <t>A宿舍1</t>
  </si>
  <si>
    <t>A食堂1</t>
  </si>
  <si>
    <t>A设备库</t>
  </si>
  <si>
    <t>港口互通收费站</t>
  </si>
  <si>
    <t>A办公楼1</t>
  </si>
  <si>
    <t>A设备房2</t>
  </si>
  <si>
    <t>港口养护站</t>
  </si>
  <si>
    <t>A办公楼4</t>
  </si>
  <si>
    <t>铜鼓港口路政中队</t>
  </si>
  <si>
    <t>A综合楼</t>
  </si>
  <si>
    <t>铜鼓港口清障中队</t>
  </si>
  <si>
    <t>铜鼓西向服务区简易互通收费站</t>
  </si>
  <si>
    <t>西向简易收费站</t>
  </si>
  <si>
    <t>宿舍4</t>
  </si>
  <si>
    <t>A设备房1</t>
  </si>
  <si>
    <t>食堂4</t>
  </si>
  <si>
    <t>修水西收费站</t>
  </si>
  <si>
    <t>隧道变电所</t>
  </si>
  <si>
    <t>水泵房</t>
  </si>
  <si>
    <t>2023合计（方案全算，施工图占0.4）</t>
  </si>
  <si>
    <t>2024合计（施工图占0.6）</t>
  </si>
  <si>
    <r>
      <rPr>
        <b/>
        <sz val="12"/>
        <color rgb="FF000000"/>
        <rFont val="宋体"/>
        <charset val="134"/>
      </rPr>
      <t>四川交通职工俱乐部维修加固工程（</t>
    </r>
    <r>
      <rPr>
        <b/>
        <sz val="12"/>
        <color rgb="FFFF0000"/>
        <rFont val="宋体"/>
        <charset val="134"/>
      </rPr>
      <t>应现金结算，出具了审核意见</t>
    </r>
    <r>
      <rPr>
        <b/>
        <sz val="12"/>
        <color rgb="FF000000"/>
        <rFont val="宋体"/>
        <charset val="134"/>
      </rPr>
      <t>）</t>
    </r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</si>
</sst>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;[Red]0.00"/>
    <numFmt numFmtId="178" formatCode="0.00_ "/>
  </numFmts>
  <fonts count="50">
    <font>
      <sz val="11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b/>
      <sz val="12"/>
      <color rgb="FFFF0000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2"/>
      <color indexed="8"/>
      <name val="宋体"/>
      <charset val="134"/>
    </font>
    <font>
      <b/>
      <sz val="12"/>
      <color indexed="8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indexed="8"/>
      <name val="Times New Roman"/>
      <charset val="134"/>
    </font>
    <font>
      <sz val="16"/>
      <color indexed="8"/>
      <name val="宋体"/>
      <charset val="134"/>
    </font>
    <font>
      <b/>
      <sz val="16"/>
      <color indexed="8"/>
      <name val="宋体"/>
      <charset val="134"/>
    </font>
    <font>
      <b/>
      <sz val="16"/>
      <color rgb="FFFF0000"/>
      <name val="Times New Roman"/>
      <charset val="134"/>
    </font>
    <font>
      <b/>
      <sz val="16"/>
      <color indexed="8"/>
      <name val="Times New Roman"/>
      <charset val="134"/>
    </font>
    <font>
      <b/>
      <sz val="16"/>
      <color indexed="8"/>
      <name val="Microsoft YaHei"/>
      <charset val="134"/>
    </font>
    <font>
      <b/>
      <sz val="11"/>
      <color indexed="8"/>
      <name val="Microsoft YaHei"/>
      <charset val="134"/>
    </font>
    <font>
      <sz val="10"/>
      <color indexed="8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indexed="8"/>
      <name val="Microsoft YaHei"/>
      <charset val="134"/>
    </font>
    <font>
      <sz val="10"/>
      <name val="宋体"/>
      <charset val="134"/>
    </font>
    <font>
      <b/>
      <sz val="11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b/>
      <sz val="11"/>
      <color rgb="FFFF0000"/>
      <name val="Times New Roman"/>
      <charset val="134"/>
    </font>
    <font>
      <b/>
      <sz val="9"/>
      <color indexed="8"/>
      <name val="宋体"/>
      <charset val="134"/>
    </font>
    <font>
      <b/>
      <sz val="9"/>
      <color rgb="FFFF0000"/>
      <name val="Times New Roman"/>
      <charset val="134"/>
    </font>
    <font>
      <b/>
      <sz val="9"/>
      <color indexed="8"/>
      <name val="Times New Roma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rgb="FF000000"/>
      </bottom>
      <diagonal/>
    </border>
    <border>
      <left/>
      <right style="medium">
        <color rgb="FF000000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0" fillId="0" borderId="0" applyFon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4" borderId="47" applyNumberFormat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8" borderId="48" applyNumberFormat="0" applyFon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49" applyNumberFormat="0" applyFill="0" applyAlignment="0" applyProtection="0">
      <alignment vertical="center"/>
    </xf>
    <xf numFmtId="0" fontId="42" fillId="0" borderId="49" applyNumberFormat="0" applyFill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7" fillId="0" borderId="50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43" fillId="12" borderId="51" applyNumberFormat="0" applyAlignment="0" applyProtection="0">
      <alignment vertical="center"/>
    </xf>
    <xf numFmtId="0" fontId="44" fillId="12" borderId="47" applyNumberFormat="0" applyAlignment="0" applyProtection="0">
      <alignment vertical="center"/>
    </xf>
    <xf numFmtId="0" fontId="45" fillId="13" borderId="52" applyNumberFormat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46" fillId="0" borderId="53" applyNumberFormat="0" applyFill="0" applyAlignment="0" applyProtection="0">
      <alignment vertical="center"/>
    </xf>
    <xf numFmtId="0" fontId="47" fillId="0" borderId="54" applyNumberFormat="0" applyFill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</cellStyleXfs>
  <cellXfs count="203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177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177" fontId="0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77" fontId="0" fillId="0" borderId="0" xfId="0" applyNumberFormat="1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177" fontId="7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177" fontId="0" fillId="0" borderId="0" xfId="0" applyNumberFormat="1" applyFont="1" applyFill="1" applyBorder="1" applyAlignment="1">
      <alignment vertical="center"/>
    </xf>
    <xf numFmtId="177" fontId="0" fillId="2" borderId="0" xfId="0" applyNumberFormat="1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9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0" fontId="12" fillId="0" borderId="13" xfId="0" applyFont="1" applyBorder="1">
      <alignment vertical="center"/>
    </xf>
    <xf numFmtId="0" fontId="13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8" fillId="0" borderId="16" xfId="0" applyFont="1" applyBorder="1">
      <alignment vertical="center"/>
    </xf>
    <xf numFmtId="0" fontId="0" fillId="0" borderId="0" xfId="0" applyFont="1" applyBorder="1">
      <alignment vertical="center"/>
    </xf>
    <xf numFmtId="0" fontId="12" fillId="0" borderId="16" xfId="0" applyFont="1" applyBorder="1">
      <alignment vertical="center"/>
    </xf>
    <xf numFmtId="178" fontId="16" fillId="0" borderId="17" xfId="0" applyNumberFormat="1" applyFont="1" applyBorder="1" applyAlignment="1">
      <alignment horizontal="center" vertical="center" wrapText="1"/>
    </xf>
    <xf numFmtId="178" fontId="16" fillId="0" borderId="18" xfId="0" applyNumberFormat="1" applyFont="1" applyBorder="1" applyAlignment="1">
      <alignment horizontal="center" vertical="center" wrapText="1"/>
    </xf>
    <xf numFmtId="178" fontId="16" fillId="0" borderId="18" xfId="0" applyNumberFormat="1" applyFont="1" applyFill="1" applyBorder="1" applyAlignment="1">
      <alignment horizontal="center" vertical="center" wrapText="1"/>
    </xf>
    <xf numFmtId="178" fontId="17" fillId="0" borderId="19" xfId="0" applyNumberFormat="1" applyFont="1" applyBorder="1" applyAlignment="1">
      <alignment horizontal="center" vertical="center" wrapText="1"/>
    </xf>
    <xf numFmtId="178" fontId="17" fillId="0" borderId="20" xfId="0" applyNumberFormat="1" applyFont="1" applyBorder="1" applyAlignment="1">
      <alignment horizontal="center" vertical="center" wrapText="1"/>
    </xf>
    <xf numFmtId="178" fontId="17" fillId="0" borderId="21" xfId="0" applyNumberFormat="1" applyFont="1" applyBorder="1" applyAlignment="1">
      <alignment horizontal="center" vertical="center" wrapText="1"/>
    </xf>
    <xf numFmtId="178" fontId="17" fillId="0" borderId="21" xfId="0" applyNumberFormat="1" applyFont="1" applyFill="1" applyBorder="1" applyAlignment="1">
      <alignment horizontal="center" vertical="center" wrapText="1"/>
    </xf>
    <xf numFmtId="178" fontId="17" fillId="0" borderId="22" xfId="0" applyNumberFormat="1" applyFont="1" applyBorder="1" applyAlignment="1">
      <alignment horizontal="center" vertical="center" wrapText="1"/>
    </xf>
    <xf numFmtId="178" fontId="17" fillId="0" borderId="7" xfId="0" applyNumberFormat="1" applyFont="1" applyBorder="1" applyAlignment="1">
      <alignment horizontal="center" vertical="center" wrapText="1"/>
    </xf>
    <xf numFmtId="178" fontId="17" fillId="0" borderId="5" xfId="0" applyNumberFormat="1" applyFont="1" applyBorder="1" applyAlignment="1">
      <alignment horizontal="center" vertical="center" wrapText="1"/>
    </xf>
    <xf numFmtId="178" fontId="17" fillId="0" borderId="5" xfId="0" applyNumberFormat="1" applyFont="1" applyFill="1" applyBorder="1" applyAlignment="1">
      <alignment horizontal="center" vertical="center" wrapText="1"/>
    </xf>
    <xf numFmtId="178" fontId="17" fillId="0" borderId="1" xfId="0" applyNumberFormat="1" applyFont="1" applyFill="1" applyBorder="1" applyAlignment="1">
      <alignment horizontal="center" vertical="center" wrapText="1"/>
    </xf>
    <xf numFmtId="178" fontId="17" fillId="0" borderId="23" xfId="0" applyNumberFormat="1" applyFont="1" applyBorder="1" applyAlignment="1">
      <alignment horizontal="center" vertical="center" wrapText="1"/>
    </xf>
    <xf numFmtId="178" fontId="17" fillId="0" borderId="24" xfId="0" applyNumberFormat="1" applyFont="1" applyBorder="1" applyAlignment="1">
      <alignment horizontal="center" vertical="center" wrapText="1"/>
    </xf>
    <xf numFmtId="178" fontId="17" fillId="0" borderId="24" xfId="0" applyNumberFormat="1" applyFont="1" applyFill="1" applyBorder="1" applyAlignment="1">
      <alignment horizontal="center" vertical="center" wrapText="1"/>
    </xf>
    <xf numFmtId="178" fontId="18" fillId="0" borderId="7" xfId="0" applyNumberFormat="1" applyFont="1" applyBorder="1" applyAlignment="1">
      <alignment horizontal="center" vertical="center" wrapText="1"/>
    </xf>
    <xf numFmtId="178" fontId="18" fillId="0" borderId="12" xfId="0" applyNumberFormat="1" applyFont="1" applyBorder="1" applyAlignment="1">
      <alignment horizontal="center" vertical="center" wrapText="1"/>
    </xf>
    <xf numFmtId="178" fontId="18" fillId="0" borderId="12" xfId="0" applyNumberFormat="1" applyFont="1" applyFill="1" applyBorder="1" applyAlignment="1">
      <alignment horizontal="center" vertical="center" wrapText="1"/>
    </xf>
    <xf numFmtId="178" fontId="18" fillId="0" borderId="5" xfId="0" applyNumberFormat="1" applyFont="1" applyBorder="1" applyAlignment="1">
      <alignment horizontal="center" vertical="center" wrapText="1"/>
    </xf>
    <xf numFmtId="178" fontId="18" fillId="0" borderId="5" xfId="0" applyNumberFormat="1" applyFont="1" applyFill="1" applyBorder="1" applyAlignment="1">
      <alignment horizontal="center" vertical="center" wrapText="1"/>
    </xf>
    <xf numFmtId="178" fontId="19" fillId="0" borderId="6" xfId="0" applyNumberFormat="1" applyFont="1" applyBorder="1" applyAlignment="1">
      <alignment horizontal="center" vertical="center" wrapText="1"/>
    </xf>
    <xf numFmtId="178" fontId="18" fillId="0" borderId="6" xfId="0" applyNumberFormat="1" applyFont="1" applyBorder="1" applyAlignment="1">
      <alignment horizontal="center" vertical="center" wrapText="1"/>
    </xf>
    <xf numFmtId="178" fontId="18" fillId="0" borderId="25" xfId="0" applyNumberFormat="1" applyFont="1" applyBorder="1" applyAlignment="1">
      <alignment horizontal="center" vertical="center" wrapText="1"/>
    </xf>
    <xf numFmtId="178" fontId="18" fillId="0" borderId="26" xfId="0" applyNumberFormat="1" applyFont="1" applyBorder="1" applyAlignment="1">
      <alignment horizontal="center" vertical="center" wrapText="1"/>
    </xf>
    <xf numFmtId="178" fontId="18" fillId="0" borderId="4" xfId="0" applyNumberFormat="1" applyFont="1" applyBorder="1" applyAlignment="1">
      <alignment horizontal="center" vertical="center" wrapText="1"/>
    </xf>
    <xf numFmtId="178" fontId="18" fillId="0" borderId="27" xfId="0" applyNumberFormat="1" applyFont="1" applyBorder="1" applyAlignment="1">
      <alignment horizontal="center" vertical="center" wrapText="1"/>
    </xf>
    <xf numFmtId="178" fontId="18" fillId="0" borderId="9" xfId="0" applyNumberFormat="1" applyFont="1" applyBorder="1" applyAlignment="1">
      <alignment horizontal="center" vertical="center" wrapText="1"/>
    </xf>
    <xf numFmtId="178" fontId="18" fillId="0" borderId="28" xfId="0" applyNumberFormat="1" applyFont="1" applyBorder="1" applyAlignment="1">
      <alignment horizontal="center" vertical="center" wrapText="1"/>
    </xf>
    <xf numFmtId="178" fontId="18" fillId="0" borderId="29" xfId="0" applyNumberFormat="1" applyFont="1" applyBorder="1" applyAlignment="1">
      <alignment horizontal="center" vertical="center" wrapText="1"/>
    </xf>
    <xf numFmtId="178" fontId="19" fillId="0" borderId="4" xfId="0" applyNumberFormat="1" applyFont="1" applyBorder="1" applyAlignment="1">
      <alignment horizontal="center" vertical="center" wrapText="1"/>
    </xf>
    <xf numFmtId="178" fontId="19" fillId="0" borderId="12" xfId="0" applyNumberFormat="1" applyFont="1" applyBorder="1" applyAlignment="1">
      <alignment horizontal="center" vertical="center" wrapText="1"/>
    </xf>
    <xf numFmtId="178" fontId="18" fillId="0" borderId="6" xfId="0" applyNumberFormat="1" applyFont="1" applyFill="1" applyBorder="1" applyAlignment="1">
      <alignment horizontal="center" vertical="center" wrapText="1"/>
    </xf>
    <xf numFmtId="178" fontId="19" fillId="0" borderId="5" xfId="0" applyNumberFormat="1" applyFont="1" applyBorder="1" applyAlignment="1">
      <alignment horizontal="center" vertical="center" wrapText="1"/>
    </xf>
    <xf numFmtId="178" fontId="17" fillId="0" borderId="2" xfId="0" applyNumberFormat="1" applyFont="1" applyFill="1" applyBorder="1" applyAlignment="1">
      <alignment horizontal="center" vertical="center" wrapText="1"/>
    </xf>
    <xf numFmtId="178" fontId="17" fillId="0" borderId="11" xfId="0" applyNumberFormat="1" applyFont="1" applyFill="1" applyBorder="1" applyAlignment="1">
      <alignment horizontal="center" vertical="center" wrapText="1"/>
    </xf>
    <xf numFmtId="178" fontId="20" fillId="0" borderId="24" xfId="0" applyNumberFormat="1" applyFont="1" applyFill="1" applyBorder="1" applyAlignment="1">
      <alignment horizontal="center" vertical="center" wrapText="1"/>
    </xf>
    <xf numFmtId="178" fontId="18" fillId="0" borderId="1" xfId="0" applyNumberFormat="1" applyFont="1" applyFill="1" applyBorder="1" applyAlignment="1">
      <alignment horizontal="center" vertical="center" wrapText="1"/>
    </xf>
    <xf numFmtId="178" fontId="18" fillId="0" borderId="30" xfId="0" applyNumberFormat="1" applyFont="1" applyFill="1" applyBorder="1" applyAlignment="1">
      <alignment horizontal="center" vertical="center" wrapText="1"/>
    </xf>
    <xf numFmtId="178" fontId="18" fillId="0" borderId="11" xfId="0" applyNumberFormat="1" applyFont="1" applyFill="1" applyBorder="1" applyAlignment="1">
      <alignment horizontal="center" vertical="center" wrapText="1"/>
    </xf>
    <xf numFmtId="178" fontId="16" fillId="0" borderId="31" xfId="0" applyNumberFormat="1" applyFont="1" applyBorder="1" applyAlignment="1">
      <alignment horizontal="center" vertical="center" wrapText="1"/>
    </xf>
    <xf numFmtId="178" fontId="17" fillId="0" borderId="32" xfId="0" applyNumberFormat="1" applyFont="1" applyBorder="1" applyAlignment="1">
      <alignment horizontal="center" vertical="center" wrapText="1"/>
    </xf>
    <xf numFmtId="178" fontId="17" fillId="0" borderId="33" xfId="0" applyNumberFormat="1" applyFont="1" applyBorder="1" applyAlignment="1">
      <alignment horizontal="center" vertical="center" wrapText="1"/>
    </xf>
    <xf numFmtId="178" fontId="17" fillId="0" borderId="34" xfId="0" applyNumberFormat="1" applyFont="1" applyBorder="1" applyAlignment="1">
      <alignment horizontal="center" vertical="center" wrapText="1"/>
    </xf>
    <xf numFmtId="178" fontId="19" fillId="0" borderId="35" xfId="0" applyNumberFormat="1" applyFont="1" applyBorder="1" applyAlignment="1">
      <alignment vertical="center" wrapText="1"/>
    </xf>
    <xf numFmtId="178" fontId="19" fillId="0" borderId="33" xfId="0" applyNumberFormat="1" applyFont="1" applyBorder="1" applyAlignment="1">
      <alignment vertical="center" wrapText="1"/>
    </xf>
    <xf numFmtId="178" fontId="19" fillId="0" borderId="33" xfId="0" applyNumberFormat="1" applyFont="1" applyBorder="1" applyAlignment="1">
      <alignment horizontal="center" vertical="center" wrapText="1"/>
    </xf>
    <xf numFmtId="178" fontId="21" fillId="0" borderId="6" xfId="0" applyNumberFormat="1" applyFont="1" applyFill="1" applyBorder="1" applyAlignment="1">
      <alignment horizontal="center" vertical="center" wrapText="1"/>
    </xf>
    <xf numFmtId="178" fontId="18" fillId="0" borderId="1" xfId="0" applyNumberFormat="1" applyFont="1" applyBorder="1" applyAlignment="1">
      <alignment horizontal="center" vertical="center" wrapText="1"/>
    </xf>
    <xf numFmtId="178" fontId="18" fillId="0" borderId="7" xfId="0" applyNumberFormat="1" applyFont="1" applyFill="1" applyBorder="1" applyAlignment="1">
      <alignment horizontal="center" vertical="center" wrapText="1"/>
    </xf>
    <xf numFmtId="178" fontId="18" fillId="0" borderId="36" xfId="0" applyNumberFormat="1" applyFont="1" applyFill="1" applyBorder="1" applyAlignment="1">
      <alignment horizontal="center" vertical="center" wrapText="1"/>
    </xf>
    <xf numFmtId="178" fontId="18" fillId="0" borderId="37" xfId="0" applyNumberFormat="1" applyFont="1" applyFill="1" applyBorder="1" applyAlignment="1">
      <alignment horizontal="center" vertical="center" wrapText="1"/>
    </xf>
    <xf numFmtId="178" fontId="18" fillId="2" borderId="7" xfId="0" applyNumberFormat="1" applyFont="1" applyFill="1" applyBorder="1" applyAlignment="1">
      <alignment horizontal="center" vertical="center" wrapText="1"/>
    </xf>
    <xf numFmtId="178" fontId="18" fillId="2" borderId="5" xfId="0" applyNumberFormat="1" applyFont="1" applyFill="1" applyBorder="1" applyAlignment="1">
      <alignment horizontal="center" vertical="center" wrapText="1"/>
    </xf>
    <xf numFmtId="178" fontId="19" fillId="0" borderId="30" xfId="0" applyNumberFormat="1" applyFont="1" applyFill="1" applyBorder="1" applyAlignment="1">
      <alignment horizontal="center" vertical="center" wrapText="1"/>
    </xf>
    <xf numFmtId="178" fontId="19" fillId="0" borderId="33" xfId="0" applyNumberFormat="1" applyFont="1" applyFill="1" applyBorder="1" applyAlignment="1">
      <alignment vertical="center" wrapText="1"/>
    </xf>
    <xf numFmtId="178" fontId="18" fillId="0" borderId="33" xfId="0" applyNumberFormat="1" applyFont="1" applyFill="1" applyBorder="1" applyAlignment="1">
      <alignment horizontal="center" vertical="center" wrapText="1"/>
    </xf>
    <xf numFmtId="178" fontId="18" fillId="0" borderId="38" xfId="0" applyNumberFormat="1" applyFont="1" applyFill="1" applyBorder="1" applyAlignment="1">
      <alignment horizontal="center" vertical="center" wrapText="1"/>
    </xf>
    <xf numFmtId="178" fontId="19" fillId="2" borderId="33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77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177" fontId="0" fillId="0" borderId="12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6" fontId="0" fillId="0" borderId="5" xfId="0" applyNumberFormat="1" applyFont="1" applyBorder="1" applyAlignment="1">
      <alignment horizontal="center" vertical="center"/>
    </xf>
    <xf numFmtId="177" fontId="0" fillId="2" borderId="5" xfId="0" applyNumberFormat="1" applyFont="1" applyFill="1" applyBorder="1" applyAlignment="1">
      <alignment horizontal="center" vertical="center"/>
    </xf>
    <xf numFmtId="177" fontId="0" fillId="0" borderId="10" xfId="0" applyNumberFormat="1" applyFont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177" fontId="0" fillId="0" borderId="29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76" fontId="0" fillId="0" borderId="26" xfId="0" applyNumberFormat="1" applyFont="1" applyBorder="1" applyAlignment="1">
      <alignment horizontal="center" vertical="center"/>
    </xf>
    <xf numFmtId="177" fontId="0" fillId="0" borderId="0" xfId="0" applyNumberFormat="1" applyFont="1" applyBorder="1" applyAlignment="1">
      <alignment horizontal="left" vertical="center"/>
    </xf>
    <xf numFmtId="0" fontId="0" fillId="0" borderId="0" xfId="0" applyBorder="1">
      <alignment vertical="center"/>
    </xf>
    <xf numFmtId="176" fontId="0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7" fillId="0" borderId="5" xfId="0" applyNumberFormat="1" applyFont="1" applyBorder="1" applyAlignment="1">
      <alignment horizontal="center" vertical="center"/>
    </xf>
    <xf numFmtId="177" fontId="7" fillId="0" borderId="29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1" xfId="0" applyFont="1" applyBorder="1" applyAlignment="1">
      <alignment vertical="center"/>
    </xf>
    <xf numFmtId="177" fontId="0" fillId="0" borderId="5" xfId="0" applyNumberFormat="1" applyFont="1" applyBorder="1" applyAlignment="1">
      <alignment horizontal="left" vertical="center"/>
    </xf>
    <xf numFmtId="177" fontId="0" fillId="0" borderId="5" xfId="0" applyNumberFormat="1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5" fillId="0" borderId="0" xfId="0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176" fontId="23" fillId="0" borderId="0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77" fontId="0" fillId="0" borderId="0" xfId="0" applyNumberFormat="1" applyFont="1" applyFill="1" applyBorder="1" applyAlignment="1">
      <alignment horizontal="left" vertical="center"/>
    </xf>
    <xf numFmtId="177" fontId="7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7" fillId="0" borderId="6" xfId="0" applyNumberFormat="1" applyFont="1" applyBorder="1" applyAlignment="1">
      <alignment horizontal="center" vertical="center"/>
    </xf>
    <xf numFmtId="177" fontId="7" fillId="0" borderId="12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>
      <alignment vertical="center"/>
    </xf>
    <xf numFmtId="0" fontId="11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0" fontId="9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27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K62"/>
  <sheetViews>
    <sheetView zoomScale="85" zoomScaleNormal="85" topLeftCell="A23" workbookViewId="0">
      <selection activeCell="J28" sqref="J28:J29"/>
    </sheetView>
  </sheetViews>
  <sheetFormatPr defaultColWidth="9" defaultRowHeight="13.5"/>
  <cols>
    <col min="4" max="4" width="12.75" customWidth="1"/>
    <col min="5" max="5" width="17.05" customWidth="1"/>
    <col min="7" max="7" width="9.75" customWidth="1"/>
    <col min="26" max="26" width="12.2" customWidth="1"/>
    <col min="29" max="29" width="23.375" customWidth="1"/>
    <col min="30" max="30" width="16.7583333333333" customWidth="1"/>
    <col min="31" max="31" width="20.2916666666667" customWidth="1"/>
    <col min="32" max="32" width="18.6666666666667" customWidth="1"/>
    <col min="33" max="33" width="10.5833333333333" customWidth="1"/>
    <col min="34" max="35" width="9.875"/>
  </cols>
  <sheetData>
    <row r="4" spans="27:33">
      <c r="AA4" s="38"/>
      <c r="AB4" s="38"/>
      <c r="AC4" s="38" t="s">
        <v>0</v>
      </c>
      <c r="AD4" s="38" t="s">
        <v>1</v>
      </c>
      <c r="AE4" s="38" t="s">
        <v>2</v>
      </c>
      <c r="AF4" s="38" t="s">
        <v>3</v>
      </c>
      <c r="AG4" s="38" t="s">
        <v>4</v>
      </c>
    </row>
    <row r="5" spans="27:33">
      <c r="AA5" s="38" t="s">
        <v>5</v>
      </c>
      <c r="AB5" s="38" t="s">
        <v>6</v>
      </c>
      <c r="AC5" s="38">
        <f>15*0.855*0.2*0.88</f>
        <v>2.2572</v>
      </c>
      <c r="AD5" s="38"/>
      <c r="AE5" s="38"/>
      <c r="AF5" s="38"/>
      <c r="AG5" s="38"/>
    </row>
    <row r="6" ht="17" customHeight="1" spans="1:33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38"/>
      <c r="AB6" s="38" t="s">
        <v>7</v>
      </c>
      <c r="AC6" s="38">
        <f>15*0.145*0.15*0.8*1.15</f>
        <v>0.30015</v>
      </c>
      <c r="AD6" s="38"/>
      <c r="AE6" s="38"/>
      <c r="AF6" s="38"/>
      <c r="AG6" s="38"/>
    </row>
    <row r="7" ht="21" customHeight="1" spans="1:33">
      <c r="A7" s="9"/>
      <c r="B7" s="52"/>
      <c r="C7" s="52"/>
      <c r="D7" s="52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8" t="s">
        <v>8</v>
      </c>
      <c r="AB7" s="38" t="s">
        <v>6</v>
      </c>
      <c r="AC7" s="38">
        <f>15*0.855*0.2*0.4</f>
        <v>1.026</v>
      </c>
      <c r="AD7" s="38">
        <f>15*0.855*0.2*0.29</f>
        <v>0.74385</v>
      </c>
      <c r="AE7" s="38">
        <f>15*0.855*0.2*0.14</f>
        <v>0.3591</v>
      </c>
      <c r="AF7" s="38">
        <f>15*0.855*0.2*0.145</f>
        <v>0.371925</v>
      </c>
      <c r="AG7" s="38">
        <f>15*0.855*0.2*0.025</f>
        <v>0.064125</v>
      </c>
    </row>
    <row r="8" ht="23" customHeight="1" spans="1:33">
      <c r="A8" s="9"/>
      <c r="B8" s="52"/>
      <c r="C8" s="52"/>
      <c r="D8" s="52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38"/>
      <c r="AB8" s="38" t="s">
        <v>7</v>
      </c>
      <c r="AC8" s="38">
        <f>15*0.145*0.15*0.55*1.15</f>
        <v>0.206353125</v>
      </c>
      <c r="AD8" s="38">
        <f>15*0.145*0.15*0.05</f>
        <v>0.0163125</v>
      </c>
      <c r="AE8" s="38">
        <f>15*0.145*0.15*0.27*1.15</f>
        <v>0.101300625</v>
      </c>
      <c r="AF8" s="38">
        <f>15*0.145*0.15*0.08*1.15</f>
        <v>0.030015</v>
      </c>
      <c r="AG8" s="38">
        <f>15*0.145*0.15*0.05</f>
        <v>0.0163125</v>
      </c>
    </row>
    <row r="9" spans="1:33">
      <c r="A9" s="9"/>
      <c r="B9" s="52"/>
      <c r="C9" s="52"/>
      <c r="D9" s="52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38" t="s">
        <v>9</v>
      </c>
      <c r="AB9" s="38" t="s">
        <v>6</v>
      </c>
      <c r="AC9" s="38">
        <f>15*0.855*0.6*0.334</f>
        <v>2.57013</v>
      </c>
      <c r="AD9" s="38">
        <f>15*0.855*0.6*0.388</f>
        <v>2.98566</v>
      </c>
      <c r="AE9" s="38">
        <f>15*0.855*0.6*0.13</f>
        <v>1.00035</v>
      </c>
      <c r="AF9" s="38">
        <f>15*0.855*0.6*0.147</f>
        <v>1.131165</v>
      </c>
      <c r="AG9" s="38">
        <f>15*0.855*0.6*0.01</f>
        <v>0.07695</v>
      </c>
    </row>
    <row r="10" spans="1:33">
      <c r="A10" s="15"/>
      <c r="B10" s="16"/>
      <c r="C10" s="16"/>
      <c r="D10" s="16"/>
      <c r="E10" s="162"/>
      <c r="F10" s="162"/>
      <c r="G10" s="9"/>
      <c r="H10" s="9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9"/>
      <c r="Y10" s="9"/>
      <c r="Z10" s="16"/>
      <c r="AA10" s="38"/>
      <c r="AB10" s="38" t="s">
        <v>7</v>
      </c>
      <c r="AC10" s="38">
        <f>15*0.145*0.7*0.43*1.15</f>
        <v>0.75287625</v>
      </c>
      <c r="AD10" s="38">
        <f>15*0.145*0.7*0.04</f>
        <v>0.0609</v>
      </c>
      <c r="AE10" s="38">
        <f>15*0.145*0.7*0.34*1.15</f>
        <v>0.5952975</v>
      </c>
      <c r="AF10" s="38">
        <f>15*0.145*0.7*0.16*1.15</f>
        <v>0.28014</v>
      </c>
      <c r="AG10" s="38">
        <f>15*0.145*0.7*0.03</f>
        <v>0.045675</v>
      </c>
    </row>
    <row r="11" ht="14.25" spans="1:36">
      <c r="A11" s="15"/>
      <c r="B11" s="16"/>
      <c r="C11" s="16"/>
      <c r="D11" s="16"/>
      <c r="E11" s="162"/>
      <c r="F11" s="162"/>
      <c r="G11" s="162"/>
      <c r="H11" s="162"/>
      <c r="I11" s="162"/>
      <c r="J11" s="9"/>
      <c r="K11" s="9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9"/>
      <c r="Y11" s="9"/>
      <c r="Z11" s="16"/>
      <c r="AB11" s="183" t="s">
        <v>10</v>
      </c>
      <c r="AC11" s="184"/>
      <c r="AD11" s="184">
        <v>0.145</v>
      </c>
      <c r="AE11" s="184"/>
      <c r="AF11" s="184"/>
      <c r="AG11" s="184"/>
      <c r="AH11" s="184"/>
      <c r="AI11" s="184"/>
      <c r="AJ11" s="184"/>
    </row>
    <row r="12" ht="15" spans="1:36">
      <c r="A12" s="15"/>
      <c r="B12" s="16"/>
      <c r="C12" s="16"/>
      <c r="D12" s="16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9"/>
      <c r="Y12" s="9"/>
      <c r="Z12" s="16"/>
      <c r="AB12" s="185"/>
      <c r="AC12" s="186" t="s">
        <v>11</v>
      </c>
      <c r="AD12" s="186" t="s">
        <v>0</v>
      </c>
      <c r="AE12" s="186" t="s">
        <v>1</v>
      </c>
      <c r="AF12" s="186" t="s">
        <v>2</v>
      </c>
      <c r="AG12" s="186" t="s">
        <v>4</v>
      </c>
      <c r="AH12" s="186" t="s">
        <v>12</v>
      </c>
      <c r="AI12" s="186" t="s">
        <v>13</v>
      </c>
      <c r="AJ12" s="200" t="s">
        <v>14</v>
      </c>
    </row>
    <row r="13" ht="82.5" spans="1:36">
      <c r="A13" s="15"/>
      <c r="B13" s="16"/>
      <c r="C13" s="16"/>
      <c r="D13" s="16"/>
      <c r="E13" s="162"/>
      <c r="F13" s="162"/>
      <c r="G13" s="9"/>
      <c r="H13" s="9"/>
      <c r="I13" s="9"/>
      <c r="J13" s="9"/>
      <c r="K13" s="9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9"/>
      <c r="Y13" s="9"/>
      <c r="Z13" s="16"/>
      <c r="AB13" s="187" t="s">
        <v>5</v>
      </c>
      <c r="AC13" s="188">
        <v>0.15</v>
      </c>
      <c r="AD13" s="189">
        <v>0.8</v>
      </c>
      <c r="AE13" s="189">
        <v>0.05</v>
      </c>
      <c r="AF13" s="189">
        <v>0.05</v>
      </c>
      <c r="AG13" s="189">
        <v>0.05</v>
      </c>
      <c r="AH13" s="189">
        <v>0.05</v>
      </c>
      <c r="AI13" s="189">
        <v>1</v>
      </c>
      <c r="AJ13" s="201" t="s">
        <v>15</v>
      </c>
    </row>
    <row r="14" ht="68.25" spans="1:36">
      <c r="A14" s="15"/>
      <c r="B14" s="16"/>
      <c r="C14" s="16"/>
      <c r="D14" s="16"/>
      <c r="E14" s="162"/>
      <c r="F14" s="162"/>
      <c r="G14" s="9"/>
      <c r="H14" s="9"/>
      <c r="I14" s="9"/>
      <c r="J14" s="9"/>
      <c r="K14" s="9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9"/>
      <c r="Y14" s="9"/>
      <c r="Z14" s="16"/>
      <c r="AB14" s="187" t="s">
        <v>8</v>
      </c>
      <c r="AC14" s="188">
        <v>0.15</v>
      </c>
      <c r="AD14" s="189">
        <v>0.55</v>
      </c>
      <c r="AE14" s="189">
        <v>0.05</v>
      </c>
      <c r="AF14" s="189">
        <v>0.27</v>
      </c>
      <c r="AG14" s="189">
        <v>0.05</v>
      </c>
      <c r="AH14" s="189">
        <v>0.08</v>
      </c>
      <c r="AI14" s="189">
        <v>1</v>
      </c>
      <c r="AJ14" s="201" t="s">
        <v>16</v>
      </c>
    </row>
    <row r="15" ht="82.5" spans="1:36">
      <c r="A15" s="15"/>
      <c r="B15" s="16"/>
      <c r="C15" s="16"/>
      <c r="D15" s="16"/>
      <c r="E15" s="162"/>
      <c r="F15" s="162"/>
      <c r="G15" s="9"/>
      <c r="H15" s="9"/>
      <c r="I15" s="9"/>
      <c r="J15" s="9"/>
      <c r="K15" s="9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9"/>
      <c r="Y15" s="9"/>
      <c r="Z15" s="16"/>
      <c r="AB15" s="187" t="s">
        <v>9</v>
      </c>
      <c r="AC15" s="188">
        <v>0.7</v>
      </c>
      <c r="AD15" s="189">
        <v>0.43</v>
      </c>
      <c r="AE15" s="189">
        <v>0.04</v>
      </c>
      <c r="AF15" s="189">
        <v>0.34</v>
      </c>
      <c r="AG15" s="189">
        <v>0.03</v>
      </c>
      <c r="AH15" s="189">
        <v>0.16</v>
      </c>
      <c r="AI15" s="189">
        <v>1</v>
      </c>
      <c r="AJ15" s="201" t="s">
        <v>17</v>
      </c>
    </row>
    <row r="16" ht="15" spans="1:36">
      <c r="A16" s="15"/>
      <c r="B16" s="16"/>
      <c r="C16" s="16"/>
      <c r="D16" s="16"/>
      <c r="E16" s="162"/>
      <c r="F16" s="162"/>
      <c r="G16" s="9"/>
      <c r="H16" s="9"/>
      <c r="I16" s="9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9"/>
      <c r="Y16" s="9"/>
      <c r="Z16" s="16"/>
      <c r="AB16" s="190" t="s">
        <v>13</v>
      </c>
      <c r="AC16" s="191">
        <v>1</v>
      </c>
      <c r="AD16" s="191"/>
      <c r="AE16" s="191"/>
      <c r="AF16" s="191"/>
      <c r="AG16" s="191"/>
      <c r="AH16" s="191"/>
      <c r="AI16" s="191"/>
      <c r="AJ16" s="202"/>
    </row>
    <row r="17" ht="15" spans="1:37">
      <c r="A17" s="18"/>
      <c r="B17" s="18"/>
      <c r="C17" s="18"/>
      <c r="D17" s="173"/>
      <c r="E17" s="145"/>
      <c r="F17" s="162"/>
      <c r="G17" s="145"/>
      <c r="H17" s="145"/>
      <c r="I17" s="145"/>
      <c r="J17" s="145"/>
      <c r="K17" s="145"/>
      <c r="L17" s="145"/>
      <c r="M17" s="145"/>
      <c r="N17" s="162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6"/>
      <c r="AB17" s="62"/>
      <c r="AC17" s="52">
        <v>0.855</v>
      </c>
      <c r="AD17" s="53"/>
      <c r="AE17" s="53"/>
      <c r="AF17" s="53"/>
      <c r="AG17" s="53"/>
      <c r="AH17" s="53"/>
      <c r="AI17" s="53"/>
      <c r="AJ17" s="62"/>
      <c r="AK17" s="146"/>
    </row>
    <row r="18" ht="21" spans="1:36">
      <c r="A18" s="174"/>
      <c r="B18" s="174"/>
      <c r="C18" s="174"/>
      <c r="D18" s="175"/>
      <c r="E18" s="176"/>
      <c r="F18" s="177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45"/>
      <c r="Y18" s="145"/>
      <c r="Z18" s="145"/>
      <c r="AB18" s="192"/>
      <c r="AC18" s="56" t="s">
        <v>6</v>
      </c>
      <c r="AD18" s="57" t="s">
        <v>11</v>
      </c>
      <c r="AE18" s="57" t="s">
        <v>0</v>
      </c>
      <c r="AF18" s="57" t="s">
        <v>1</v>
      </c>
      <c r="AG18" s="57" t="s">
        <v>2</v>
      </c>
      <c r="AH18" s="57" t="s">
        <v>4</v>
      </c>
      <c r="AI18" s="57" t="s">
        <v>12</v>
      </c>
      <c r="AJ18" s="57" t="s">
        <v>13</v>
      </c>
    </row>
    <row r="19" ht="21" spans="1:36">
      <c r="A19" s="178"/>
      <c r="B19" s="178"/>
      <c r="C19" s="178"/>
      <c r="D19" s="178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45"/>
      <c r="Y19" s="145"/>
      <c r="Z19" s="145"/>
      <c r="AB19" s="146"/>
      <c r="AC19" s="58" t="s">
        <v>5</v>
      </c>
      <c r="AD19" s="59">
        <v>0.2</v>
      </c>
      <c r="AE19" s="60">
        <v>0.88</v>
      </c>
      <c r="AF19" s="60">
        <v>0.04</v>
      </c>
      <c r="AG19" s="60">
        <v>0.03</v>
      </c>
      <c r="AH19" s="60">
        <v>0.016</v>
      </c>
      <c r="AI19" s="60">
        <v>0.025</v>
      </c>
      <c r="AJ19" s="60">
        <v>1</v>
      </c>
    </row>
    <row r="20" ht="21" spans="1:36">
      <c r="A20" s="15"/>
      <c r="B20" s="15"/>
      <c r="C20" s="15"/>
      <c r="D20" s="17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B20" s="146"/>
      <c r="AC20" s="58" t="s">
        <v>8</v>
      </c>
      <c r="AD20" s="59">
        <v>0.2</v>
      </c>
      <c r="AE20" s="60">
        <v>0.4</v>
      </c>
      <c r="AF20" s="60">
        <v>0.29</v>
      </c>
      <c r="AG20" s="60">
        <v>0.14</v>
      </c>
      <c r="AH20" s="60">
        <v>0.025</v>
      </c>
      <c r="AI20" s="60">
        <v>0.145</v>
      </c>
      <c r="AJ20" s="60">
        <v>1</v>
      </c>
    </row>
    <row r="21" ht="21" spans="1:36">
      <c r="A21" s="15"/>
      <c r="B21" s="15"/>
      <c r="C21" s="15"/>
      <c r="D21" s="17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B21" s="146"/>
      <c r="AC21" s="58" t="s">
        <v>9</v>
      </c>
      <c r="AD21" s="59">
        <v>0.6</v>
      </c>
      <c r="AE21" s="60">
        <v>0.334</v>
      </c>
      <c r="AF21" s="60">
        <v>0.388</v>
      </c>
      <c r="AG21" s="60">
        <v>0.13</v>
      </c>
      <c r="AH21" s="60">
        <v>0.01</v>
      </c>
      <c r="AI21" s="60">
        <v>0.147</v>
      </c>
      <c r="AJ21" s="60">
        <v>1</v>
      </c>
    </row>
    <row r="22" ht="21" spans="1:36">
      <c r="A22" s="15"/>
      <c r="B22" s="15"/>
      <c r="C22" s="15"/>
      <c r="D22" s="17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B22" s="146"/>
      <c r="AC22" s="58" t="s">
        <v>13</v>
      </c>
      <c r="AD22" s="60">
        <v>1</v>
      </c>
      <c r="AE22" s="60">
        <v>0.4564</v>
      </c>
      <c r="AF22" s="60">
        <v>0.2988</v>
      </c>
      <c r="AG22" s="60">
        <v>0.112</v>
      </c>
      <c r="AH22" s="60">
        <v>0.0142</v>
      </c>
      <c r="AI22" s="60">
        <v>0.1222</v>
      </c>
      <c r="AJ22" s="63"/>
    </row>
    <row r="23" ht="15.75" spans="1:36">
      <c r="A23" s="151" t="s">
        <v>18</v>
      </c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72"/>
      <c r="AB23" s="146"/>
      <c r="AC23" s="193"/>
      <c r="AD23" s="194"/>
      <c r="AE23" s="194"/>
      <c r="AF23" s="194"/>
      <c r="AG23" s="194"/>
      <c r="AH23" s="194"/>
      <c r="AI23" s="194"/>
      <c r="AJ23" s="194"/>
    </row>
    <row r="24" ht="15.75" spans="1:36">
      <c r="A24" s="8" t="s">
        <v>19</v>
      </c>
      <c r="B24" s="6" t="s">
        <v>20</v>
      </c>
      <c r="C24" s="6" t="s">
        <v>21</v>
      </c>
      <c r="D24" s="6" t="s">
        <v>22</v>
      </c>
      <c r="E24" s="8" t="s">
        <v>23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31"/>
      <c r="W24" s="31"/>
      <c r="X24" s="31"/>
      <c r="Y24" s="31" t="s">
        <v>24</v>
      </c>
      <c r="Z24" s="8" t="s">
        <v>25</v>
      </c>
      <c r="AB24" s="146"/>
      <c r="AC24" s="194"/>
      <c r="AD24" s="195"/>
      <c r="AE24" s="193"/>
      <c r="AF24" s="193"/>
      <c r="AG24" s="193"/>
      <c r="AH24" s="193"/>
      <c r="AI24" s="193"/>
      <c r="AJ24" s="193"/>
    </row>
    <row r="25" ht="15.75" spans="1:36">
      <c r="A25" s="8"/>
      <c r="B25" s="6"/>
      <c r="C25" s="6"/>
      <c r="D25" s="6"/>
      <c r="E25" s="8"/>
      <c r="F25" s="24" t="s">
        <v>26</v>
      </c>
      <c r="G25" s="25"/>
      <c r="H25" s="25"/>
      <c r="I25" s="25"/>
      <c r="J25" s="26"/>
      <c r="K25" s="8" t="s">
        <v>27</v>
      </c>
      <c r="L25" s="8"/>
      <c r="M25" s="8"/>
      <c r="N25" s="8" t="s">
        <v>28</v>
      </c>
      <c r="O25" s="8"/>
      <c r="P25" s="8"/>
      <c r="Q25" s="24" t="s">
        <v>29</v>
      </c>
      <c r="R25" s="25"/>
      <c r="S25" s="25"/>
      <c r="T25" s="26"/>
      <c r="U25" s="24" t="s">
        <v>4</v>
      </c>
      <c r="V25" s="24" t="s">
        <v>30</v>
      </c>
      <c r="W25" s="24" t="s">
        <v>31</v>
      </c>
      <c r="X25" s="24" t="s">
        <v>32</v>
      </c>
      <c r="Y25" s="8"/>
      <c r="Z25" s="8"/>
      <c r="AA25" s="1"/>
      <c r="AB25" s="196"/>
      <c r="AC25" s="194"/>
      <c r="AD25" s="195"/>
      <c r="AE25" s="193"/>
      <c r="AF25" s="193"/>
      <c r="AG25" s="193"/>
      <c r="AH25" s="193"/>
      <c r="AI25" s="193"/>
      <c r="AJ25" s="193"/>
    </row>
    <row r="26" spans="1:36">
      <c r="A26" s="8"/>
      <c r="B26" s="6"/>
      <c r="C26" s="6"/>
      <c r="D26" s="6"/>
      <c r="E26" s="8"/>
      <c r="F26" s="8" t="s">
        <v>33</v>
      </c>
      <c r="G26" s="8" t="s">
        <v>34</v>
      </c>
      <c r="H26" s="8" t="s">
        <v>35</v>
      </c>
      <c r="I26" s="8" t="s">
        <v>36</v>
      </c>
      <c r="J26" s="8" t="s">
        <v>37</v>
      </c>
      <c r="K26" s="8" t="s">
        <v>38</v>
      </c>
      <c r="L26" s="8" t="s">
        <v>39</v>
      </c>
      <c r="M26" s="8" t="s">
        <v>40</v>
      </c>
      <c r="N26" s="8" t="s">
        <v>41</v>
      </c>
      <c r="O26" s="8" t="s">
        <v>42</v>
      </c>
      <c r="P26" s="8" t="s">
        <v>43</v>
      </c>
      <c r="Q26" s="8" t="s">
        <v>44</v>
      </c>
      <c r="R26" s="8" t="s">
        <v>45</v>
      </c>
      <c r="S26" s="8" t="s">
        <v>40</v>
      </c>
      <c r="T26" s="8" t="s">
        <v>36</v>
      </c>
      <c r="U26" s="8" t="s">
        <v>46</v>
      </c>
      <c r="V26" s="8" t="s">
        <v>44</v>
      </c>
      <c r="W26" s="8" t="s">
        <v>36</v>
      </c>
      <c r="X26" s="8" t="s">
        <v>47</v>
      </c>
      <c r="Y26" s="8"/>
      <c r="Z26" s="8"/>
      <c r="AB26" s="146"/>
      <c r="AC26" s="197"/>
      <c r="AD26" s="197"/>
      <c r="AE26" s="197"/>
      <c r="AF26" s="197"/>
      <c r="AG26" s="197"/>
      <c r="AH26" s="197"/>
      <c r="AI26" s="197"/>
      <c r="AJ26" s="146"/>
    </row>
    <row r="27" spans="1:35">
      <c r="A27" s="39">
        <v>1</v>
      </c>
      <c r="B27" s="126" t="s">
        <v>5</v>
      </c>
      <c r="C27" s="127" t="s">
        <v>7</v>
      </c>
      <c r="D27" s="127" t="s">
        <v>7</v>
      </c>
      <c r="E27" s="153">
        <f>SUM(E28:E35)</f>
        <v>17442.69</v>
      </c>
      <c r="F27" s="153">
        <f>E27/100*AC6*0.08</f>
        <v>4.1883387228</v>
      </c>
      <c r="G27" s="153">
        <f>E27/100*AC6*0.08</f>
        <v>4.1883387228</v>
      </c>
      <c r="H27" s="153"/>
      <c r="I27" s="153">
        <f>E27/100*AC6*0.82</f>
        <v>42.9304719087</v>
      </c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82"/>
      <c r="W27" s="182"/>
      <c r="X27" s="31"/>
      <c r="Y27" s="31"/>
      <c r="Z27" s="127"/>
      <c r="AB27" s="197"/>
      <c r="AC27" s="198"/>
      <c r="AD27" s="199"/>
      <c r="AE27" s="199"/>
      <c r="AF27" s="199"/>
      <c r="AG27" s="199"/>
      <c r="AH27" s="199"/>
      <c r="AI27" s="199"/>
    </row>
    <row r="28" spans="1:35">
      <c r="A28" s="180"/>
      <c r="B28" s="129"/>
      <c r="C28" s="126" t="s">
        <v>6</v>
      </c>
      <c r="D28" s="127" t="s">
        <v>48</v>
      </c>
      <c r="E28" s="153">
        <v>6099.61</v>
      </c>
      <c r="F28" s="153">
        <f>E28/100*AC5*0.08</f>
        <v>11.0144317536</v>
      </c>
      <c r="G28" s="153">
        <f>E28/100*AC5*0.08</f>
        <v>11.0144317536</v>
      </c>
      <c r="H28" s="153"/>
      <c r="I28" s="153">
        <f>E28/100*AC5*0.82</f>
        <v>112.8979254744</v>
      </c>
      <c r="J28" s="181">
        <f>8100/100*AC5*0.82</f>
        <v>149.923224</v>
      </c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82"/>
      <c r="W28" s="182"/>
      <c r="X28" s="31"/>
      <c r="Y28" s="31"/>
      <c r="Z28" s="127"/>
      <c r="AB28" s="197"/>
      <c r="AC28" s="198"/>
      <c r="AD28" s="199"/>
      <c r="AE28" s="199"/>
      <c r="AF28" s="199"/>
      <c r="AG28" s="199"/>
      <c r="AH28" s="199"/>
      <c r="AI28" s="199"/>
    </row>
    <row r="29" spans="1:35">
      <c r="A29" s="180"/>
      <c r="B29" s="129"/>
      <c r="C29" s="129"/>
      <c r="D29" s="127" t="s">
        <v>49</v>
      </c>
      <c r="E29" s="153">
        <v>6125.04</v>
      </c>
      <c r="F29" s="153">
        <f>E29/100*AC5*0.08</f>
        <v>11.0603522304</v>
      </c>
      <c r="G29" s="153">
        <f>E29/100*AC5*0.08</f>
        <v>11.0603522304</v>
      </c>
      <c r="H29" s="153"/>
      <c r="I29" s="153">
        <f>E29/100*AC5*0.82</f>
        <v>113.3686103616</v>
      </c>
      <c r="J29" s="182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8"/>
      <c r="Y29" s="8"/>
      <c r="Z29" s="127"/>
      <c r="AB29" s="197"/>
      <c r="AC29" s="198"/>
      <c r="AD29" s="199"/>
      <c r="AE29" s="199"/>
      <c r="AF29" s="199"/>
      <c r="AG29" s="199"/>
      <c r="AH29" s="199"/>
      <c r="AI29" s="199"/>
    </row>
    <row r="30" spans="1:35">
      <c r="A30" s="180"/>
      <c r="B30" s="129"/>
      <c r="C30" s="129"/>
      <c r="D30" s="127" t="s">
        <v>50</v>
      </c>
      <c r="E30" s="153">
        <v>287.76</v>
      </c>
      <c r="F30" s="153"/>
      <c r="G30" s="153"/>
      <c r="H30" s="153"/>
      <c r="I30" s="153">
        <f>E30/100*AC5*0.82*1.3</f>
        <v>6.92400975552</v>
      </c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8"/>
      <c r="Y30" s="8"/>
      <c r="Z30" s="127"/>
      <c r="AB30" s="197"/>
      <c r="AC30" s="199"/>
      <c r="AD30" s="199"/>
      <c r="AE30" s="199"/>
      <c r="AF30" s="199"/>
      <c r="AG30" s="199"/>
      <c r="AH30" s="199"/>
      <c r="AI30" s="146"/>
    </row>
    <row r="31" spans="1:35">
      <c r="A31" s="180"/>
      <c r="B31" s="129"/>
      <c r="C31" s="129"/>
      <c r="D31" s="127" t="s">
        <v>51</v>
      </c>
      <c r="E31" s="153">
        <v>287.76</v>
      </c>
      <c r="F31" s="153"/>
      <c r="G31" s="153"/>
      <c r="H31" s="153"/>
      <c r="I31" s="153">
        <f>E31/100*AC5*0.82*1.3</f>
        <v>6.92400975552</v>
      </c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8"/>
      <c r="Y31" s="8"/>
      <c r="Z31" s="127"/>
      <c r="AB31" s="146"/>
      <c r="AC31" s="146"/>
      <c r="AD31" s="146"/>
      <c r="AE31" s="146"/>
      <c r="AF31" s="146"/>
      <c r="AG31" s="146"/>
      <c r="AH31" s="146"/>
      <c r="AI31" s="146"/>
    </row>
    <row r="32" spans="1:35">
      <c r="A32" s="180"/>
      <c r="B32" s="129"/>
      <c r="C32" s="129"/>
      <c r="D32" s="127" t="s">
        <v>52</v>
      </c>
      <c r="E32" s="153">
        <v>158.4</v>
      </c>
      <c r="F32" s="153"/>
      <c r="G32" s="153"/>
      <c r="H32" s="153"/>
      <c r="I32" s="153">
        <v>0</v>
      </c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8"/>
      <c r="Y32" s="8"/>
      <c r="Z32" s="127"/>
      <c r="AB32" s="146"/>
      <c r="AC32" s="146"/>
      <c r="AD32" s="146"/>
      <c r="AE32" s="146"/>
      <c r="AF32" s="146"/>
      <c r="AG32" s="146"/>
      <c r="AH32" s="146"/>
      <c r="AI32" s="146"/>
    </row>
    <row r="33" ht="27" spans="1:35">
      <c r="A33" s="180"/>
      <c r="B33" s="129"/>
      <c r="C33" s="129"/>
      <c r="D33" s="127" t="s">
        <v>53</v>
      </c>
      <c r="E33" s="153">
        <v>211.61</v>
      </c>
      <c r="F33" s="153">
        <f>E33/100*AC5*0.08</f>
        <v>0.3821168736</v>
      </c>
      <c r="G33" s="153">
        <f>E33/100*AC5*0.82</f>
        <v>3.9166979544</v>
      </c>
      <c r="H33" s="153">
        <f>E33/100*AC5*0.08</f>
        <v>0.3821168736</v>
      </c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8"/>
      <c r="Y33" s="8"/>
      <c r="Z33" s="127"/>
      <c r="AB33" s="146"/>
      <c r="AC33" s="146"/>
      <c r="AD33" s="146"/>
      <c r="AE33" s="146"/>
      <c r="AF33" s="146"/>
      <c r="AG33" s="146"/>
      <c r="AH33" s="146"/>
      <c r="AI33" s="146"/>
    </row>
    <row r="34" ht="27" spans="1:26">
      <c r="A34" s="180"/>
      <c r="B34" s="129"/>
      <c r="C34" s="129"/>
      <c r="D34" s="127" t="s">
        <v>54</v>
      </c>
      <c r="E34" s="128">
        <v>398.28</v>
      </c>
      <c r="F34" s="153">
        <f>E34/100*AC5*0.08</f>
        <v>0.7191980928</v>
      </c>
      <c r="G34" s="153">
        <f>E34/100*AC5*0.82</f>
        <v>7.3717804512</v>
      </c>
      <c r="H34" s="153">
        <f>E34/100*AC5*0.08</f>
        <v>0.7191980928</v>
      </c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8"/>
      <c r="Y34" s="158"/>
      <c r="Z34" s="127"/>
    </row>
    <row r="35" spans="1:26">
      <c r="A35" s="40"/>
      <c r="B35" s="130"/>
      <c r="C35" s="130"/>
      <c r="D35" s="133" t="s">
        <v>55</v>
      </c>
      <c r="E35" s="128">
        <v>3874.23</v>
      </c>
      <c r="F35" s="153">
        <f>E35/100*AC5*0.08</f>
        <v>6.9959295648</v>
      </c>
      <c r="G35" s="153">
        <f t="shared" ref="G35:G38" si="0">E35/100*AC5*0.08</f>
        <v>6.9959295648</v>
      </c>
      <c r="H35" s="153"/>
      <c r="I35" s="153">
        <f>E35/100*AC5*0.82</f>
        <v>71.7082780392</v>
      </c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8"/>
      <c r="Y35" s="158"/>
      <c r="Z35" s="127"/>
    </row>
    <row r="36" spans="1:26">
      <c r="A36" s="39">
        <v>2</v>
      </c>
      <c r="B36" s="126" t="s">
        <v>8</v>
      </c>
      <c r="C36" s="127" t="s">
        <v>7</v>
      </c>
      <c r="D36" s="127" t="s">
        <v>7</v>
      </c>
      <c r="E36" s="153">
        <f>SUM(E37:E44)</f>
        <v>17442.69</v>
      </c>
      <c r="F36" s="153">
        <f>E36/100*AC8*0.82</f>
        <v>29.5146994372312</v>
      </c>
      <c r="G36" s="153">
        <f>E36/100*AC8*0.08</f>
        <v>2.879482871925</v>
      </c>
      <c r="H36" s="153">
        <f>E36/100*AC8*0.08</f>
        <v>2.879482871925</v>
      </c>
      <c r="I36" s="153"/>
      <c r="J36" s="153"/>
      <c r="K36" s="153"/>
      <c r="L36" s="153"/>
      <c r="M36" s="153"/>
      <c r="N36" s="153">
        <f>E36/100*AE8*0.08</f>
        <v>1.413564318945</v>
      </c>
      <c r="O36" s="153">
        <f>E36/100*AE8*0.08</f>
        <v>1.413564318945</v>
      </c>
      <c r="P36" s="153">
        <f>E36/100*AE8*0.82</f>
        <v>14.4890342691862</v>
      </c>
      <c r="Q36" s="153">
        <f>E36/100*AF8*0.08</f>
        <v>0.41883387228</v>
      </c>
      <c r="R36" s="153">
        <f>E36/100*AF8*0.08</f>
        <v>0.41883387228</v>
      </c>
      <c r="S36" s="153"/>
      <c r="T36" s="153">
        <f>E36/100*AF8*0.82</f>
        <v>4.29304719087</v>
      </c>
      <c r="U36" s="153"/>
      <c r="V36" s="153"/>
      <c r="W36" s="153"/>
      <c r="X36" s="158"/>
      <c r="Y36" s="158"/>
      <c r="Z36" s="127"/>
    </row>
    <row r="37" ht="17" customHeight="1" spans="1:26">
      <c r="A37" s="180"/>
      <c r="B37" s="129"/>
      <c r="C37" s="126" t="s">
        <v>6</v>
      </c>
      <c r="D37" s="127" t="s">
        <v>48</v>
      </c>
      <c r="E37" s="153">
        <v>6099.61</v>
      </c>
      <c r="F37" s="153">
        <f>E37/100*AC7*0.82</f>
        <v>51.317238852</v>
      </c>
      <c r="G37" s="153">
        <f t="shared" si="0"/>
        <v>5.006559888</v>
      </c>
      <c r="H37" s="153">
        <f>E37/100*AC7*0.08</f>
        <v>5.006559888</v>
      </c>
      <c r="I37" s="153"/>
      <c r="J37" s="153"/>
      <c r="K37" s="153">
        <f>E37/100*AD7*0.08</f>
        <v>3.6297559188</v>
      </c>
      <c r="L37" s="153">
        <f>E37/100*AD7*0.82</f>
        <v>37.2049981677</v>
      </c>
      <c r="M37" s="153">
        <f>E37/100*AD7*0.08</f>
        <v>3.6297559188</v>
      </c>
      <c r="N37" s="153">
        <f>E37/100*AE7*0.82</f>
        <v>17.9610335982</v>
      </c>
      <c r="O37" s="153">
        <f>E37/100*AE7*0.08</f>
        <v>1.7522959608</v>
      </c>
      <c r="P37" s="153">
        <f>E37/100*AE7*0.08</f>
        <v>1.7522959608</v>
      </c>
      <c r="Q37" s="153">
        <f>E37/100*AF7*0.82</f>
        <v>18.60249908385</v>
      </c>
      <c r="R37" s="153">
        <f>E37/100*AF7*0.08</f>
        <v>1.8148779594</v>
      </c>
      <c r="S37" s="153">
        <f>E37/100*AF7*0.08</f>
        <v>1.8148779594</v>
      </c>
      <c r="T37" s="153"/>
      <c r="U37" s="153">
        <f>E37/100*AG14</f>
        <v>3.049805</v>
      </c>
      <c r="V37" s="153">
        <v>20</v>
      </c>
      <c r="W37" s="153"/>
      <c r="X37" s="158"/>
      <c r="Y37" s="158"/>
      <c r="Z37" s="158"/>
    </row>
    <row r="38" ht="19" customHeight="1" spans="1:26">
      <c r="A38" s="180"/>
      <c r="B38" s="129"/>
      <c r="C38" s="129"/>
      <c r="D38" s="127" t="s">
        <v>49</v>
      </c>
      <c r="E38" s="153">
        <v>6125.04</v>
      </c>
      <c r="F38" s="153">
        <f>E38/100*AC7*0.08</f>
        <v>5.027432832</v>
      </c>
      <c r="G38" s="153">
        <f>E38/100*AC7*0.82</f>
        <v>51.531186528</v>
      </c>
      <c r="H38" s="153">
        <f>E38/100*AC7*0.08</f>
        <v>5.027432832</v>
      </c>
      <c r="I38" s="153"/>
      <c r="J38" s="153"/>
      <c r="K38" s="153">
        <f>E38/100*AD7*0.82</f>
        <v>37.3601102328</v>
      </c>
      <c r="L38" s="153">
        <f>E38/100*AD7*0.08</f>
        <v>3.6448888032</v>
      </c>
      <c r="M38" s="153">
        <f>E38/100*AD7*0.08</f>
        <v>3.6448888032</v>
      </c>
      <c r="N38" s="153">
        <f>E38/100*AE7*0.08</f>
        <v>1.7596014912</v>
      </c>
      <c r="O38" s="153">
        <f>E38/100*AE7*0.82</f>
        <v>18.0359152848</v>
      </c>
      <c r="P38" s="153">
        <f>E38/100*AE7*0.08</f>
        <v>1.7596014912</v>
      </c>
      <c r="Q38" s="153">
        <f>E38/100*AF7*0.08</f>
        <v>1.8224444016</v>
      </c>
      <c r="R38" s="153">
        <f>E38/100*AF7*0.08</f>
        <v>1.8224444016</v>
      </c>
      <c r="S38" s="153"/>
      <c r="T38" s="153">
        <f>E38/100*AF7*0.82</f>
        <v>18.6800551164</v>
      </c>
      <c r="U38" s="153">
        <f>E38/100*AG14</f>
        <v>3.06252</v>
      </c>
      <c r="V38" s="153">
        <v>20</v>
      </c>
      <c r="W38" s="153"/>
      <c r="X38" s="158"/>
      <c r="Y38" s="158"/>
      <c r="Z38" s="158"/>
    </row>
    <row r="39" ht="21" customHeight="1" spans="1:26">
      <c r="A39" s="180"/>
      <c r="B39" s="129"/>
      <c r="C39" s="129"/>
      <c r="D39" s="127" t="s">
        <v>50</v>
      </c>
      <c r="E39" s="153">
        <v>287.76</v>
      </c>
      <c r="F39" s="153">
        <f>E39/100*AC7*0.08*1.3</f>
        <v>0.3070514304</v>
      </c>
      <c r="G39" s="153">
        <f>E39/100*AC7*0.82*1.3</f>
        <v>3.1472771616</v>
      </c>
      <c r="H39" s="153">
        <f>E39/100*AC7*0.08*1.3</f>
        <v>0.3070514304</v>
      </c>
      <c r="I39" s="153"/>
      <c r="J39" s="153"/>
      <c r="K39" s="153">
        <f>E39/100*AD7*0.82*1.3</f>
        <v>2.28177594216</v>
      </c>
      <c r="L39" s="153">
        <f>E39/100*AD7*0.08*1.3</f>
        <v>0.22261228704</v>
      </c>
      <c r="M39" s="153">
        <f>E39/100*AD7*0.08*1.3</f>
        <v>0.22261228704</v>
      </c>
      <c r="N39" s="153">
        <f>E39/100*AE7*0.82*1.3</f>
        <v>1.10154700656</v>
      </c>
      <c r="O39" s="153">
        <f>E39/100*AE7*0.08*1.3</f>
        <v>0.10746800064</v>
      </c>
      <c r="P39" s="153">
        <f>E39/100*AE7*0.08</f>
        <v>0.0826676928</v>
      </c>
      <c r="Q39" s="153">
        <f>E39/100*AF7*0.82*1.3</f>
        <v>1.14088797108</v>
      </c>
      <c r="R39" s="153">
        <f>E39/100*AF7*0.08*1.3</f>
        <v>0.11130614352</v>
      </c>
      <c r="S39" s="153">
        <f>E39/100*AF7*0.08*1.3</f>
        <v>0.11130614352</v>
      </c>
      <c r="T39" s="158"/>
      <c r="U39" s="158"/>
      <c r="V39" s="158"/>
      <c r="W39" s="158"/>
      <c r="X39" s="158"/>
      <c r="Y39" s="158"/>
      <c r="Z39" s="158"/>
    </row>
    <row r="40" ht="22" customHeight="1" spans="1:26">
      <c r="A40" s="180"/>
      <c r="B40" s="129"/>
      <c r="C40" s="129"/>
      <c r="D40" s="127" t="s">
        <v>51</v>
      </c>
      <c r="E40" s="153">
        <v>287.76</v>
      </c>
      <c r="F40" s="153">
        <f>E40/100*AC7*0.82*0.2*1.3</f>
        <v>0.62945543232</v>
      </c>
      <c r="G40" s="153">
        <f>E40/100*AC7*0.08*0.2*1.3</f>
        <v>0.06141028608</v>
      </c>
      <c r="H40" s="153">
        <f>E40/100*AC7*0.08*0.2*1.3</f>
        <v>0.06141028608</v>
      </c>
      <c r="I40" s="153"/>
      <c r="J40" s="153"/>
      <c r="K40" s="153">
        <f>E40/100*AD7*0.82*0.2*1.3</f>
        <v>0.456355188432</v>
      </c>
      <c r="L40" s="153">
        <f>E40/100*AD7*0.08*0.2*1.3</f>
        <v>0.044522457408</v>
      </c>
      <c r="M40" s="153">
        <f>E40/100*AD7*0.08*0.2*1.3</f>
        <v>0.044522457408</v>
      </c>
      <c r="N40" s="153">
        <f>E40/100*AE7*0.82*0.2*1.3</f>
        <v>0.220309401312</v>
      </c>
      <c r="O40" s="153">
        <f>E40/100*AE7*0.08*0.2</f>
        <v>0.01653353856</v>
      </c>
      <c r="P40" s="153">
        <f>E40/100*AE7*0.08*0.2*1.3</f>
        <v>0.021493600128</v>
      </c>
      <c r="Q40" s="153">
        <f>E40/100*AF7*0.82*0.2</f>
        <v>0.17552122632</v>
      </c>
      <c r="R40" s="153">
        <f>E40/100*AF7*0.08*0.2</f>
        <v>0.01712402208</v>
      </c>
      <c r="S40" s="153">
        <f>E40/100*AF7*0.08*0.2</f>
        <v>0.01712402208</v>
      </c>
      <c r="T40" s="158"/>
      <c r="U40" s="158"/>
      <c r="V40" s="158"/>
      <c r="W40" s="158"/>
      <c r="X40" s="158"/>
      <c r="Y40" s="158"/>
      <c r="Z40" s="158"/>
    </row>
    <row r="41" ht="19" customHeight="1" spans="1:26">
      <c r="A41" s="180"/>
      <c r="B41" s="129"/>
      <c r="C41" s="129"/>
      <c r="D41" s="127" t="s">
        <v>52</v>
      </c>
      <c r="E41" s="153">
        <v>158.4</v>
      </c>
      <c r="F41" s="153">
        <f>E41/100*AC7*0.08</f>
        <v>0.13001472</v>
      </c>
      <c r="G41" s="153">
        <f>E41/100*AC7*0.82</f>
        <v>1.33265088</v>
      </c>
      <c r="H41" s="153">
        <f>E41/100*AC7*0.08</f>
        <v>0.13001472</v>
      </c>
      <c r="I41" s="153"/>
      <c r="J41" s="153"/>
      <c r="K41" s="153">
        <f>E41/100*AD7*0.82</f>
        <v>0.966171888</v>
      </c>
      <c r="L41" s="153">
        <f>E41/100*AD7*0.08</f>
        <v>0.094260672</v>
      </c>
      <c r="M41" s="153">
        <f>E41/100*AD7*0.08</f>
        <v>0.094260672</v>
      </c>
      <c r="N41" s="153">
        <f>E41/100*AE7*0.82</f>
        <v>0.466427808</v>
      </c>
      <c r="O41" s="153">
        <f>E41/100*AE7*0.08</f>
        <v>0.045505152</v>
      </c>
      <c r="P41" s="153">
        <f>E41/100*AE7*0.08</f>
        <v>0.045505152</v>
      </c>
      <c r="Q41" s="153">
        <f>E41/100*AF7*0.82*1.3</f>
        <v>0.6280117272</v>
      </c>
      <c r="R41" s="153">
        <f>E41/100*AF7*0.08*1.3</f>
        <v>0.0612694368</v>
      </c>
      <c r="S41" s="153">
        <f>E41/100*AF7*0.08*1.3</f>
        <v>0.0612694368</v>
      </c>
      <c r="T41" s="158"/>
      <c r="U41" s="158"/>
      <c r="V41" s="158"/>
      <c r="W41" s="158"/>
      <c r="X41" s="158"/>
      <c r="Y41" s="158"/>
      <c r="Z41" s="158"/>
    </row>
    <row r="42" ht="27" spans="1:26">
      <c r="A42" s="180"/>
      <c r="B42" s="129"/>
      <c r="C42" s="129"/>
      <c r="D42" s="127" t="s">
        <v>53</v>
      </c>
      <c r="E42" s="153">
        <v>211.61</v>
      </c>
      <c r="F42" s="153">
        <f>E42/100*AC7*0.08*1.3</f>
        <v>0.2257963344</v>
      </c>
      <c r="G42" s="153">
        <f>E42/100*AC7*0.82*1.3</f>
        <v>2.3144124276</v>
      </c>
      <c r="H42" s="153">
        <f>E42/100*AC7*0.08*1.3</f>
        <v>0.2257963344</v>
      </c>
      <c r="I42" s="153"/>
      <c r="J42" s="153"/>
      <c r="K42" s="153"/>
      <c r="L42" s="153"/>
      <c r="M42" s="153"/>
      <c r="N42" s="153">
        <f>E42/100*AE7*0.82*1.3</f>
        <v>0.81004434966</v>
      </c>
      <c r="O42" s="153">
        <f>E42/100*AE7*0.08*1.3</f>
        <v>0.07902871704</v>
      </c>
      <c r="P42" s="153">
        <f>E42/100*AE7*0.08*1.3</f>
        <v>0.07902871704</v>
      </c>
      <c r="Q42" s="153">
        <f>E42/100*AF7*0.82*1.3</f>
        <v>0.838974505005</v>
      </c>
      <c r="R42" s="153">
        <f>E42/100*AF7*0.08*1.3</f>
        <v>0.08185117122</v>
      </c>
      <c r="S42" s="153">
        <f>E42/100*AF7*0.08*1.3</f>
        <v>0.08185117122</v>
      </c>
      <c r="T42" s="158"/>
      <c r="U42" s="158"/>
      <c r="V42" s="158"/>
      <c r="W42" s="158"/>
      <c r="X42" s="158"/>
      <c r="Y42" s="158"/>
      <c r="Z42" s="158"/>
    </row>
    <row r="43" ht="27" spans="1:26">
      <c r="A43" s="180"/>
      <c r="B43" s="129"/>
      <c r="C43" s="129"/>
      <c r="D43" s="127" t="s">
        <v>54</v>
      </c>
      <c r="E43" s="128">
        <v>398.28</v>
      </c>
      <c r="F43" s="153">
        <f>E43/100*AC7*0.08*1.3</f>
        <v>0.4249806912</v>
      </c>
      <c r="G43" s="153">
        <f>E43/100*AC7*0.82*1.3</f>
        <v>4.3560520848</v>
      </c>
      <c r="H43" s="153">
        <f>E43/100*AC7*0.08*1.3</f>
        <v>0.4249806912</v>
      </c>
      <c r="I43" s="153"/>
      <c r="J43" s="153"/>
      <c r="K43" s="153"/>
      <c r="L43" s="153"/>
      <c r="M43" s="153"/>
      <c r="N43" s="153">
        <f>E43/100*AE7*0.82*1.3</f>
        <v>1.52461822968</v>
      </c>
      <c r="O43" s="153">
        <f>E43/100*AE7*0.08*1.3</f>
        <v>0.14874324192</v>
      </c>
      <c r="P43" s="153">
        <f>E43/100*AE7*0.08*1.3</f>
        <v>0.14874324192</v>
      </c>
      <c r="Q43" s="153">
        <f>E43/100*AF7*0.82*1.3</f>
        <v>1.57906888074</v>
      </c>
      <c r="R43" s="153">
        <f>E43/100*AF7*0.08*1.3</f>
        <v>0.15405550056</v>
      </c>
      <c r="S43" s="153">
        <f>E43/100*AF7*0.08*1.3</f>
        <v>0.15405550056</v>
      </c>
      <c r="T43" s="158"/>
      <c r="U43" s="158"/>
      <c r="V43" s="158"/>
      <c r="W43" s="158"/>
      <c r="X43" s="158"/>
      <c r="Y43" s="158"/>
      <c r="Z43" s="158"/>
    </row>
    <row r="44" spans="1:26">
      <c r="A44" s="40"/>
      <c r="B44" s="130"/>
      <c r="C44" s="130"/>
      <c r="D44" s="133" t="s">
        <v>55</v>
      </c>
      <c r="E44" s="128">
        <v>3874.23</v>
      </c>
      <c r="F44" s="153">
        <f>E44/100*AC7*0.82*1.3*0.25</f>
        <v>10.5932683467</v>
      </c>
      <c r="G44" s="153">
        <f>E44/100*AC7*0.08*1.3*0.25</f>
        <v>1.0334895948</v>
      </c>
      <c r="H44" s="153">
        <f>E44/100*AC7*0.08*1.3*0.25</f>
        <v>1.0334895948</v>
      </c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</row>
    <row r="45" spans="1:26">
      <c r="A45" s="39">
        <v>3</v>
      </c>
      <c r="B45" s="126" t="s">
        <v>9</v>
      </c>
      <c r="C45" s="127" t="s">
        <v>7</v>
      </c>
      <c r="D45" s="127" t="s">
        <v>7</v>
      </c>
      <c r="E45" s="153">
        <f>SUM(E46:E53)</f>
        <v>17442.69</v>
      </c>
      <c r="F45" s="153">
        <f>E45/100*AC10*0.82</f>
        <v>107.683933704322</v>
      </c>
      <c r="G45" s="153">
        <f>E45/100*AC10*0.08</f>
        <v>10.50574962969</v>
      </c>
      <c r="H45" s="153">
        <f>E45/100*AC10*0.08</f>
        <v>10.50574962969</v>
      </c>
      <c r="I45" s="153"/>
      <c r="J45" s="153"/>
      <c r="K45" s="153"/>
      <c r="L45" s="153"/>
      <c r="M45" s="153"/>
      <c r="N45" s="153">
        <f>E45/100*AE10*0.08</f>
        <v>8.30687180022</v>
      </c>
      <c r="O45" s="153">
        <f>E45/100*AE10*0.08</f>
        <v>8.30687180022</v>
      </c>
      <c r="P45" s="153">
        <f>E45/100*AE10*0.82</f>
        <v>85.145435952255</v>
      </c>
      <c r="Q45" s="153">
        <f>E45/100*AF10*0.82</f>
        <v>40.06844044812</v>
      </c>
      <c r="R45" s="153">
        <f>E45/100*AF10*0.08</f>
        <v>3.90911614128</v>
      </c>
      <c r="S45" s="153">
        <f>E45/100*AF10*0.08</f>
        <v>3.90911614128</v>
      </c>
      <c r="T45" s="153"/>
      <c r="U45" s="153"/>
      <c r="V45" s="153"/>
      <c r="W45" s="153">
        <f>E45/100*AC10*0.82</f>
        <v>107.683933704322</v>
      </c>
      <c r="X45" s="158">
        <f>E45/100*AC10*0.82</f>
        <v>107.683933704322</v>
      </c>
      <c r="Y45" s="158"/>
      <c r="Z45" s="158"/>
    </row>
    <row r="46" spans="1:26">
      <c r="A46" s="180"/>
      <c r="B46" s="129"/>
      <c r="C46" s="126" t="s">
        <v>6</v>
      </c>
      <c r="D46" s="127" t="s">
        <v>48</v>
      </c>
      <c r="E46" s="153">
        <v>6099.61</v>
      </c>
      <c r="F46" s="153">
        <f>E46/100*AC9*0.82</f>
        <v>128.54968332426</v>
      </c>
      <c r="G46" s="153">
        <f>E46/100*AC9*0.08</f>
        <v>12.54143251944</v>
      </c>
      <c r="H46" s="153">
        <f>E46/100*AC9*0.08</f>
        <v>12.54143251944</v>
      </c>
      <c r="I46" s="153"/>
      <c r="J46" s="153"/>
      <c r="K46" s="153">
        <f>E46/100*AD9*0.08</f>
        <v>14.56908927408</v>
      </c>
      <c r="L46" s="153">
        <f>E46/100*AD9*0.82</f>
        <v>149.33316505932</v>
      </c>
      <c r="M46" s="153">
        <f>E46/100*AD9*0.08</f>
        <v>14.56908927408</v>
      </c>
      <c r="N46" s="153">
        <f>E46/100*AE9*0.82</f>
        <v>50.0343078807</v>
      </c>
      <c r="O46" s="153">
        <f>E46/100*AE9*0.08</f>
        <v>4.8813958908</v>
      </c>
      <c r="P46" s="153">
        <f>E46/100*AE9*0.08</f>
        <v>4.8813958908</v>
      </c>
      <c r="Q46" s="153">
        <f>E46/100*AF9*0.82</f>
        <v>56.57725583433</v>
      </c>
      <c r="R46" s="153">
        <f>E46/100*AF9*0.08</f>
        <v>5.51973227652</v>
      </c>
      <c r="S46" s="153">
        <f>E46/100*AF9*0.08</f>
        <v>5.51973227652</v>
      </c>
      <c r="T46" s="153"/>
      <c r="U46" s="153">
        <f>E46/100*AG9</f>
        <v>4.693649895</v>
      </c>
      <c r="V46" s="153"/>
      <c r="W46" s="153"/>
      <c r="X46" s="158"/>
      <c r="Y46" s="158"/>
      <c r="Z46" s="158"/>
    </row>
    <row r="47" spans="1:26">
      <c r="A47" s="180"/>
      <c r="B47" s="129"/>
      <c r="C47" s="129"/>
      <c r="D47" s="127" t="s">
        <v>49</v>
      </c>
      <c r="E47" s="153">
        <v>6125.04</v>
      </c>
      <c r="F47" s="153">
        <f>E47/100*AC9*0.08</f>
        <v>12.59371924416</v>
      </c>
      <c r="G47" s="153">
        <f>E47/100*AC9*0.82</f>
        <v>129.08562225264</v>
      </c>
      <c r="H47" s="153">
        <f>E47/100*AC9*0.08</f>
        <v>12.59371924416</v>
      </c>
      <c r="I47" s="153"/>
      <c r="J47" s="153"/>
      <c r="K47" s="153">
        <f>E47/100*AD9*0.82</f>
        <v>149.95575279648</v>
      </c>
      <c r="L47" s="153">
        <f>E47/100*AD9*0.08</f>
        <v>14.62982954112</v>
      </c>
      <c r="M47" s="153">
        <f>E47/100*AD9*0.08</f>
        <v>14.62982954112</v>
      </c>
      <c r="N47" s="153">
        <f>E47/100*AE9*0.08</f>
        <v>4.9017470112</v>
      </c>
      <c r="O47" s="153">
        <f>E47/100*AE9*0.82</f>
        <v>50.2429068648</v>
      </c>
      <c r="P47" s="153">
        <f>E47/100*AE9*0.08</f>
        <v>4.9017470112</v>
      </c>
      <c r="Q47" s="153">
        <f>E47/100*AF9*0.82</f>
        <v>56.81313314712</v>
      </c>
      <c r="R47" s="153">
        <f>E47/100*AF9*0.08</f>
        <v>5.54274469728</v>
      </c>
      <c r="S47" s="153">
        <f>E47/100*AF9*0.08</f>
        <v>5.54274469728</v>
      </c>
      <c r="T47" s="153"/>
      <c r="U47" s="153">
        <f>E47/100*AG9</f>
        <v>4.71321828</v>
      </c>
      <c r="V47" s="153"/>
      <c r="W47" s="153"/>
      <c r="X47" s="158"/>
      <c r="Y47" s="158"/>
      <c r="Z47" s="158"/>
    </row>
    <row r="48" spans="1:26">
      <c r="A48" s="180"/>
      <c r="B48" s="129"/>
      <c r="C48" s="129"/>
      <c r="D48" s="127" t="s">
        <v>50</v>
      </c>
      <c r="E48" s="153">
        <v>287.76</v>
      </c>
      <c r="F48" s="153">
        <f>E48/100*AC9*0.08*1.3</f>
        <v>0.769163833152</v>
      </c>
      <c r="G48" s="153">
        <f>E48/100*AC9*0.82*1.3</f>
        <v>7.883929289808</v>
      </c>
      <c r="H48" s="153">
        <f>E48/100*AC9*0.08*1.3</f>
        <v>0.769163833152</v>
      </c>
      <c r="I48" s="153"/>
      <c r="J48" s="153"/>
      <c r="K48" s="153">
        <f>E48/100*AD9*0.82*1.3</f>
        <v>9.158576540256</v>
      </c>
      <c r="L48" s="153">
        <f>E48/100*AD9*0.08*1.3</f>
        <v>0.893519662464</v>
      </c>
      <c r="M48" s="153">
        <f>E48/100*AD9*0.08*1.3</f>
        <v>0.893519662464</v>
      </c>
      <c r="N48" s="153">
        <f>E48/100*AE9*0.82*1.3</f>
        <v>3.06859523256</v>
      </c>
      <c r="O48" s="153">
        <f>E48/100*AE9*0.08*1.3</f>
        <v>0.29937514464</v>
      </c>
      <c r="P48" s="153">
        <f>E48/100*AE9*0.08</f>
        <v>0.2302885728</v>
      </c>
      <c r="Q48" s="153">
        <f>E48/100*AF9*0.82*1.3</f>
        <v>3.469873070664</v>
      </c>
      <c r="R48" s="153">
        <f>E48/100*AF9*0.08*1.3</f>
        <v>0.338524202016</v>
      </c>
      <c r="S48" s="153">
        <f>E48/100*AF9*0.08*1.3</f>
        <v>0.338524202016</v>
      </c>
      <c r="T48" s="158"/>
      <c r="U48" s="158"/>
      <c r="V48" s="158"/>
      <c r="W48" s="158"/>
      <c r="X48" s="158"/>
      <c r="Y48" s="158"/>
      <c r="Z48" s="158"/>
    </row>
    <row r="49" spans="1:26">
      <c r="A49" s="180"/>
      <c r="B49" s="129"/>
      <c r="C49" s="129"/>
      <c r="D49" s="127" t="s">
        <v>51</v>
      </c>
      <c r="E49" s="153">
        <v>287.76</v>
      </c>
      <c r="F49" s="153">
        <f>E49/100*AC9*0.82*0.2*1.3</f>
        <v>1.5767858579616</v>
      </c>
      <c r="G49" s="153">
        <f>E49/100*AC9*0.08*0.2*1.3</f>
        <v>0.1538327666304</v>
      </c>
      <c r="H49" s="153">
        <f>E49/100*AC9*0.08*0.2*1.3</f>
        <v>0.1538327666304</v>
      </c>
      <c r="I49" s="153"/>
      <c r="J49" s="153"/>
      <c r="K49" s="153">
        <f>E49/100*AD9*0.82*0.2*1.3</f>
        <v>1.8317153080512</v>
      </c>
      <c r="L49" s="153">
        <f>E49/100*AD9*0.08*0.2*1.3</f>
        <v>0.1787039324928</v>
      </c>
      <c r="M49" s="153">
        <f>E49/100*AD9*0.08*0.2*1.3</f>
        <v>0.1787039324928</v>
      </c>
      <c r="N49" s="153">
        <f>E49/100*AE9*0.82*0.2*1.3</f>
        <v>0.613719046512</v>
      </c>
      <c r="O49" s="153">
        <f>E49/100*AE9*0.08*0.2</f>
        <v>0.04605771456</v>
      </c>
      <c r="P49" s="153">
        <f>E49/100*AE9*0.08*0.2*1.3</f>
        <v>0.059875028928</v>
      </c>
      <c r="Q49" s="153">
        <f>E49/100*AF9*0.82*0.2</f>
        <v>0.533826626256</v>
      </c>
      <c r="R49" s="153">
        <f>E49/100*AF9*0.08*0.2</f>
        <v>0.052080646464</v>
      </c>
      <c r="S49" s="153">
        <f>E49/100*AF9*0.08*0.2</f>
        <v>0.052080646464</v>
      </c>
      <c r="T49" s="158"/>
      <c r="U49" s="158"/>
      <c r="V49" s="158"/>
      <c r="W49" s="158"/>
      <c r="X49" s="158"/>
      <c r="Y49" s="158"/>
      <c r="Z49" s="158"/>
    </row>
    <row r="50" spans="1:26">
      <c r="A50" s="180"/>
      <c r="B50" s="129"/>
      <c r="C50" s="129"/>
      <c r="D50" s="127" t="s">
        <v>52</v>
      </c>
      <c r="E50" s="153">
        <v>158.4</v>
      </c>
      <c r="F50" s="153">
        <f>E50/100*AC9*0.08</f>
        <v>0.3256868736</v>
      </c>
      <c r="G50" s="153">
        <f>E50/100*AC9*0.82</f>
        <v>3.3382904544</v>
      </c>
      <c r="H50" s="153">
        <f>E50/100*AC9*0.08</f>
        <v>0.3256868736</v>
      </c>
      <c r="I50" s="153"/>
      <c r="J50" s="153"/>
      <c r="K50" s="153">
        <f>E50/100*AD9*0.82</f>
        <v>3.8780140608</v>
      </c>
      <c r="L50" s="153">
        <f>E50/100*AD9*0.08</f>
        <v>0.3783428352</v>
      </c>
      <c r="M50" s="153">
        <f>E50/100*AD9*0.08</f>
        <v>0.3783428352</v>
      </c>
      <c r="N50" s="153">
        <f>E50/100*AE9*0.82</f>
        <v>1.299334608</v>
      </c>
      <c r="O50" s="153">
        <f>E50/100*AE9*0.08</f>
        <v>0.126764352</v>
      </c>
      <c r="P50" s="153">
        <f>E50/100*AE9*0.08</f>
        <v>0.126764352</v>
      </c>
      <c r="Q50" s="153">
        <f>E50/100*AF9*0.82*1.3</f>
        <v>1.91002187376</v>
      </c>
      <c r="R50" s="153">
        <f>E50/100*AF9*0.08*1.3</f>
        <v>0.18634359744</v>
      </c>
      <c r="S50" s="153">
        <f>E50/100*AF9*0.08*1.3</f>
        <v>0.18634359744</v>
      </c>
      <c r="T50" s="158"/>
      <c r="U50" s="158"/>
      <c r="V50" s="158"/>
      <c r="W50" s="158"/>
      <c r="X50" s="158"/>
      <c r="Y50" s="158"/>
      <c r="Z50" s="158"/>
    </row>
    <row r="51" ht="27" spans="1:26">
      <c r="A51" s="180"/>
      <c r="B51" s="129"/>
      <c r="C51" s="129"/>
      <c r="D51" s="127" t="s">
        <v>53</v>
      </c>
      <c r="E51" s="153">
        <v>211.61</v>
      </c>
      <c r="F51" s="153">
        <f>E51/100*AC9*0.08*1.3</f>
        <v>0.565619817672</v>
      </c>
      <c r="G51" s="153">
        <f>E51/100*AC9*0.82*1.3</f>
        <v>5.797603131138</v>
      </c>
      <c r="H51" s="153">
        <f>E51/100*AC9*0.08*1.3</f>
        <v>0.565619817672</v>
      </c>
      <c r="I51" s="153"/>
      <c r="J51" s="153"/>
      <c r="K51" s="153"/>
      <c r="L51" s="153"/>
      <c r="M51" s="153"/>
      <c r="N51" s="153">
        <f>E51/100*AE9*0.82*1.3</f>
        <v>2.25655211691</v>
      </c>
      <c r="O51" s="153">
        <f>E51/100*AE9*0.08*1.3</f>
        <v>0.22015142604</v>
      </c>
      <c r="P51" s="153">
        <f>E51/100*AE9*0.08*1.3</f>
        <v>0.22015142604</v>
      </c>
      <c r="Q51" s="153">
        <f>E51/100*AF9*0.82*1.3</f>
        <v>2.551639701429</v>
      </c>
      <c r="R51" s="153">
        <f>E51/100*AF9*0.08*1.3</f>
        <v>0.248940458676</v>
      </c>
      <c r="S51" s="153">
        <f>E51/100*AF9*0.08*1.3</f>
        <v>0.248940458676</v>
      </c>
      <c r="T51" s="158"/>
      <c r="U51" s="158"/>
      <c r="V51" s="158"/>
      <c r="W51" s="158"/>
      <c r="X51" s="158"/>
      <c r="Y51" s="158"/>
      <c r="Z51" s="158"/>
    </row>
    <row r="52" ht="27" spans="1:26">
      <c r="A52" s="180"/>
      <c r="B52" s="129"/>
      <c r="C52" s="129"/>
      <c r="D52" s="127" t="s">
        <v>54</v>
      </c>
      <c r="E52" s="128">
        <v>398.28</v>
      </c>
      <c r="F52" s="153">
        <f>E52/100*AC9*0.08*1.3</f>
        <v>1.064576631456</v>
      </c>
      <c r="G52" s="153">
        <f>E52/100*AC9*0.82*1.3</f>
        <v>10.911910472424</v>
      </c>
      <c r="H52" s="153">
        <f>E52/100*AC9*0.08*1.3</f>
        <v>1.064576631456</v>
      </c>
      <c r="I52" s="153"/>
      <c r="J52" s="153"/>
      <c r="K52" s="153"/>
      <c r="L52" s="153"/>
      <c r="M52" s="153"/>
      <c r="N52" s="153">
        <f>E52/100*AE9*0.82*1.3</f>
        <v>4.24715078268</v>
      </c>
      <c r="O52" s="153">
        <f>E52/100*AE9*0.08*1.3</f>
        <v>0.41435617392</v>
      </c>
      <c r="P52" s="153">
        <f>E52/100*AE9*0.08*1.3</f>
        <v>0.41435617392</v>
      </c>
      <c r="Q52" s="153">
        <f>E52/100*AF9*0.82*1.3</f>
        <v>4.802547423492</v>
      </c>
      <c r="R52" s="153">
        <f>E52/100*AF9*0.08*1.3</f>
        <v>0.468541212048</v>
      </c>
      <c r="S52" s="153">
        <f>E52/100*AF9*0.08*1.3</f>
        <v>0.468541212048</v>
      </c>
      <c r="T52" s="158"/>
      <c r="U52" s="158"/>
      <c r="V52" s="158"/>
      <c r="W52" s="158"/>
      <c r="X52" s="158"/>
      <c r="Y52" s="158"/>
      <c r="Z52" s="158"/>
    </row>
    <row r="53" spans="1:26">
      <c r="A53" s="40"/>
      <c r="B53" s="130"/>
      <c r="C53" s="130"/>
      <c r="D53" s="133" t="s">
        <v>55</v>
      </c>
      <c r="E53" s="128">
        <v>3874.23</v>
      </c>
      <c r="F53" s="153">
        <f>E53/100*AC9*0.82*1.3*0.25</f>
        <v>26.5361372084835</v>
      </c>
      <c r="G53" s="153">
        <f>E53/100*AC9*0.08*1.3*0.25</f>
        <v>2.588891434974</v>
      </c>
      <c r="H53" s="153">
        <f>E53/100*AC9*0.08*1.3*0.25</f>
        <v>2.588891434974</v>
      </c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</row>
    <row r="54" spans="1:26">
      <c r="A54" s="155" t="s">
        <v>56</v>
      </c>
      <c r="B54" s="156"/>
      <c r="C54" s="156"/>
      <c r="D54" s="157"/>
      <c r="E54" s="158"/>
      <c r="F54" s="153">
        <f>D57*(0.09+0.02)</f>
        <v>140.051522800353</v>
      </c>
      <c r="G54" s="158"/>
      <c r="H54" s="158"/>
      <c r="I54" s="158"/>
      <c r="J54" s="158"/>
      <c r="K54" s="128">
        <f>D58*(0.09+0.02)</f>
        <v>51.589745454677</v>
      </c>
      <c r="L54" s="158"/>
      <c r="M54" s="158"/>
      <c r="N54" s="153">
        <f>D59*0.09</f>
        <v>27.0432668517337</v>
      </c>
      <c r="O54" s="158"/>
      <c r="P54" s="158"/>
      <c r="Q54" s="158">
        <f>D60*0.09</f>
        <v>22.8744337774503</v>
      </c>
      <c r="R54" s="158"/>
      <c r="S54" s="158"/>
      <c r="T54" s="158"/>
      <c r="U54" s="158">
        <f>D61*0.09</f>
        <v>1.39672738575</v>
      </c>
      <c r="V54" s="158"/>
      <c r="W54" s="158"/>
      <c r="X54" s="158"/>
      <c r="Y54" s="158"/>
      <c r="Z54" s="127"/>
    </row>
    <row r="55" spans="1:26">
      <c r="A55" s="155" t="s">
        <v>57</v>
      </c>
      <c r="B55" s="156"/>
      <c r="C55" s="156"/>
      <c r="D55" s="157"/>
      <c r="E55" s="158"/>
      <c r="F55" s="153">
        <f>D62*0.15</f>
        <v>385.158228968803</v>
      </c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</row>
    <row r="56" spans="1:26">
      <c r="A56" s="38" t="s">
        <v>13</v>
      </c>
      <c r="B56" s="38"/>
      <c r="C56" s="38"/>
      <c r="D56" s="38"/>
      <c r="E56" s="135"/>
      <c r="F56" s="135">
        <f>SUM(F27:F55)</f>
        <v>937.405363578474</v>
      </c>
      <c r="G56" s="135">
        <f>SUM(G27:G55)</f>
        <v>299.017314351149</v>
      </c>
      <c r="H56" s="135">
        <f>SUM(H27:H55)</f>
        <v>57.3062063659794</v>
      </c>
      <c r="I56" s="135">
        <f>SUM(I27:I55)</f>
        <v>354.75330529494</v>
      </c>
      <c r="J56" s="135">
        <f>SUM(J27:J55)</f>
        <v>149.923224</v>
      </c>
      <c r="K56" s="135">
        <f t="shared" ref="K56:X56" si="1">SUM(K27:K55)</f>
        <v>275.677062604536</v>
      </c>
      <c r="L56" s="135">
        <f t="shared" si="1"/>
        <v>206.624843417945</v>
      </c>
      <c r="M56" s="135">
        <f t="shared" si="1"/>
        <v>38.2855253838048</v>
      </c>
      <c r="N56" s="135">
        <f t="shared" si="1"/>
        <v>127.028691534073</v>
      </c>
      <c r="O56" s="135">
        <f t="shared" si="1"/>
        <v>86.136933581685</v>
      </c>
      <c r="P56" s="135">
        <f t="shared" si="1"/>
        <v>114.358384533017</v>
      </c>
      <c r="Q56" s="135">
        <f t="shared" si="1"/>
        <v>214.807413570696</v>
      </c>
      <c r="R56" s="135">
        <f t="shared" si="1"/>
        <v>20.747785739184</v>
      </c>
      <c r="S56" s="135">
        <f t="shared" si="1"/>
        <v>18.506507465304</v>
      </c>
      <c r="T56" s="135">
        <f t="shared" si="1"/>
        <v>22.97310230727</v>
      </c>
      <c r="U56" s="135">
        <f t="shared" si="1"/>
        <v>16.91592056075</v>
      </c>
      <c r="V56" s="135">
        <f t="shared" si="1"/>
        <v>40</v>
      </c>
      <c r="W56" s="135">
        <f t="shared" si="1"/>
        <v>107.683933704322</v>
      </c>
      <c r="X56" s="135">
        <f t="shared" si="1"/>
        <v>107.683933704322</v>
      </c>
      <c r="Y56" s="158"/>
      <c r="Z56" s="158">
        <f>SUM(F56:X56)</f>
        <v>3195.83545169745</v>
      </c>
    </row>
    <row r="57" spans="1:26">
      <c r="A57" s="38" t="s">
        <v>58</v>
      </c>
      <c r="B57" s="38"/>
      <c r="C57" s="38"/>
      <c r="D57" s="128">
        <f>SUM(F27:J53)</f>
        <v>1273.19566182139</v>
      </c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</row>
    <row r="58" spans="1:26">
      <c r="A58" s="38" t="s">
        <v>59</v>
      </c>
      <c r="B58" s="38"/>
      <c r="C58" s="38"/>
      <c r="D58" s="128">
        <f>SUM(K27:M53)</f>
        <v>468.997685951609</v>
      </c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</row>
    <row r="59" spans="1:26">
      <c r="A59" s="38" t="s">
        <v>60</v>
      </c>
      <c r="B59" s="38"/>
      <c r="C59" s="38"/>
      <c r="D59" s="128">
        <f>SUM(N27:P53)</f>
        <v>300.480742797041</v>
      </c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</row>
    <row r="60" spans="1:26">
      <c r="A60" s="38" t="s">
        <v>61</v>
      </c>
      <c r="B60" s="38"/>
      <c r="C60" s="38"/>
      <c r="D60" s="128">
        <f>SUM(Q27:T52)</f>
        <v>254.160375305004</v>
      </c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</row>
    <row r="61" spans="1:26">
      <c r="A61" s="38" t="s">
        <v>62</v>
      </c>
      <c r="B61" s="38"/>
      <c r="C61" s="38"/>
      <c r="D61" s="128">
        <f>SUM(U27:U53)</f>
        <v>15.519193175</v>
      </c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</row>
    <row r="62" spans="1:26">
      <c r="A62" s="38" t="s">
        <v>63</v>
      </c>
      <c r="B62" s="38"/>
      <c r="C62" s="128"/>
      <c r="D62" s="128">
        <f>SUM(F27:X53)</f>
        <v>2567.72152645868</v>
      </c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</row>
  </sheetData>
  <mergeCells count="65">
    <mergeCell ref="A6:Z6"/>
    <mergeCell ref="F7:U7"/>
    <mergeCell ref="F8:I8"/>
    <mergeCell ref="K8:M8"/>
    <mergeCell ref="N8:P8"/>
    <mergeCell ref="Q8:U8"/>
    <mergeCell ref="A17:D17"/>
    <mergeCell ref="A18:D18"/>
    <mergeCell ref="A19:B19"/>
    <mergeCell ref="A20:B20"/>
    <mergeCell ref="F20:Z20"/>
    <mergeCell ref="A21:B21"/>
    <mergeCell ref="F21:Z21"/>
    <mergeCell ref="A22:B22"/>
    <mergeCell ref="F22:Z22"/>
    <mergeCell ref="A23:Z23"/>
    <mergeCell ref="F24:U24"/>
    <mergeCell ref="F25:J25"/>
    <mergeCell ref="K25:M25"/>
    <mergeCell ref="N25:P25"/>
    <mergeCell ref="Q25:T25"/>
    <mergeCell ref="A54:D54"/>
    <mergeCell ref="A55:D55"/>
    <mergeCell ref="A56:B56"/>
    <mergeCell ref="A57:B57"/>
    <mergeCell ref="F57:Z57"/>
    <mergeCell ref="A58:B58"/>
    <mergeCell ref="F58:Z58"/>
    <mergeCell ref="A59:B59"/>
    <mergeCell ref="F59:Z59"/>
    <mergeCell ref="A60:B60"/>
    <mergeCell ref="F60:Z60"/>
    <mergeCell ref="A61:B61"/>
    <mergeCell ref="A62:B62"/>
    <mergeCell ref="F62:Z62"/>
    <mergeCell ref="A7:A9"/>
    <mergeCell ref="A10:A16"/>
    <mergeCell ref="A24:A26"/>
    <mergeCell ref="A27:A35"/>
    <mergeCell ref="A36:A44"/>
    <mergeCell ref="A45:A53"/>
    <mergeCell ref="B7:B9"/>
    <mergeCell ref="B10:B16"/>
    <mergeCell ref="B24:B26"/>
    <mergeCell ref="B27:B35"/>
    <mergeCell ref="B36:B44"/>
    <mergeCell ref="B45:B53"/>
    <mergeCell ref="C7:C9"/>
    <mergeCell ref="C10:C13"/>
    <mergeCell ref="C24:C26"/>
    <mergeCell ref="C28:C35"/>
    <mergeCell ref="C37:C44"/>
    <mergeCell ref="C46:C53"/>
    <mergeCell ref="D7:D9"/>
    <mergeCell ref="D24:D26"/>
    <mergeCell ref="E7:E9"/>
    <mergeCell ref="E24:E26"/>
    <mergeCell ref="J28:J29"/>
    <mergeCell ref="Y7:Y9"/>
    <mergeCell ref="Y24:Y26"/>
    <mergeCell ref="Z7:Z9"/>
    <mergeCell ref="Z24:Z26"/>
    <mergeCell ref="AA5:AA6"/>
    <mergeCell ref="AA7:AA8"/>
    <mergeCell ref="AA9:AA1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80"/>
  <sheetViews>
    <sheetView tabSelected="1" zoomScale="85" zoomScaleNormal="85" workbookViewId="0">
      <pane ySplit="4" topLeftCell="A12" activePane="bottomLeft" state="frozen"/>
      <selection/>
      <selection pane="bottomLeft" activeCell="F26" sqref="F26:W26"/>
    </sheetView>
  </sheetViews>
  <sheetFormatPr defaultColWidth="9" defaultRowHeight="13.5"/>
  <cols>
    <col min="1" max="1" width="7.875" customWidth="1"/>
    <col min="2" max="2" width="9.625" customWidth="1"/>
    <col min="3" max="3" width="15.875" customWidth="1"/>
    <col min="4" max="4" width="16.75" customWidth="1"/>
    <col min="5" max="5" width="19.1083333333333" customWidth="1"/>
    <col min="6" max="6" width="9.7" customWidth="1"/>
    <col min="7" max="7" width="11.4666666666667" customWidth="1"/>
    <col min="8" max="8" width="10.8833333333333" customWidth="1"/>
    <col min="9" max="9" width="10.625" customWidth="1"/>
    <col min="10" max="10" width="13.5" customWidth="1"/>
    <col min="11" max="15" width="9.025" customWidth="1"/>
    <col min="16" max="16" width="12.875"/>
    <col min="17" max="19" width="10.125" customWidth="1"/>
    <col min="20" max="20" width="9.25" customWidth="1"/>
    <col min="21" max="21" width="9.125" customWidth="1"/>
    <col min="22" max="22" width="14.125" hidden="1" customWidth="1"/>
    <col min="23" max="23" width="35.25" customWidth="1"/>
    <col min="24" max="24" width="12.625"/>
    <col min="25" max="25" width="10.375"/>
    <col min="26" max="26" width="20.8916666666667" customWidth="1"/>
    <col min="27" max="27" width="29.6333333333333" customWidth="1"/>
    <col min="28" max="28" width="21.7583333333333" customWidth="1"/>
    <col min="29" max="29" width="22.35" customWidth="1"/>
  </cols>
  <sheetData>
    <row r="1" ht="30" customHeight="1" spans="1:23">
      <c r="A1" s="151" t="s">
        <v>64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72"/>
    </row>
    <row r="2" ht="30" customHeight="1" spans="1:29">
      <c r="A2" s="4" t="s">
        <v>19</v>
      </c>
      <c r="B2" s="5" t="s">
        <v>20</v>
      </c>
      <c r="C2" s="5" t="s">
        <v>21</v>
      </c>
      <c r="D2" s="6" t="s">
        <v>22</v>
      </c>
      <c r="E2" s="8" t="s">
        <v>23</v>
      </c>
      <c r="F2" s="9"/>
      <c r="G2" s="9"/>
      <c r="H2" s="9"/>
      <c r="I2" s="9"/>
      <c r="J2" s="9"/>
      <c r="K2" s="9"/>
      <c r="L2" s="9"/>
      <c r="M2" s="9"/>
      <c r="N2" s="9"/>
      <c r="O2" s="9"/>
      <c r="P2" s="23"/>
      <c r="Q2" s="23"/>
      <c r="R2" s="23"/>
      <c r="S2" s="23"/>
      <c r="T2" s="23"/>
      <c r="U2" s="23"/>
      <c r="V2" s="31" t="s">
        <v>24</v>
      </c>
      <c r="W2" s="8" t="s">
        <v>25</v>
      </c>
      <c r="Y2" s="38"/>
      <c r="Z2" s="38"/>
      <c r="AA2" s="38" t="s">
        <v>0</v>
      </c>
      <c r="AB2" s="38" t="s">
        <v>2</v>
      </c>
      <c r="AC2" s="38" t="s">
        <v>3</v>
      </c>
    </row>
    <row r="3" ht="30" customHeight="1" spans="1:29">
      <c r="A3" s="10"/>
      <c r="B3" s="5"/>
      <c r="C3" s="5"/>
      <c r="D3" s="6"/>
      <c r="E3" s="8"/>
      <c r="F3" s="25" t="s">
        <v>26</v>
      </c>
      <c r="G3" s="25"/>
      <c r="H3" s="25"/>
      <c r="I3" s="25"/>
      <c r="J3" s="25"/>
      <c r="K3" s="25"/>
      <c r="L3" s="25"/>
      <c r="M3" s="24" t="s">
        <v>27</v>
      </c>
      <c r="N3" s="25"/>
      <c r="O3" s="25"/>
      <c r="P3" s="8" t="s">
        <v>28</v>
      </c>
      <c r="Q3" s="8"/>
      <c r="R3" s="8"/>
      <c r="S3" s="24" t="s">
        <v>29</v>
      </c>
      <c r="T3" s="25"/>
      <c r="U3" s="25"/>
      <c r="V3" s="8"/>
      <c r="W3" s="8"/>
      <c r="Y3" s="39" t="s">
        <v>8</v>
      </c>
      <c r="Z3" s="38" t="s">
        <v>6</v>
      </c>
      <c r="AA3" s="38">
        <f>10*0.91*0.2*0.334</f>
        <v>0.60788</v>
      </c>
      <c r="AB3" s="38">
        <f>10*0.91*0.2*0.13</f>
        <v>0.2366</v>
      </c>
      <c r="AC3" s="38">
        <f>10*0.91*0.2*0.147</f>
        <v>0.26754</v>
      </c>
    </row>
    <row r="4" ht="30" customHeight="1" spans="1:29">
      <c r="A4" s="10"/>
      <c r="B4" s="123"/>
      <c r="C4" s="123"/>
      <c r="D4" s="6"/>
      <c r="E4" s="8"/>
      <c r="F4" s="124" t="s">
        <v>33</v>
      </c>
      <c r="G4" s="31" t="s">
        <v>65</v>
      </c>
      <c r="H4" s="31" t="s">
        <v>66</v>
      </c>
      <c r="I4" s="31" t="s">
        <v>35</v>
      </c>
      <c r="J4" s="31" t="s">
        <v>67</v>
      </c>
      <c r="K4" s="31" t="s">
        <v>34</v>
      </c>
      <c r="L4" s="31" t="s">
        <v>68</v>
      </c>
      <c r="M4" s="31" t="s">
        <v>38</v>
      </c>
      <c r="N4" s="31" t="s">
        <v>39</v>
      </c>
      <c r="O4" s="31" t="s">
        <v>40</v>
      </c>
      <c r="P4" s="8" t="s">
        <v>42</v>
      </c>
      <c r="Q4" s="8" t="s">
        <v>43</v>
      </c>
      <c r="R4" s="31" t="s">
        <v>41</v>
      </c>
      <c r="S4" s="8" t="s">
        <v>44</v>
      </c>
      <c r="T4" s="8" t="s">
        <v>45</v>
      </c>
      <c r="U4" s="8" t="s">
        <v>33</v>
      </c>
      <c r="V4" s="8"/>
      <c r="W4" s="8"/>
      <c r="Y4" s="40"/>
      <c r="Z4" s="38" t="s">
        <v>7</v>
      </c>
      <c r="AA4" s="38">
        <f>10*0.09*0.3*0.43*1.15</f>
        <v>0.133515</v>
      </c>
      <c r="AB4" s="38">
        <f>10*0.09*0.3*0.35*1.15</f>
        <v>0.108675</v>
      </c>
      <c r="AC4" s="38">
        <f>10*0.09*0.3*0.17*1.15</f>
        <v>0.052785</v>
      </c>
    </row>
    <row r="5" ht="30" customHeight="1" spans="1:29">
      <c r="A5" s="38">
        <v>1</v>
      </c>
      <c r="B5" s="127" t="s">
        <v>8</v>
      </c>
      <c r="C5" s="127" t="s">
        <v>69</v>
      </c>
      <c r="D5" s="127" t="s">
        <v>7</v>
      </c>
      <c r="E5" s="153">
        <f>Y9-E10</f>
        <v>115350.31</v>
      </c>
      <c r="F5" s="153">
        <f>E5/100*AA4*0.8</f>
        <v>123.2079731172</v>
      </c>
      <c r="G5" s="124"/>
      <c r="H5" s="153"/>
      <c r="I5" s="153"/>
      <c r="J5" s="153"/>
      <c r="K5" s="153">
        <f>E5/100*AA4*0.08</f>
        <v>12.32079731172</v>
      </c>
      <c r="L5" s="153">
        <f>E5/100*AA4*0.08</f>
        <v>12.32079731172</v>
      </c>
      <c r="M5" s="153"/>
      <c r="N5" s="153"/>
      <c r="O5" s="153"/>
      <c r="P5" s="153">
        <f>E5/100*AB4*0.82</f>
        <v>102.79269850185</v>
      </c>
      <c r="Q5" s="153">
        <f>E5/100*AB4*0.08</f>
        <v>10.0285559514</v>
      </c>
      <c r="R5" s="153">
        <f>E5/100*AB4*0.08</f>
        <v>10.0285559514</v>
      </c>
      <c r="S5" s="153">
        <f>E5/100*AC4*0.82</f>
        <v>49.92788212947</v>
      </c>
      <c r="T5" s="153">
        <f>E5/100*AC4*0.08</f>
        <v>4.87101289068</v>
      </c>
      <c r="U5" s="153">
        <f>E5/100*AC4*0.08</f>
        <v>4.87101289068</v>
      </c>
      <c r="V5" s="31"/>
      <c r="W5" s="127" t="s">
        <v>70</v>
      </c>
      <c r="Y5" s="39" t="s">
        <v>9</v>
      </c>
      <c r="Z5" s="38" t="s">
        <v>6</v>
      </c>
      <c r="AA5" s="38">
        <f>10*0.91*0.6*0.334</f>
        <v>1.82364</v>
      </c>
      <c r="AB5" s="38">
        <f>10*0.91*0.6*0.13</f>
        <v>0.7098</v>
      </c>
      <c r="AC5" s="38">
        <f>10*0.91*0.6*0.147</f>
        <v>0.80262</v>
      </c>
    </row>
    <row r="6" ht="30" customHeight="1" spans="1:29">
      <c r="A6" s="38"/>
      <c r="B6" s="127"/>
      <c r="C6" s="127"/>
      <c r="D6" s="127" t="s">
        <v>71</v>
      </c>
      <c r="E6" s="153">
        <v>19645</v>
      </c>
      <c r="F6" s="153"/>
      <c r="G6" s="153">
        <f>E6/100*AA3*0.82*0.34*0.3</f>
        <v>9.98812369464</v>
      </c>
      <c r="H6" s="153">
        <f>E6/100*AA3*0.82*0.34*0.3</f>
        <v>9.98812369464</v>
      </c>
      <c r="I6" s="153">
        <f>E6/100*AA3*0.82*0.32*0.3</f>
        <v>9.40058700672</v>
      </c>
      <c r="J6" s="31"/>
      <c r="K6" s="153">
        <f>E6/100*AA3*0.08*0.3</f>
        <v>2.866032624</v>
      </c>
      <c r="L6" s="153">
        <f>E6/100*AA3*0.08*0.3</f>
        <v>2.866032624</v>
      </c>
      <c r="M6" s="31"/>
      <c r="N6" s="153"/>
      <c r="O6" s="153"/>
      <c r="P6" s="153"/>
      <c r="Q6" s="153"/>
      <c r="R6" s="153"/>
      <c r="S6" s="153"/>
      <c r="T6" s="153"/>
      <c r="U6" s="153"/>
      <c r="V6" s="31"/>
      <c r="W6" s="127" t="s">
        <v>72</v>
      </c>
      <c r="Y6" s="40"/>
      <c r="Z6" s="38" t="s">
        <v>7</v>
      </c>
      <c r="AA6" s="38">
        <f>10*0.09*0.6*0.43*1.15</f>
        <v>0.26703</v>
      </c>
      <c r="AB6" s="38">
        <f>10*0.09*0.6*0.35*1.15</f>
        <v>0.21735</v>
      </c>
      <c r="AC6" s="38">
        <f>10*0.09*0.6*0.17*1.15</f>
        <v>0.10557</v>
      </c>
    </row>
    <row r="7" ht="30" customHeight="1" spans="1:23">
      <c r="A7" s="38"/>
      <c r="B7" s="127"/>
      <c r="C7" s="127"/>
      <c r="D7" s="127" t="s">
        <v>73</v>
      </c>
      <c r="E7" s="153">
        <v>97426</v>
      </c>
      <c r="F7" s="153">
        <v>5</v>
      </c>
      <c r="G7" s="154"/>
      <c r="H7" s="154"/>
      <c r="I7" s="154"/>
      <c r="J7" s="31"/>
      <c r="K7" s="153">
        <f>F7*0.08</f>
        <v>0.4</v>
      </c>
      <c r="L7" s="153">
        <f>F7*0.08</f>
        <v>0.4</v>
      </c>
      <c r="M7" s="153"/>
      <c r="N7" s="153"/>
      <c r="O7" s="153"/>
      <c r="P7" s="153">
        <v>5</v>
      </c>
      <c r="Q7" s="153">
        <f>P7*0.08</f>
        <v>0.4</v>
      </c>
      <c r="R7" s="153">
        <f>P7*0.08</f>
        <v>0.4</v>
      </c>
      <c r="S7" s="153">
        <v>10</v>
      </c>
      <c r="T7" s="153">
        <f>S7*0.08</f>
        <v>0.8</v>
      </c>
      <c r="U7" s="153">
        <f>S7*0.08</f>
        <v>0.8</v>
      </c>
      <c r="V7" s="31"/>
      <c r="W7" s="127" t="s">
        <v>72</v>
      </c>
    </row>
    <row r="8" ht="30" customHeight="1" spans="1:23">
      <c r="A8" s="38"/>
      <c r="B8" s="127"/>
      <c r="C8" s="127"/>
      <c r="D8" s="127" t="s">
        <v>74</v>
      </c>
      <c r="E8" s="153"/>
      <c r="F8" s="153"/>
      <c r="G8" s="154">
        <v>10</v>
      </c>
      <c r="H8" s="154"/>
      <c r="I8" s="154"/>
      <c r="J8" s="31"/>
      <c r="K8" s="153">
        <f>G8*0.08</f>
        <v>0.8</v>
      </c>
      <c r="L8" s="153">
        <f>G8*0.08</f>
        <v>0.8</v>
      </c>
      <c r="M8" s="153">
        <v>10</v>
      </c>
      <c r="N8" s="153">
        <f>M8*0.08</f>
        <v>0.8</v>
      </c>
      <c r="O8" s="153">
        <f>M8*0.08</f>
        <v>0.8</v>
      </c>
      <c r="P8" s="153"/>
      <c r="Q8" s="153"/>
      <c r="R8" s="153"/>
      <c r="S8" s="153"/>
      <c r="T8" s="153"/>
      <c r="U8" s="153"/>
      <c r="V8" s="31"/>
      <c r="W8" s="127"/>
    </row>
    <row r="9" ht="30" customHeight="1" spans="1:25">
      <c r="A9" s="38"/>
      <c r="B9" s="127"/>
      <c r="C9" s="127"/>
      <c r="D9" s="127" t="s">
        <v>75</v>
      </c>
      <c r="E9" s="153">
        <v>3941</v>
      </c>
      <c r="F9" s="153">
        <f>E9/100*AA3/10*25*0.82*0.3</f>
        <v>14.733278742</v>
      </c>
      <c r="G9" s="124"/>
      <c r="H9" s="124"/>
      <c r="I9" s="124"/>
      <c r="J9" s="132"/>
      <c r="K9" s="153">
        <f>E9/100*AA3/10*25*0.08*0.3</f>
        <v>1.437393048</v>
      </c>
      <c r="L9" s="153">
        <f>E9/100*AA3/10*25*0.08*0.3</f>
        <v>1.437393048</v>
      </c>
      <c r="M9" s="31"/>
      <c r="N9" s="153"/>
      <c r="O9" s="153"/>
      <c r="P9" s="153">
        <f>E9/100*AB3*25/10*0.82*0.3</f>
        <v>5.73450969</v>
      </c>
      <c r="Q9" s="153">
        <f>E9/100*AB3*25/10*0.08*0.3</f>
        <v>0.55946436</v>
      </c>
      <c r="R9" s="153">
        <f>E9/100*AB3*25/10*0.08*0.3</f>
        <v>0.55946436</v>
      </c>
      <c r="S9" s="153">
        <f>E9/100*AC3*25/10*0.82*0.3</f>
        <v>6.484407111</v>
      </c>
      <c r="T9" s="153">
        <f>E9/100*AC3*25/10*0.08*0.3</f>
        <v>0.632625084</v>
      </c>
      <c r="U9" s="153">
        <f>E9/100*AC3*25/10*0.08*0.3</f>
        <v>0.632625084</v>
      </c>
      <c r="V9" s="31"/>
      <c r="W9" s="127" t="s">
        <v>76</v>
      </c>
      <c r="Y9">
        <v>148727.31</v>
      </c>
    </row>
    <row r="10" ht="30" customHeight="1" spans="1:23">
      <c r="A10" s="38"/>
      <c r="B10" s="127"/>
      <c r="C10" s="127" t="s">
        <v>77</v>
      </c>
      <c r="D10" s="127" t="s">
        <v>7</v>
      </c>
      <c r="E10" s="153">
        <v>33377</v>
      </c>
      <c r="F10" s="153">
        <f>E10/100*AA4*0.8</f>
        <v>35.65064124</v>
      </c>
      <c r="G10" s="124"/>
      <c r="H10" s="124" t="s">
        <v>78</v>
      </c>
      <c r="I10" s="124"/>
      <c r="J10" s="132"/>
      <c r="K10" s="153">
        <f>E10/100*AA4*0.08</f>
        <v>3.565064124</v>
      </c>
      <c r="L10" s="153">
        <f>E10/100*AA4*0.08</f>
        <v>3.565064124</v>
      </c>
      <c r="M10" s="31"/>
      <c r="N10" s="153"/>
      <c r="O10" s="153"/>
      <c r="P10" s="153">
        <f>E10/100*AB4*0.08</f>
        <v>2.90179638</v>
      </c>
      <c r="Q10" s="153">
        <f>E10/100*AB4*0.08</f>
        <v>2.90179638</v>
      </c>
      <c r="R10" s="153">
        <f>E10/100*AB4*0.82</f>
        <v>29.743412895</v>
      </c>
      <c r="S10" s="153">
        <f>E10/100*AC4*0.82</f>
        <v>14.446800549</v>
      </c>
      <c r="T10" s="153">
        <f>E10/100*AC4*0.08</f>
        <v>1.409443956</v>
      </c>
      <c r="U10" s="153">
        <f>E10/100*AC4*0.08</f>
        <v>1.409443956</v>
      </c>
      <c r="V10" s="31"/>
      <c r="W10" s="127" t="s">
        <v>70</v>
      </c>
    </row>
    <row r="11" ht="30" customHeight="1" spans="1:23">
      <c r="A11" s="38"/>
      <c r="B11" s="127"/>
      <c r="C11" s="127" t="s">
        <v>79</v>
      </c>
      <c r="D11" s="127" t="s">
        <v>80</v>
      </c>
      <c r="E11" s="153">
        <v>5020</v>
      </c>
      <c r="F11" s="153"/>
      <c r="G11" s="8"/>
      <c r="H11" s="8"/>
      <c r="I11" s="8"/>
      <c r="J11" s="153">
        <f>E11/100*AA3*0.82*0.3</f>
        <v>7.506831696</v>
      </c>
      <c r="K11" s="153">
        <f>E11/100*AA3*0.08</f>
        <v>2.44124608</v>
      </c>
      <c r="L11" s="153">
        <f>E11/100*AA3*0.08</f>
        <v>2.44124608</v>
      </c>
      <c r="M11" s="8"/>
      <c r="N11" s="153"/>
      <c r="O11" s="153"/>
      <c r="P11" s="153"/>
      <c r="Q11" s="153"/>
      <c r="R11" s="153"/>
      <c r="S11" s="153"/>
      <c r="T11" s="153"/>
      <c r="U11" s="153"/>
      <c r="V11" s="31"/>
      <c r="W11" s="127" t="s">
        <v>72</v>
      </c>
    </row>
    <row r="12" ht="30" customHeight="1" spans="1:23">
      <c r="A12" s="38"/>
      <c r="B12" s="127"/>
      <c r="C12" s="127" t="s">
        <v>81</v>
      </c>
      <c r="D12" s="127" t="s">
        <v>82</v>
      </c>
      <c r="E12" s="153">
        <v>51326</v>
      </c>
      <c r="F12" s="153"/>
      <c r="G12" s="8"/>
      <c r="H12" s="8"/>
      <c r="I12" s="8"/>
      <c r="J12" s="137"/>
      <c r="K12" s="137"/>
      <c r="L12" s="153"/>
      <c r="M12" s="153"/>
      <c r="N12" s="153"/>
      <c r="O12" s="153"/>
      <c r="P12" s="153">
        <f>E12/100*AB4*0.08</f>
        <v>4.46228244</v>
      </c>
      <c r="Q12" s="153">
        <f>E12/100*AB4*0.82</f>
        <v>45.73839501</v>
      </c>
      <c r="R12" s="153">
        <f>E12/100*AB4*0.08</f>
        <v>4.46228244</v>
      </c>
      <c r="S12" s="153"/>
      <c r="T12" s="153"/>
      <c r="U12" s="153"/>
      <c r="V12" s="31"/>
      <c r="W12" s="127" t="s">
        <v>70</v>
      </c>
    </row>
    <row r="13" ht="30" customHeight="1" spans="1:34">
      <c r="A13" s="38">
        <v>2</v>
      </c>
      <c r="B13" s="127" t="s">
        <v>9</v>
      </c>
      <c r="C13" s="127" t="s">
        <v>69</v>
      </c>
      <c r="D13" s="127" t="s">
        <v>7</v>
      </c>
      <c r="E13" s="153">
        <f>Y9-E10</f>
        <v>115350.31</v>
      </c>
      <c r="F13" s="153">
        <f>E13/100*AA6*0.8</f>
        <v>246.4159462344</v>
      </c>
      <c r="G13" s="8"/>
      <c r="H13" s="153"/>
      <c r="I13" s="153"/>
      <c r="J13" s="153"/>
      <c r="K13" s="153">
        <f>E13/100*AA6*0.08</f>
        <v>24.64159462344</v>
      </c>
      <c r="L13" s="153">
        <f>E13/100*AA6*0.08</f>
        <v>24.64159462344</v>
      </c>
      <c r="M13" s="153"/>
      <c r="N13" s="153"/>
      <c r="O13" s="153"/>
      <c r="P13" s="153">
        <f>E13/100*AB6*0.82</f>
        <v>205.5853970037</v>
      </c>
      <c r="Q13" s="153">
        <f>E13/100*AB6*0.08</f>
        <v>20.0571119028</v>
      </c>
      <c r="R13" s="153">
        <f>E13/100*AB6*0.08</f>
        <v>20.0571119028</v>
      </c>
      <c r="S13" s="153">
        <f>E13/100*AC6*0.82</f>
        <v>99.85576425894</v>
      </c>
      <c r="T13" s="153">
        <f>E13/100*AC6*0.08</f>
        <v>9.74202578136</v>
      </c>
      <c r="U13" s="153">
        <f>E13/100*AC6*0.08</f>
        <v>9.74202578136</v>
      </c>
      <c r="V13" s="31"/>
      <c r="W13" s="127" t="s">
        <v>70</v>
      </c>
      <c r="AA13" s="41" t="s">
        <v>83</v>
      </c>
      <c r="AB13" s="42">
        <v>0.09</v>
      </c>
      <c r="AC13" s="43"/>
      <c r="AD13" s="43"/>
      <c r="AE13" s="43"/>
      <c r="AF13" s="43"/>
      <c r="AG13" s="43"/>
      <c r="AH13" s="43"/>
    </row>
    <row r="14" ht="30" customHeight="1" spans="1:38">
      <c r="A14" s="38"/>
      <c r="B14" s="127"/>
      <c r="C14" s="127"/>
      <c r="D14" s="127" t="s">
        <v>71</v>
      </c>
      <c r="E14" s="153">
        <v>19645</v>
      </c>
      <c r="F14" s="153"/>
      <c r="G14" s="153">
        <f>E14/100*AA5*0.82*0.34*0.3</f>
        <v>29.96437108392</v>
      </c>
      <c r="H14" s="153">
        <f>E14/100*AA5*0.82*0.34*0.3</f>
        <v>29.96437108392</v>
      </c>
      <c r="I14" s="153">
        <f>E14/100*AA5*0.82*0.32*0.3</f>
        <v>28.20176102016</v>
      </c>
      <c r="J14" s="31"/>
      <c r="K14" s="153">
        <f>E14/100*AA5*0.08*0.3</f>
        <v>8.598097872</v>
      </c>
      <c r="L14" s="153">
        <f>E14/100*AA5*0.08*0.3</f>
        <v>8.598097872</v>
      </c>
      <c r="M14" s="31"/>
      <c r="N14" s="153"/>
      <c r="O14" s="153"/>
      <c r="P14" s="153"/>
      <c r="Q14" s="153"/>
      <c r="R14" s="153"/>
      <c r="S14" s="153"/>
      <c r="T14" s="153"/>
      <c r="U14" s="153"/>
      <c r="V14" s="31"/>
      <c r="W14" s="127" t="s">
        <v>72</v>
      </c>
      <c r="Z14" s="44"/>
      <c r="AA14" s="45"/>
      <c r="AB14" s="46" t="s">
        <v>11</v>
      </c>
      <c r="AC14" s="46" t="s">
        <v>0</v>
      </c>
      <c r="AD14" s="46" t="s">
        <v>1</v>
      </c>
      <c r="AE14" s="46" t="s">
        <v>2</v>
      </c>
      <c r="AF14" s="46" t="s">
        <v>4</v>
      </c>
      <c r="AG14" s="46" t="s">
        <v>12</v>
      </c>
      <c r="AH14" s="46" t="s">
        <v>13</v>
      </c>
      <c r="AI14" t="s">
        <v>84</v>
      </c>
      <c r="AJ14" t="s">
        <v>85</v>
      </c>
      <c r="AK14" t="s">
        <v>86</v>
      </c>
      <c r="AL14" t="s">
        <v>56</v>
      </c>
    </row>
    <row r="15" ht="30" customHeight="1" spans="1:34">
      <c r="A15" s="38"/>
      <c r="B15" s="127"/>
      <c r="C15" s="127"/>
      <c r="D15" s="127" t="s">
        <v>87</v>
      </c>
      <c r="E15" s="153">
        <v>97426</v>
      </c>
      <c r="F15" s="153">
        <v>5</v>
      </c>
      <c r="G15" s="154"/>
      <c r="H15" s="154"/>
      <c r="I15" s="154"/>
      <c r="J15" s="31"/>
      <c r="K15" s="153">
        <f>F15*0.08</f>
        <v>0.4</v>
      </c>
      <c r="L15" s="153">
        <f>F15*0.08</f>
        <v>0.4</v>
      </c>
      <c r="M15" s="153"/>
      <c r="N15" s="153"/>
      <c r="O15" s="153"/>
      <c r="P15" s="153">
        <v>5</v>
      </c>
      <c r="Q15" s="153">
        <f>P15*0.08</f>
        <v>0.4</v>
      </c>
      <c r="R15" s="153">
        <f>P15*0.08</f>
        <v>0.4</v>
      </c>
      <c r="S15" s="153">
        <v>20</v>
      </c>
      <c r="T15" s="153">
        <f>S15*0.08</f>
        <v>1.6</v>
      </c>
      <c r="U15" s="153">
        <f>S15*0.08</f>
        <v>1.6</v>
      </c>
      <c r="V15" s="31"/>
      <c r="W15" s="127" t="s">
        <v>72</v>
      </c>
      <c r="Z15" s="44"/>
      <c r="AA15" s="47"/>
      <c r="AB15" s="48"/>
      <c r="AC15" s="48"/>
      <c r="AD15" s="48"/>
      <c r="AE15" s="48"/>
      <c r="AF15" s="48"/>
      <c r="AG15" s="48"/>
      <c r="AH15" s="48"/>
    </row>
    <row r="16" ht="30" customHeight="1" spans="1:34">
      <c r="A16" s="38"/>
      <c r="B16" s="127"/>
      <c r="C16" s="127"/>
      <c r="D16" s="127" t="s">
        <v>74</v>
      </c>
      <c r="E16" s="153"/>
      <c r="F16" s="153"/>
      <c r="G16" s="154">
        <v>10</v>
      </c>
      <c r="H16" s="154"/>
      <c r="I16" s="154"/>
      <c r="J16" s="31"/>
      <c r="K16" s="153">
        <f>G16*0.08</f>
        <v>0.8</v>
      </c>
      <c r="L16" s="153">
        <f>G16*0.08</f>
        <v>0.8</v>
      </c>
      <c r="M16" s="153">
        <v>10</v>
      </c>
      <c r="N16" s="153">
        <f>M16*0.08</f>
        <v>0.8</v>
      </c>
      <c r="O16" s="153">
        <f>M16*0.08</f>
        <v>0.8</v>
      </c>
      <c r="P16" s="153"/>
      <c r="Q16" s="153"/>
      <c r="R16" s="153"/>
      <c r="S16" s="153"/>
      <c r="T16" s="153"/>
      <c r="U16" s="153"/>
      <c r="V16" s="31"/>
      <c r="W16" s="127"/>
      <c r="Z16" s="44"/>
      <c r="AA16" s="47"/>
      <c r="AB16" s="48"/>
      <c r="AC16" s="48"/>
      <c r="AD16" s="48"/>
      <c r="AE16" s="48"/>
      <c r="AF16" s="48"/>
      <c r="AG16" s="48"/>
      <c r="AH16" s="48"/>
    </row>
    <row r="17" ht="30" customHeight="1" spans="1:38">
      <c r="A17" s="38"/>
      <c r="B17" s="127"/>
      <c r="C17" s="127"/>
      <c r="D17" s="127" t="s">
        <v>75</v>
      </c>
      <c r="E17" s="153">
        <v>3941</v>
      </c>
      <c r="F17" s="153">
        <f>E17/100*AA5/10*25*0.82*0.3</f>
        <v>44.199836226</v>
      </c>
      <c r="G17" s="124"/>
      <c r="H17" s="124"/>
      <c r="I17" s="124"/>
      <c r="J17" s="132"/>
      <c r="K17" s="153">
        <f>E17/100*AA5/10*25*0.08*0.3</f>
        <v>4.312179144</v>
      </c>
      <c r="L17" s="153">
        <f>E17/100*AA5/10*25*0.08*0.3</f>
        <v>4.312179144</v>
      </c>
      <c r="M17" s="31"/>
      <c r="N17" s="153"/>
      <c r="O17" s="153"/>
      <c r="P17" s="153">
        <f>E17/100*AB5*25/10*0.82*0.3</f>
        <v>17.20352907</v>
      </c>
      <c r="Q17" s="153">
        <f>E17/100*AB5*25/10*0.08*0.3</f>
        <v>1.67839308</v>
      </c>
      <c r="R17" s="153">
        <f>E17/100*AB5*25/10*0.08*0.3</f>
        <v>1.67839308</v>
      </c>
      <c r="S17" s="153">
        <f>E17/100*AC5*25/10*0.82*0.3</f>
        <v>19.453221333</v>
      </c>
      <c r="T17" s="153">
        <f>E17/100*AC5*25/10*0.08*0.3</f>
        <v>1.897875252</v>
      </c>
      <c r="U17" s="153">
        <f>E17/100*AC5*25/10*0.08*0.3</f>
        <v>1.897875252</v>
      </c>
      <c r="V17" s="31"/>
      <c r="W17" s="127" t="s">
        <v>76</v>
      </c>
      <c r="AA17" s="49" t="s">
        <v>5</v>
      </c>
      <c r="AB17" s="50">
        <v>0.1</v>
      </c>
      <c r="AC17" s="51">
        <v>0.87</v>
      </c>
      <c r="AD17" s="51">
        <v>0.04</v>
      </c>
      <c r="AE17" s="51">
        <v>0.04</v>
      </c>
      <c r="AF17" s="51">
        <v>0.01</v>
      </c>
      <c r="AG17" s="51">
        <v>0.04</v>
      </c>
      <c r="AH17" s="51">
        <v>1</v>
      </c>
      <c r="AI17">
        <v>0.08</v>
      </c>
      <c r="AJ17">
        <v>0.08</v>
      </c>
      <c r="AK17">
        <v>0.02</v>
      </c>
      <c r="AL17">
        <v>0.06</v>
      </c>
    </row>
    <row r="18" ht="30" customHeight="1" spans="1:34">
      <c r="A18" s="38"/>
      <c r="B18" s="127"/>
      <c r="C18" s="127" t="s">
        <v>77</v>
      </c>
      <c r="D18" s="127" t="s">
        <v>7</v>
      </c>
      <c r="E18" s="153">
        <v>32456</v>
      </c>
      <c r="F18" s="153">
        <f>E18/100*AA6*0.8</f>
        <v>69.33380544</v>
      </c>
      <c r="G18" s="124"/>
      <c r="H18" s="124" t="s">
        <v>78</v>
      </c>
      <c r="I18" s="124"/>
      <c r="J18" s="132"/>
      <c r="K18" s="153">
        <f>E18/100*AA6*0.08</f>
        <v>6.933380544</v>
      </c>
      <c r="L18" s="153">
        <f>E18/100*AA6*0.08</f>
        <v>6.933380544</v>
      </c>
      <c r="M18" s="31"/>
      <c r="N18" s="153"/>
      <c r="O18" s="153"/>
      <c r="P18" s="153">
        <f>E18/100*AB6*0.08</f>
        <v>5.64344928</v>
      </c>
      <c r="Q18" s="153">
        <f>E18/100*AB6*0.08</f>
        <v>5.64344928</v>
      </c>
      <c r="R18" s="153">
        <f>E18/100*AB6*0.82</f>
        <v>57.84535512</v>
      </c>
      <c r="S18" s="153">
        <f>E18/100*AC6*0.82</f>
        <v>28.096315344</v>
      </c>
      <c r="T18" s="153">
        <f>E17/100*AC6*0.08</f>
        <v>0.332841096</v>
      </c>
      <c r="U18" s="153">
        <f>E17/100*AC6*0.08</f>
        <v>0.332841096</v>
      </c>
      <c r="V18" s="31"/>
      <c r="W18" s="127" t="s">
        <v>70</v>
      </c>
      <c r="AA18" s="49" t="s">
        <v>8</v>
      </c>
      <c r="AB18" s="50">
        <v>0.3</v>
      </c>
      <c r="AC18" s="51">
        <v>0.5</v>
      </c>
      <c r="AD18" s="51">
        <v>0.04</v>
      </c>
      <c r="AE18" s="51">
        <v>0.3</v>
      </c>
      <c r="AF18" s="51">
        <v>0.01</v>
      </c>
      <c r="AG18" s="51">
        <v>0.15</v>
      </c>
      <c r="AH18" s="51">
        <v>1</v>
      </c>
    </row>
    <row r="19" ht="31" customHeight="1" spans="1:34">
      <c r="A19" s="38"/>
      <c r="B19" s="127"/>
      <c r="C19" s="127" t="s">
        <v>79</v>
      </c>
      <c r="D19" s="127" t="s">
        <v>80</v>
      </c>
      <c r="E19" s="153">
        <v>5020</v>
      </c>
      <c r="F19" s="153"/>
      <c r="G19" s="8"/>
      <c r="H19" s="8"/>
      <c r="I19" s="8"/>
      <c r="J19" s="153">
        <f>E19/100*AA5*0.82*0.3</f>
        <v>22.520495088</v>
      </c>
      <c r="K19" s="153">
        <f>E19/100*AA5*0.08</f>
        <v>7.32373824</v>
      </c>
      <c r="L19" s="153">
        <f>E19/100*AA5*0.08</f>
        <v>7.32373824</v>
      </c>
      <c r="M19" s="8"/>
      <c r="N19" s="153"/>
      <c r="O19" s="153"/>
      <c r="P19" s="153"/>
      <c r="Q19" s="153"/>
      <c r="R19" s="153"/>
      <c r="S19" s="153"/>
      <c r="T19" s="153"/>
      <c r="U19" s="153"/>
      <c r="V19" s="11"/>
      <c r="W19" s="127" t="s">
        <v>72</v>
      </c>
      <c r="AA19" s="49" t="s">
        <v>9</v>
      </c>
      <c r="AB19" s="50">
        <v>0.6</v>
      </c>
      <c r="AC19" s="51">
        <v>0.43</v>
      </c>
      <c r="AD19" s="51">
        <v>0.04</v>
      </c>
      <c r="AE19" s="51">
        <v>0.35</v>
      </c>
      <c r="AF19" s="51">
        <v>0.01</v>
      </c>
      <c r="AG19" s="51">
        <v>0.17</v>
      </c>
      <c r="AH19" s="51">
        <v>1</v>
      </c>
    </row>
    <row r="20" ht="31" customHeight="1" spans="1:34">
      <c r="A20" s="38"/>
      <c r="B20" s="127"/>
      <c r="C20" s="127" t="s">
        <v>81</v>
      </c>
      <c r="D20" s="127" t="s">
        <v>82</v>
      </c>
      <c r="E20" s="153">
        <v>51326</v>
      </c>
      <c r="F20" s="153"/>
      <c r="G20" s="7"/>
      <c r="H20" s="7"/>
      <c r="I20" s="8"/>
      <c r="J20" s="137"/>
      <c r="K20" s="137"/>
      <c r="L20" s="153"/>
      <c r="M20" s="153"/>
      <c r="N20" s="153"/>
      <c r="O20" s="153"/>
      <c r="P20" s="153">
        <f>E20/100*AB6*0.08</f>
        <v>8.92456488</v>
      </c>
      <c r="Q20" s="153">
        <f>E20/100*AB6*0.82</f>
        <v>91.47679002</v>
      </c>
      <c r="R20" s="153">
        <f>E20/100*AB6*0.08</f>
        <v>8.92456488</v>
      </c>
      <c r="S20" s="153"/>
      <c r="T20" s="153"/>
      <c r="U20" s="153"/>
      <c r="V20" s="11"/>
      <c r="W20" s="127" t="s">
        <v>70</v>
      </c>
      <c r="AA20" s="49" t="s">
        <v>13</v>
      </c>
      <c r="AB20" s="51">
        <v>1</v>
      </c>
      <c r="AC20" s="51">
        <v>0.495</v>
      </c>
      <c r="AD20" s="51">
        <v>0.04</v>
      </c>
      <c r="AE20" s="51">
        <v>0.304</v>
      </c>
      <c r="AF20" s="51">
        <v>0.01</v>
      </c>
      <c r="AG20" s="51">
        <v>0.151</v>
      </c>
      <c r="AH20" s="61"/>
    </row>
    <row r="21" ht="25" customHeight="1" spans="1:34">
      <c r="A21" s="155" t="s">
        <v>56</v>
      </c>
      <c r="B21" s="156"/>
      <c r="C21" s="156"/>
      <c r="D21" s="157"/>
      <c r="E21" s="158"/>
      <c r="F21" s="153">
        <f>D25*0.06</f>
        <v>51.8853115553952</v>
      </c>
      <c r="G21" s="158"/>
      <c r="H21" s="158"/>
      <c r="I21" s="158"/>
      <c r="J21" s="158"/>
      <c r="K21" s="158"/>
      <c r="L21" s="158"/>
      <c r="M21" s="158">
        <f>D26*0.06</f>
        <v>1.392</v>
      </c>
      <c r="N21" s="158"/>
      <c r="O21" s="158"/>
      <c r="P21" s="153">
        <f>D27*0.06</f>
        <v>40.573879431537</v>
      </c>
      <c r="Q21" s="158"/>
      <c r="R21" s="158"/>
      <c r="S21" s="158">
        <f>D28*0.06</f>
        <v>17.4501623307294</v>
      </c>
      <c r="T21" s="158"/>
      <c r="U21" s="158"/>
      <c r="V21" s="158"/>
      <c r="W21" s="127"/>
      <c r="AA21" s="43"/>
      <c r="AB21" s="43"/>
      <c r="AC21" s="43"/>
      <c r="AD21" s="43"/>
      <c r="AE21" s="43"/>
      <c r="AF21" s="43"/>
      <c r="AG21" s="43"/>
      <c r="AH21" s="43"/>
    </row>
    <row r="22" ht="25" customHeight="1" spans="1:34">
      <c r="A22" s="155" t="s">
        <v>57</v>
      </c>
      <c r="B22" s="156"/>
      <c r="C22" s="156"/>
      <c r="D22" s="157"/>
      <c r="E22" s="158"/>
      <c r="F22" s="153">
        <f>D29*0.07</f>
        <v>129.851578870605</v>
      </c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AA22" s="52">
        <v>0.91</v>
      </c>
      <c r="AB22" s="53"/>
      <c r="AC22" s="53"/>
      <c r="AD22" s="53"/>
      <c r="AE22" s="53"/>
      <c r="AF22" s="53"/>
      <c r="AG22" s="53"/>
      <c r="AH22" s="62"/>
    </row>
    <row r="23" ht="25" customHeight="1" spans="1:34">
      <c r="A23" s="155" t="s">
        <v>88</v>
      </c>
      <c r="B23" s="156" t="s">
        <v>88</v>
      </c>
      <c r="C23" s="156"/>
      <c r="D23" s="157"/>
      <c r="E23" s="159"/>
      <c r="F23" s="159">
        <f>D25*0.02</f>
        <v>17.2951038517984</v>
      </c>
      <c r="G23" s="159"/>
      <c r="H23" s="159"/>
      <c r="I23" s="159"/>
      <c r="J23" s="159"/>
      <c r="K23" s="159"/>
      <c r="L23" s="159"/>
      <c r="M23" s="159">
        <f>D26*0.02</f>
        <v>0.464</v>
      </c>
      <c r="N23" s="159"/>
      <c r="O23" s="159"/>
      <c r="P23" s="159"/>
      <c r="Q23" s="159"/>
      <c r="R23" s="159"/>
      <c r="S23" s="159"/>
      <c r="T23" s="159"/>
      <c r="U23" s="159"/>
      <c r="V23" s="158"/>
      <c r="W23" s="158"/>
      <c r="AA23" s="54"/>
      <c r="AB23" s="55"/>
      <c r="AC23" s="55"/>
      <c r="AD23" s="55"/>
      <c r="AE23" s="55"/>
      <c r="AF23" s="55"/>
      <c r="AG23" s="55"/>
      <c r="AH23" s="55"/>
    </row>
    <row r="24" ht="25" customHeight="1" spans="1:34">
      <c r="A24" s="38" t="s">
        <v>13</v>
      </c>
      <c r="B24" s="38"/>
      <c r="C24" s="38"/>
      <c r="D24" s="38"/>
      <c r="E24" s="135"/>
      <c r="F24" s="135">
        <f>SUM(F5:F23)</f>
        <v>742.573475277399</v>
      </c>
      <c r="G24" s="135">
        <f>SUM(G5:G23)</f>
        <v>59.95249477856</v>
      </c>
      <c r="H24" s="135">
        <f t="shared" ref="G24:V24" si="0">SUM(H5:H23)</f>
        <v>39.95249477856</v>
      </c>
      <c r="I24" s="135">
        <f t="shared" si="0"/>
        <v>37.60234802688</v>
      </c>
      <c r="J24" s="135">
        <f t="shared" si="0"/>
        <v>30.027326784</v>
      </c>
      <c r="K24" s="135">
        <f t="shared" si="0"/>
        <v>76.83952361116</v>
      </c>
      <c r="L24" s="135">
        <f t="shared" si="0"/>
        <v>76.83952361116</v>
      </c>
      <c r="M24" s="135">
        <f t="shared" si="0"/>
        <v>21.856</v>
      </c>
      <c r="N24" s="135">
        <f t="shared" si="0"/>
        <v>1.6</v>
      </c>
      <c r="O24" s="135">
        <f t="shared" si="0"/>
        <v>1.6</v>
      </c>
      <c r="P24" s="135">
        <f t="shared" si="0"/>
        <v>403.822106677087</v>
      </c>
      <c r="Q24" s="135">
        <f t="shared" si="0"/>
        <v>178.8839559842</v>
      </c>
      <c r="R24" s="135">
        <f t="shared" si="0"/>
        <v>134.0991406292</v>
      </c>
      <c r="S24" s="135">
        <f t="shared" si="0"/>
        <v>265.714553056139</v>
      </c>
      <c r="T24" s="135">
        <f t="shared" si="0"/>
        <v>21.28582406004</v>
      </c>
      <c r="U24" s="135">
        <f t="shared" si="0"/>
        <v>21.28582406004</v>
      </c>
      <c r="V24" s="135">
        <f t="shared" si="0"/>
        <v>0</v>
      </c>
      <c r="W24" s="158">
        <f>SUM(F24:U24)</f>
        <v>2113.93459133442</v>
      </c>
      <c r="AA24" s="56" t="s">
        <v>6</v>
      </c>
      <c r="AB24" s="57" t="s">
        <v>11</v>
      </c>
      <c r="AC24" s="57" t="s">
        <v>0</v>
      </c>
      <c r="AD24" s="57" t="s">
        <v>1</v>
      </c>
      <c r="AE24" s="57" t="s">
        <v>2</v>
      </c>
      <c r="AF24" s="57" t="s">
        <v>4</v>
      </c>
      <c r="AG24" s="57" t="s">
        <v>12</v>
      </c>
      <c r="AH24" s="57" t="s">
        <v>13</v>
      </c>
    </row>
    <row r="25" ht="25" customHeight="1" spans="1:34">
      <c r="A25" s="38" t="s">
        <v>58</v>
      </c>
      <c r="B25" s="38"/>
      <c r="C25" s="38"/>
      <c r="D25" s="128">
        <f>SUM(F5:L20)</f>
        <v>864.75519258992</v>
      </c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AA25" s="58" t="s">
        <v>5</v>
      </c>
      <c r="AB25" s="59">
        <v>0.2</v>
      </c>
      <c r="AC25" s="60">
        <v>0.88</v>
      </c>
      <c r="AD25" s="60">
        <v>0.04</v>
      </c>
      <c r="AE25" s="60">
        <v>0.03</v>
      </c>
      <c r="AF25" s="60">
        <v>0.016</v>
      </c>
      <c r="AG25" s="60">
        <v>0.025</v>
      </c>
      <c r="AH25" s="60">
        <v>1</v>
      </c>
    </row>
    <row r="26" ht="25" customHeight="1" spans="1:34">
      <c r="A26" s="38" t="s">
        <v>59</v>
      </c>
      <c r="B26" s="38"/>
      <c r="C26" s="38"/>
      <c r="D26" s="128">
        <f>SUM(M5:O20)</f>
        <v>23.2</v>
      </c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AA26" s="58" t="s">
        <v>8</v>
      </c>
      <c r="AB26" s="59">
        <v>0.2</v>
      </c>
      <c r="AC26" s="60">
        <v>0.4</v>
      </c>
      <c r="AD26" s="60">
        <v>0.29</v>
      </c>
      <c r="AE26" s="60">
        <v>0.14</v>
      </c>
      <c r="AF26" s="60">
        <v>0.025</v>
      </c>
      <c r="AG26" s="60">
        <v>0.145</v>
      </c>
      <c r="AH26" s="60">
        <v>1</v>
      </c>
    </row>
    <row r="27" ht="25" customHeight="1" spans="1:34">
      <c r="A27" s="38" t="s">
        <v>60</v>
      </c>
      <c r="B27" s="38"/>
      <c r="C27" s="38"/>
      <c r="D27" s="128">
        <f>SUM(P5:R20)</f>
        <v>676.23132385895</v>
      </c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AA27" s="58" t="s">
        <v>9</v>
      </c>
      <c r="AB27" s="59">
        <v>0.6</v>
      </c>
      <c r="AC27" s="60">
        <v>0.334</v>
      </c>
      <c r="AD27" s="60">
        <v>0.388</v>
      </c>
      <c r="AE27" s="60">
        <v>0.13</v>
      </c>
      <c r="AF27" s="60">
        <v>0.01</v>
      </c>
      <c r="AG27" s="60">
        <v>0.147</v>
      </c>
      <c r="AH27" s="60">
        <v>1</v>
      </c>
    </row>
    <row r="28" ht="25" customHeight="1" spans="1:34">
      <c r="A28" s="38" t="s">
        <v>61</v>
      </c>
      <c r="B28" s="38"/>
      <c r="C28" s="38"/>
      <c r="D28" s="128">
        <f>SUM(S5:U20)</f>
        <v>290.83603884549</v>
      </c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AA28" s="58" t="s">
        <v>13</v>
      </c>
      <c r="AB28" s="60">
        <v>1</v>
      </c>
      <c r="AC28" s="60">
        <v>0.4564</v>
      </c>
      <c r="AD28" s="60">
        <v>0.2988</v>
      </c>
      <c r="AE28" s="60">
        <v>0.112</v>
      </c>
      <c r="AF28" s="60">
        <v>0.0142</v>
      </c>
      <c r="AG28" s="60">
        <v>0.1222</v>
      </c>
      <c r="AH28" s="63"/>
    </row>
    <row r="29" s="1" customFormat="1" ht="25" customHeight="1" spans="1:34">
      <c r="A29" s="38" t="s">
        <v>63</v>
      </c>
      <c r="B29" s="38"/>
      <c r="C29" s="128"/>
      <c r="D29" s="128">
        <f>SUM(F5:U20)</f>
        <v>1855.02255529436</v>
      </c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AA29" s="49"/>
      <c r="AB29" s="50"/>
      <c r="AC29" s="51"/>
      <c r="AD29" s="51"/>
      <c r="AE29" s="51"/>
      <c r="AF29" s="51"/>
      <c r="AG29" s="51"/>
      <c r="AH29" s="51"/>
    </row>
    <row r="30" spans="1:23">
      <c r="A30" s="38" t="s">
        <v>89</v>
      </c>
      <c r="B30" s="38"/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>
        <v>150</v>
      </c>
      <c r="Q30" s="160"/>
      <c r="R30" s="160"/>
      <c r="S30" s="160"/>
      <c r="T30" s="160"/>
      <c r="U30" s="160"/>
      <c r="V30" s="160"/>
      <c r="W30" s="160"/>
    </row>
    <row r="32" ht="17" customHeight="1" spans="1:23">
      <c r="A32" s="161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</row>
    <row r="33" spans="1:23">
      <c r="A33" s="9"/>
      <c r="B33" s="52"/>
      <c r="C33" s="52"/>
      <c r="D33" s="5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>
      <c r="A34" s="9"/>
      <c r="B34" s="52"/>
      <c r="C34" s="52"/>
      <c r="D34" s="52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>
      <c r="A35" s="9"/>
      <c r="B35" s="52"/>
      <c r="C35" s="52"/>
      <c r="D35" s="52"/>
      <c r="E35" s="9"/>
      <c r="F35" s="9">
        <f>SUM(F5:U12)</f>
        <v>606.73509357712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3">
      <c r="A36" s="15"/>
      <c r="B36" s="16"/>
      <c r="C36" s="16"/>
      <c r="D36" s="16"/>
      <c r="E36" s="162"/>
      <c r="F36" s="162">
        <f>SUM(F13:U20)</f>
        <v>1248.28746171724</v>
      </c>
      <c r="G36" s="9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9"/>
      <c r="W36" s="16"/>
    </row>
    <row r="37" spans="1:23">
      <c r="A37" s="15"/>
      <c r="B37" s="16"/>
      <c r="C37" s="16"/>
      <c r="D37" s="16"/>
      <c r="E37" s="162"/>
      <c r="F37" s="162"/>
      <c r="G37" s="162"/>
      <c r="H37" s="162"/>
      <c r="I37" s="162"/>
      <c r="J37" s="9"/>
      <c r="K37" s="162"/>
      <c r="L37" s="162"/>
      <c r="M37" s="9"/>
      <c r="N37" s="162"/>
      <c r="O37" s="162"/>
      <c r="P37" s="162"/>
      <c r="Q37" s="162"/>
      <c r="R37" s="162"/>
      <c r="S37" s="162"/>
      <c r="T37" s="162"/>
      <c r="U37" s="162"/>
      <c r="V37" s="9"/>
      <c r="W37" s="16"/>
    </row>
    <row r="38" spans="1:23">
      <c r="A38" s="15"/>
      <c r="B38" s="16"/>
      <c r="C38" s="16"/>
      <c r="D38" s="16"/>
      <c r="E38" s="162"/>
      <c r="F38" s="162"/>
      <c r="G38" s="162"/>
      <c r="H38" s="162"/>
      <c r="I38" s="162"/>
      <c r="J38" s="9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9"/>
      <c r="W38" s="16"/>
    </row>
    <row r="39" spans="1:23">
      <c r="A39" s="15"/>
      <c r="B39" s="16"/>
      <c r="C39" s="16"/>
      <c r="D39" s="16"/>
      <c r="E39" s="162"/>
      <c r="F39" s="162"/>
      <c r="G39" s="9"/>
      <c r="H39" s="9"/>
      <c r="I39" s="9"/>
      <c r="J39" s="17"/>
      <c r="K39" s="162"/>
      <c r="L39" s="162"/>
      <c r="M39" s="9"/>
      <c r="N39" s="162"/>
      <c r="O39" s="162"/>
      <c r="P39" s="162"/>
      <c r="Q39" s="162"/>
      <c r="R39" s="162"/>
      <c r="S39" s="162"/>
      <c r="T39" s="162"/>
      <c r="U39" s="162"/>
      <c r="V39" s="9"/>
      <c r="W39" s="16"/>
    </row>
    <row r="40" spans="1:23">
      <c r="A40" s="15"/>
      <c r="B40" s="16"/>
      <c r="C40" s="16"/>
      <c r="D40" s="16"/>
      <c r="E40" s="162"/>
      <c r="F40" s="162"/>
      <c r="G40" s="9"/>
      <c r="H40" s="9"/>
      <c r="I40" s="9"/>
      <c r="J40" s="17"/>
      <c r="K40" s="162"/>
      <c r="L40" s="162"/>
      <c r="M40" s="9"/>
      <c r="N40" s="162"/>
      <c r="O40" s="162"/>
      <c r="P40" s="162"/>
      <c r="Q40" s="162"/>
      <c r="R40" s="162"/>
      <c r="S40" s="162"/>
      <c r="T40" s="162"/>
      <c r="U40" s="162"/>
      <c r="V40" s="9"/>
      <c r="W40" s="16"/>
    </row>
    <row r="41" spans="1:23">
      <c r="A41" s="15"/>
      <c r="B41" s="16"/>
      <c r="C41" s="16"/>
      <c r="D41" s="16"/>
      <c r="E41" s="162"/>
      <c r="F41" s="162"/>
      <c r="G41" s="9"/>
      <c r="H41" s="9"/>
      <c r="I41" s="9"/>
      <c r="J41" s="162"/>
      <c r="K41" s="162"/>
      <c r="L41" s="162"/>
      <c r="M41" s="9"/>
      <c r="N41" s="162"/>
      <c r="O41" s="162"/>
      <c r="P41" s="162"/>
      <c r="Q41" s="162"/>
      <c r="R41" s="162"/>
      <c r="S41" s="162"/>
      <c r="T41" s="162"/>
      <c r="U41" s="162"/>
      <c r="V41" s="9"/>
      <c r="W41" s="16"/>
    </row>
    <row r="42" spans="1:23">
      <c r="A42" s="15"/>
      <c r="B42" s="16"/>
      <c r="C42" s="16"/>
      <c r="D42" s="16"/>
      <c r="E42" s="162"/>
      <c r="F42" s="162"/>
      <c r="G42" s="9"/>
      <c r="H42" s="9"/>
      <c r="I42" s="9"/>
      <c r="J42" s="27"/>
      <c r="K42" s="27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9"/>
      <c r="W42" s="16"/>
    </row>
    <row r="43" spans="1:21">
      <c r="A43" s="146"/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</row>
    <row r="44" ht="14.25" spans="1:21">
      <c r="A44" s="163"/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46"/>
      <c r="M44" s="146"/>
      <c r="N44" s="146"/>
      <c r="O44" s="146"/>
      <c r="P44" s="146"/>
      <c r="Q44" s="146"/>
      <c r="R44" s="146"/>
      <c r="S44" s="146"/>
      <c r="T44" s="146"/>
      <c r="U44" s="146"/>
    </row>
    <row r="45" spans="1:21">
      <c r="A45" s="9"/>
      <c r="B45" s="52"/>
      <c r="C45" s="52"/>
      <c r="D45" s="52"/>
      <c r="E45" s="52"/>
      <c r="F45" s="9"/>
      <c r="G45" s="9"/>
      <c r="H45" s="9"/>
      <c r="I45" s="9"/>
      <c r="J45" s="9"/>
      <c r="K45" s="9"/>
      <c r="L45" s="146"/>
      <c r="M45" s="146"/>
      <c r="N45" s="146"/>
      <c r="O45" s="146"/>
      <c r="P45" s="146"/>
      <c r="Q45" s="146"/>
      <c r="R45" s="146"/>
      <c r="S45" s="146"/>
      <c r="T45" s="146"/>
      <c r="U45" s="146"/>
    </row>
    <row r="46" spans="1:21">
      <c r="A46" s="9"/>
      <c r="B46" s="52"/>
      <c r="C46" s="52"/>
      <c r="D46" s="52"/>
      <c r="E46" s="52"/>
      <c r="F46" s="9"/>
      <c r="G46" s="9"/>
      <c r="H46" s="9"/>
      <c r="I46" s="9"/>
      <c r="J46" s="9"/>
      <c r="K46" s="9"/>
      <c r="L46" s="146"/>
      <c r="M46" s="146"/>
      <c r="N46" s="146"/>
      <c r="O46" s="146"/>
      <c r="P46" s="146"/>
      <c r="Q46" s="146"/>
      <c r="R46" s="146"/>
      <c r="S46" s="146"/>
      <c r="T46" s="146"/>
      <c r="U46" s="146"/>
    </row>
    <row r="47" spans="1:21">
      <c r="A47" s="9"/>
      <c r="B47" s="52"/>
      <c r="C47" s="52"/>
      <c r="D47" s="52"/>
      <c r="E47" s="52"/>
      <c r="F47" s="9"/>
      <c r="G47" s="9"/>
      <c r="H47" s="9"/>
      <c r="I47" s="9"/>
      <c r="J47" s="9"/>
      <c r="K47" s="9"/>
      <c r="L47" s="146"/>
      <c r="M47" s="146"/>
      <c r="N47" s="146"/>
      <c r="O47" s="146"/>
      <c r="P47" s="146"/>
      <c r="Q47" s="146"/>
      <c r="R47" s="146"/>
      <c r="S47" s="146"/>
      <c r="T47" s="146"/>
      <c r="U47" s="146"/>
    </row>
    <row r="48" spans="1:21">
      <c r="A48" s="9"/>
      <c r="B48" s="52"/>
      <c r="C48" s="52"/>
      <c r="D48" s="52"/>
      <c r="E48" s="52"/>
      <c r="F48" s="9"/>
      <c r="G48" s="9"/>
      <c r="H48" s="52"/>
      <c r="I48" s="52"/>
      <c r="J48" s="9"/>
      <c r="K48" s="9"/>
      <c r="L48" s="146"/>
      <c r="M48" s="146"/>
      <c r="N48" s="146"/>
      <c r="O48" s="146"/>
      <c r="P48" s="146"/>
      <c r="Q48" s="146"/>
      <c r="R48" s="146"/>
      <c r="S48" s="146"/>
      <c r="T48" s="146"/>
      <c r="U48" s="146"/>
    </row>
    <row r="49" spans="1:21">
      <c r="A49" s="9"/>
      <c r="B49" s="164"/>
      <c r="C49" s="16"/>
      <c r="D49" s="165"/>
      <c r="E49" s="165"/>
      <c r="F49" s="166"/>
      <c r="G49" s="166"/>
      <c r="H49" s="166"/>
      <c r="I49" s="166"/>
      <c r="J49" s="9"/>
      <c r="K49" s="9"/>
      <c r="L49" s="146"/>
      <c r="M49" s="146"/>
      <c r="N49" s="146"/>
      <c r="O49" s="146"/>
      <c r="P49" s="146"/>
      <c r="Q49" s="146"/>
      <c r="R49" s="146"/>
      <c r="S49" s="146"/>
      <c r="T49" s="146"/>
      <c r="U49" s="146"/>
    </row>
    <row r="50" spans="1:21">
      <c r="A50" s="9"/>
      <c r="B50" s="167"/>
      <c r="C50" s="165"/>
      <c r="D50" s="165"/>
      <c r="E50" s="168"/>
      <c r="F50" s="169"/>
      <c r="G50" s="166"/>
      <c r="H50" s="166"/>
      <c r="I50" s="166"/>
      <c r="J50" s="171"/>
      <c r="K50" s="169"/>
      <c r="L50" s="146"/>
      <c r="M50" s="146"/>
      <c r="N50" s="146"/>
      <c r="O50" s="146"/>
      <c r="P50" s="146"/>
      <c r="Q50" s="146"/>
      <c r="R50" s="146"/>
      <c r="S50" s="146"/>
      <c r="T50" s="146"/>
      <c r="U50" s="146"/>
    </row>
    <row r="51" spans="1:21">
      <c r="A51" s="9"/>
      <c r="B51" s="167"/>
      <c r="C51" s="165"/>
      <c r="D51" s="165"/>
      <c r="E51" s="168"/>
      <c r="F51" s="169"/>
      <c r="G51" s="169"/>
      <c r="H51" s="169"/>
      <c r="I51" s="171"/>
      <c r="J51" s="171"/>
      <c r="K51" s="169"/>
      <c r="L51" s="146"/>
      <c r="M51" s="146"/>
      <c r="N51" s="146"/>
      <c r="O51" s="146"/>
      <c r="P51" s="146"/>
      <c r="Q51" s="146"/>
      <c r="R51" s="146"/>
      <c r="S51" s="146"/>
      <c r="T51" s="146"/>
      <c r="U51" s="146"/>
    </row>
    <row r="52" spans="1:21">
      <c r="A52" s="170"/>
      <c r="B52" s="169"/>
      <c r="C52" s="169"/>
      <c r="D52" s="169"/>
      <c r="E52" s="169"/>
      <c r="F52" s="169"/>
      <c r="G52" s="169"/>
      <c r="H52" s="169"/>
      <c r="I52" s="171"/>
      <c r="J52" s="171"/>
      <c r="K52" s="169"/>
      <c r="L52" s="146"/>
      <c r="M52" s="146"/>
      <c r="N52" s="146"/>
      <c r="O52" s="146"/>
      <c r="P52" s="146"/>
      <c r="Q52" s="146"/>
      <c r="R52" s="146"/>
      <c r="S52" s="146"/>
      <c r="T52" s="146"/>
      <c r="U52" s="146"/>
    </row>
    <row r="53" spans="1:21">
      <c r="A53" s="146"/>
      <c r="B53" s="146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</row>
    <row r="54" spans="1:21">
      <c r="A54" s="146"/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</row>
    <row r="55" spans="1:21">
      <c r="A55" s="146"/>
      <c r="B55" s="146"/>
      <c r="C55" s="146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</row>
    <row r="56" spans="1:21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</row>
    <row r="57" spans="1:21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</row>
    <row r="58" spans="1:21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</row>
    <row r="59" spans="1:21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</row>
    <row r="60" spans="1:21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</row>
    <row r="61" spans="1:21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</row>
    <row r="62" spans="1:21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</row>
    <row r="63" spans="1:21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</row>
    <row r="64" spans="1:21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</row>
    <row r="65" spans="1:21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</row>
    <row r="66" spans="1:21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</row>
    <row r="67" spans="1:21">
      <c r="A67" s="146"/>
      <c r="B67" s="146"/>
      <c r="C67" s="146"/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</row>
    <row r="68" spans="1:21">
      <c r="A68" s="146"/>
      <c r="B68" s="146"/>
      <c r="C68" s="146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</row>
    <row r="69" spans="1:21">
      <c r="A69" s="146"/>
      <c r="B69" s="146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</row>
    <row r="70" spans="1:21">
      <c r="A70" s="146"/>
      <c r="B70" s="146"/>
      <c r="C70" s="146"/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</row>
    <row r="71" spans="1:21">
      <c r="A71" s="146"/>
      <c r="B71" s="146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</row>
    <row r="72" spans="1:21">
      <c r="A72" s="146"/>
      <c r="B72" s="146"/>
      <c r="C72" s="146"/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</row>
    <row r="73" spans="1:21">
      <c r="A73" s="146"/>
      <c r="B73" s="146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</row>
    <row r="74" spans="1:21">
      <c r="A74" s="146"/>
      <c r="B74" s="146"/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</row>
    <row r="75" spans="1:21">
      <c r="A75" s="146"/>
      <c r="B75" s="146"/>
      <c r="C75" s="146"/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</row>
    <row r="76" spans="1:21">
      <c r="A76" s="146"/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</row>
    <row r="77" spans="1:21">
      <c r="A77" s="146"/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</row>
    <row r="78" spans="1:21">
      <c r="A78" s="146"/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</row>
    <row r="79" spans="1:21">
      <c r="A79" s="146"/>
      <c r="B79" s="146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</row>
    <row r="80" spans="1:21">
      <c r="A80" s="146"/>
      <c r="B80" s="146"/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</row>
  </sheetData>
  <mergeCells count="62">
    <mergeCell ref="A1:W1"/>
    <mergeCell ref="F2:U2"/>
    <mergeCell ref="F3:L3"/>
    <mergeCell ref="M3:O3"/>
    <mergeCell ref="P3:R3"/>
    <mergeCell ref="S3:U3"/>
    <mergeCell ref="A21:D21"/>
    <mergeCell ref="A22:D22"/>
    <mergeCell ref="A23:D23"/>
    <mergeCell ref="A24:B24"/>
    <mergeCell ref="A25:B25"/>
    <mergeCell ref="F25:W25"/>
    <mergeCell ref="A26:B26"/>
    <mergeCell ref="F26:W26"/>
    <mergeCell ref="A27:B27"/>
    <mergeCell ref="F27:W27"/>
    <mergeCell ref="A28:B28"/>
    <mergeCell ref="F28:W28"/>
    <mergeCell ref="A29:B29"/>
    <mergeCell ref="F29:W29"/>
    <mergeCell ref="A30:B30"/>
    <mergeCell ref="A32:W32"/>
    <mergeCell ref="F33:U33"/>
    <mergeCell ref="F34:L34"/>
    <mergeCell ref="M34:O34"/>
    <mergeCell ref="P34:R34"/>
    <mergeCell ref="S34:U34"/>
    <mergeCell ref="A44:K44"/>
    <mergeCell ref="F45:I45"/>
    <mergeCell ref="F46:I46"/>
    <mergeCell ref="F47:I47"/>
    <mergeCell ref="A2:A4"/>
    <mergeCell ref="A5:A12"/>
    <mergeCell ref="A13:A20"/>
    <mergeCell ref="A33:A35"/>
    <mergeCell ref="A36:A42"/>
    <mergeCell ref="A45:A48"/>
    <mergeCell ref="B2:B4"/>
    <mergeCell ref="B5:B12"/>
    <mergeCell ref="B13:B20"/>
    <mergeCell ref="B33:B35"/>
    <mergeCell ref="B36:B42"/>
    <mergeCell ref="B45:B48"/>
    <mergeCell ref="C2:C4"/>
    <mergeCell ref="C5:C9"/>
    <mergeCell ref="C13:C17"/>
    <mergeCell ref="C33:C35"/>
    <mergeCell ref="C36:C39"/>
    <mergeCell ref="C45:C48"/>
    <mergeCell ref="D2:D4"/>
    <mergeCell ref="D33:D35"/>
    <mergeCell ref="E2:E4"/>
    <mergeCell ref="E33:E35"/>
    <mergeCell ref="J45:J48"/>
    <mergeCell ref="K45:K48"/>
    <mergeCell ref="V2:V4"/>
    <mergeCell ref="V33:V35"/>
    <mergeCell ref="W2:W4"/>
    <mergeCell ref="W33:W35"/>
    <mergeCell ref="Y3:Y4"/>
    <mergeCell ref="Y5:Y6"/>
    <mergeCell ref="D45:E4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0"/>
  <sheetViews>
    <sheetView zoomScale="115" zoomScaleNormal="115" workbookViewId="0">
      <pane ySplit="4" topLeftCell="A5" activePane="bottomLeft" state="frozen"/>
      <selection/>
      <selection pane="bottomLeft" activeCell="F26" sqref="F26:W26"/>
    </sheetView>
  </sheetViews>
  <sheetFormatPr defaultColWidth="9" defaultRowHeight="13.5"/>
  <cols>
    <col min="1" max="1" width="7.875" customWidth="1"/>
    <col min="2" max="2" width="9.625" customWidth="1"/>
    <col min="3" max="3" width="15.875" customWidth="1"/>
    <col min="4" max="4" width="16.75" customWidth="1"/>
    <col min="5" max="5" width="19.1083333333333" customWidth="1"/>
    <col min="6" max="6" width="9.025" customWidth="1"/>
    <col min="7" max="7" width="11.4666666666667" customWidth="1"/>
    <col min="8" max="11" width="9.025" customWidth="1"/>
    <col min="12" max="12" width="11.4166666666667" customWidth="1"/>
    <col min="13" max="15" width="9.025" customWidth="1"/>
    <col min="16" max="16" width="12.875"/>
    <col min="17" max="19" width="10.125" customWidth="1"/>
    <col min="20" max="20" width="9.25" customWidth="1"/>
    <col min="21" max="21" width="9.125" customWidth="1"/>
    <col min="22" max="22" width="14.125" hidden="1" customWidth="1"/>
    <col min="23" max="23" width="35.25" customWidth="1"/>
    <col min="24" max="24" width="12.625"/>
    <col min="26" max="26" width="20.8916666666667" customWidth="1"/>
    <col min="27" max="27" width="29.6333333333333" customWidth="1"/>
    <col min="28" max="28" width="21.7583333333333" customWidth="1"/>
    <col min="29" max="29" width="22.35" customWidth="1"/>
  </cols>
  <sheetData>
    <row r="1" ht="30" customHeight="1" spans="1:23">
      <c r="A1" s="122" t="s">
        <v>90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9"/>
      <c r="S1" s="30"/>
      <c r="T1" s="30"/>
      <c r="U1" s="30"/>
      <c r="V1" s="30"/>
      <c r="W1" s="30"/>
    </row>
    <row r="2" ht="30" customHeight="1" spans="1:29">
      <c r="A2" s="4" t="s">
        <v>19</v>
      </c>
      <c r="B2" s="5" t="s">
        <v>20</v>
      </c>
      <c r="C2" s="6" t="s">
        <v>21</v>
      </c>
      <c r="D2" s="7" t="s">
        <v>91</v>
      </c>
      <c r="E2" s="8" t="s">
        <v>22</v>
      </c>
      <c r="F2" s="9"/>
      <c r="G2" s="9"/>
      <c r="H2" s="9"/>
      <c r="I2" s="9"/>
      <c r="J2" s="9"/>
      <c r="K2" s="9"/>
      <c r="L2" s="9"/>
      <c r="M2" s="9"/>
      <c r="N2" s="23"/>
      <c r="O2" s="23"/>
      <c r="P2" s="23"/>
      <c r="Q2" s="31" t="s">
        <v>24</v>
      </c>
      <c r="R2" s="8" t="s">
        <v>14</v>
      </c>
      <c r="S2" s="32"/>
      <c r="T2" s="32"/>
      <c r="U2" s="32"/>
      <c r="V2" s="32"/>
      <c r="W2" s="32"/>
      <c r="Y2" s="38"/>
      <c r="Z2" s="38"/>
      <c r="AA2" s="38" t="s">
        <v>0</v>
      </c>
      <c r="AB2" s="38" t="s">
        <v>2</v>
      </c>
      <c r="AC2" s="38" t="s">
        <v>3</v>
      </c>
    </row>
    <row r="3" ht="30" customHeight="1" spans="1:29">
      <c r="A3" s="10"/>
      <c r="B3" s="5"/>
      <c r="C3" s="6"/>
      <c r="D3" s="11"/>
      <c r="E3" s="8"/>
      <c r="F3" s="8" t="s">
        <v>26</v>
      </c>
      <c r="G3" s="8"/>
      <c r="H3" s="8"/>
      <c r="I3" s="8" t="s">
        <v>27</v>
      </c>
      <c r="J3" s="8"/>
      <c r="K3" s="8"/>
      <c r="L3" s="24" t="s">
        <v>28</v>
      </c>
      <c r="M3" s="25"/>
      <c r="N3" s="26"/>
      <c r="O3" s="24" t="s">
        <v>92</v>
      </c>
      <c r="P3" s="24" t="s">
        <v>29</v>
      </c>
      <c r="Q3" s="8"/>
      <c r="R3" s="8"/>
      <c r="S3" s="32"/>
      <c r="T3" s="32"/>
      <c r="U3" s="32"/>
      <c r="V3" s="32"/>
      <c r="W3" s="32"/>
      <c r="Y3" s="39" t="s">
        <v>8</v>
      </c>
      <c r="Z3" s="38" t="s">
        <v>6</v>
      </c>
      <c r="AA3" s="38">
        <f>10*0.91*0.2*0.334</f>
        <v>0.60788</v>
      </c>
      <c r="AB3" s="38">
        <f>10*0.91*0.2*0.13</f>
        <v>0.2366</v>
      </c>
      <c r="AC3" s="38">
        <f>10*0.91*0.2*0.147</f>
        <v>0.26754</v>
      </c>
    </row>
    <row r="4" ht="30" customHeight="1" spans="1:29">
      <c r="A4" s="10"/>
      <c r="B4" s="123"/>
      <c r="C4" s="6"/>
      <c r="D4" s="31"/>
      <c r="E4" s="8"/>
      <c r="F4" s="124" t="s">
        <v>33</v>
      </c>
      <c r="G4" s="124" t="s">
        <v>93</v>
      </c>
      <c r="H4" s="124" t="s">
        <v>94</v>
      </c>
      <c r="I4" s="8" t="s">
        <v>38</v>
      </c>
      <c r="J4" s="124" t="s">
        <v>40</v>
      </c>
      <c r="K4" s="8" t="s">
        <v>95</v>
      </c>
      <c r="L4" s="8" t="s">
        <v>42</v>
      </c>
      <c r="M4" s="8" t="s">
        <v>43</v>
      </c>
      <c r="N4" s="8" t="s">
        <v>96</v>
      </c>
      <c r="O4" s="8" t="s">
        <v>34</v>
      </c>
      <c r="P4" s="8" t="s">
        <v>44</v>
      </c>
      <c r="Q4" s="8"/>
      <c r="R4" s="8"/>
      <c r="S4" s="32"/>
      <c r="T4" s="32"/>
      <c r="U4" s="32"/>
      <c r="V4" s="32"/>
      <c r="W4" s="32"/>
      <c r="Y4" s="40"/>
      <c r="Z4" s="38" t="s">
        <v>7</v>
      </c>
      <c r="AA4" s="38">
        <f>10*0.09*0.3*0.43</f>
        <v>0.1161</v>
      </c>
      <c r="AB4" s="38">
        <f>10*0.09*0.3*0.35</f>
        <v>0.0945</v>
      </c>
      <c r="AC4" s="38">
        <f>10*0.09*0.3*0.17</f>
        <v>0.0459</v>
      </c>
    </row>
    <row r="5" ht="30" customHeight="1" spans="1:29">
      <c r="A5" s="125">
        <v>1</v>
      </c>
      <c r="B5" s="126" t="s">
        <v>8</v>
      </c>
      <c r="C5" s="126" t="s">
        <v>97</v>
      </c>
      <c r="D5" s="126">
        <v>271180</v>
      </c>
      <c r="E5" s="127" t="s">
        <v>7</v>
      </c>
      <c r="F5" s="132">
        <f>D5/100*10*0.09*0.3*0.43*0.8*0.2</f>
        <v>50.3743968</v>
      </c>
      <c r="G5" s="132">
        <f>D5/100*10*0.09*0.6*0.43*0.08*0.2</f>
        <v>10.07487936</v>
      </c>
      <c r="H5" s="132">
        <f>D5/100*10*0.09*0.6*0.43*0.08*0.2</f>
        <v>10.07487936</v>
      </c>
      <c r="I5" s="132"/>
      <c r="J5" s="132"/>
      <c r="K5" s="137"/>
      <c r="L5" s="128">
        <f>D5/100*10*0.09*0.6*0.35*0.8*0.2</f>
        <v>82.004832</v>
      </c>
      <c r="M5" s="128">
        <f>D5/100*10*0.09*0.6*0.35*0.08*0.2</f>
        <v>8.2004832</v>
      </c>
      <c r="N5" s="128">
        <f>D5/100*10*0.09*0.6*0.35*0.08*0.2</f>
        <v>8.2004832</v>
      </c>
      <c r="O5" s="132">
        <f>D5/100*10*0.09*0.6*0.35*0.8*0.2</f>
        <v>82.004832</v>
      </c>
      <c r="P5" s="132">
        <f>D5/100*10*0.09*0.6*0.17*0.8*0.2</f>
        <v>39.8309184</v>
      </c>
      <c r="Q5" s="132">
        <f t="shared" ref="Q5:Q15" si="0">SUM(F5:P5)</f>
        <v>290.76570432</v>
      </c>
      <c r="R5" s="148" t="s">
        <v>98</v>
      </c>
      <c r="S5" s="34"/>
      <c r="T5" s="34"/>
      <c r="U5" s="34"/>
      <c r="V5" s="32"/>
      <c r="W5" s="35"/>
      <c r="Y5" s="39" t="s">
        <v>9</v>
      </c>
      <c r="Z5" s="38" t="s">
        <v>6</v>
      </c>
      <c r="AA5" s="38">
        <f>10*0.91*0.6*0.334</f>
        <v>1.82364</v>
      </c>
      <c r="AB5" s="38">
        <f>10*0.91*0.6*0.13</f>
        <v>0.7098</v>
      </c>
      <c r="AC5" s="38">
        <f>10*0.91*0.6*0.147</f>
        <v>0.80262</v>
      </c>
    </row>
    <row r="6" ht="30" customHeight="1" spans="1:29">
      <c r="A6" s="125">
        <f>A5+1</f>
        <v>2</v>
      </c>
      <c r="B6" s="129"/>
      <c r="C6" s="129"/>
      <c r="D6" s="129"/>
      <c r="E6" s="127" t="s">
        <v>6</v>
      </c>
      <c r="F6" s="132">
        <f>D5/100*10*0.91*0.2*0.4*0.8*0.2</f>
        <v>315.870464</v>
      </c>
      <c r="G6" s="132">
        <f>D5/100*10*0.91*0.2*0.4*0.08*0.2</f>
        <v>31.5870464</v>
      </c>
      <c r="H6" s="132">
        <f>D5/100*10*0.91*0.2*0.4*0.08*0.2</f>
        <v>31.5870464</v>
      </c>
      <c r="I6" s="132">
        <f>650/100*10*0.855*0.2*0.29*0.82*0.2</f>
        <v>0.5286294</v>
      </c>
      <c r="J6" s="132">
        <f>650/100*10*0.855*0.2*0.29*0.08*0.2</f>
        <v>0.0515736</v>
      </c>
      <c r="K6" s="128">
        <f>650/100*10*0.855*0.6*0.388*0.82*0.08*0.2</f>
        <v>0.1697447232</v>
      </c>
      <c r="L6" s="128">
        <f>650/100*10*0.855*0.2*0.29*0.08*0.2</f>
        <v>0.0515736</v>
      </c>
      <c r="M6" s="128">
        <f>D5/100*10*0.91*0.2*0.14*0.08*0.2</f>
        <v>11.05546624</v>
      </c>
      <c r="N6" s="128">
        <f>D5/100*10*0.91*0.2*0.14*0.08*0.2</f>
        <v>11.05546624</v>
      </c>
      <c r="O6" s="132"/>
      <c r="P6" s="132">
        <f>D5/100*10*0.91*0.6*0.147*0.8*0.2</f>
        <v>348.24718656</v>
      </c>
      <c r="Q6" s="132">
        <f t="shared" si="0"/>
        <v>750.2041971632</v>
      </c>
      <c r="R6" s="149"/>
      <c r="S6" s="34"/>
      <c r="T6" s="34"/>
      <c r="U6" s="34"/>
      <c r="V6" s="32"/>
      <c r="W6" s="35"/>
      <c r="Y6" s="40"/>
      <c r="Z6" s="38" t="s">
        <v>7</v>
      </c>
      <c r="AA6" s="38">
        <f>10*0.09*0.6*0.43</f>
        <v>0.2322</v>
      </c>
      <c r="AB6" s="38">
        <f>10*0.09*0.6*0.35</f>
        <v>0.189</v>
      </c>
      <c r="AC6" s="38">
        <f>10*0.09*0.6*0.17</f>
        <v>0.0918</v>
      </c>
    </row>
    <row r="7" ht="30" customHeight="1" spans="1:23">
      <c r="A7" s="125">
        <v>3</v>
      </c>
      <c r="B7" s="129"/>
      <c r="C7" s="140" t="s">
        <v>99</v>
      </c>
      <c r="D7" s="133">
        <v>307350</v>
      </c>
      <c r="E7" s="127" t="s">
        <v>7</v>
      </c>
      <c r="F7" s="132">
        <f>D7/100*10*0.09*0.3*0.43*0.8*0.2</f>
        <v>57.093336</v>
      </c>
      <c r="G7" s="132">
        <f>D7/100*10*0.09*0.6*0.43*0.08*0.2</f>
        <v>11.4186672</v>
      </c>
      <c r="H7" s="132">
        <f>D7/100*10*0.09*0.6*0.43*0.08*0.2</f>
        <v>11.4186672</v>
      </c>
      <c r="I7" s="132"/>
      <c r="J7" s="132"/>
      <c r="K7" s="137"/>
      <c r="L7" s="128">
        <f>D7/100*10*0.09*0.6*0.35*0.8*0.2</f>
        <v>92.94264</v>
      </c>
      <c r="M7" s="128">
        <f>D7/100*10*0.09*0.6*0.35*0.08*0.2</f>
        <v>9.294264</v>
      </c>
      <c r="N7" s="128">
        <f>D7/100*10*0.09*0.6*0.35*0.08*0.2</f>
        <v>9.294264</v>
      </c>
      <c r="O7" s="132">
        <f>D7/100*10*0.09*0.2*0.4*0.8*0.2</f>
        <v>35.40672</v>
      </c>
      <c r="P7" s="132">
        <f>D7/100*10*0.09*0.2*0.145*0.8*0.2</f>
        <v>12.834936</v>
      </c>
      <c r="Q7" s="132">
        <f t="shared" si="0"/>
        <v>239.7034944</v>
      </c>
      <c r="R7" s="149"/>
      <c r="S7" s="34"/>
      <c r="T7" s="34"/>
      <c r="U7" s="34"/>
      <c r="V7" s="32"/>
      <c r="W7" s="35"/>
    </row>
    <row r="8" ht="30" customHeight="1" spans="1:23">
      <c r="A8" s="125">
        <v>4</v>
      </c>
      <c r="B8" s="129"/>
      <c r="C8" s="141"/>
      <c r="D8" s="133"/>
      <c r="E8" s="127" t="s">
        <v>6</v>
      </c>
      <c r="F8" s="132">
        <f>D7/100*10*0.91*0.2*0.4*0.8*0.2</f>
        <v>358.00128</v>
      </c>
      <c r="G8" s="132">
        <f>D7/100*10*0.91*0.2*0.4*0.08*0.2</f>
        <v>35.800128</v>
      </c>
      <c r="H8" s="132">
        <f>D7/100*10*0.91*0.2*0.4*0.08*0.2</f>
        <v>35.800128</v>
      </c>
      <c r="I8" s="132">
        <f>650/100*10*0.855*0.2*0.29*0.82*0.2</f>
        <v>0.5286294</v>
      </c>
      <c r="J8" s="132">
        <f>650/100*10*0.855*0.2*0.29*0.08*0.2</f>
        <v>0.0515736</v>
      </c>
      <c r="K8" s="128">
        <f>650/100*10*0.855*0.6*0.388*0.82*0.08*0.2</f>
        <v>0.1697447232</v>
      </c>
      <c r="L8" s="128">
        <f>D7/100*10*0.91*0.2*0.14*0.8*0.2</f>
        <v>125.300448</v>
      </c>
      <c r="M8" s="128">
        <f>D7/100*10*0.91*0.2*0.14*0.08*0.2</f>
        <v>12.5300448</v>
      </c>
      <c r="N8" s="128">
        <f>D7/100*10*0.91*0.2*0.14*0.08*0.2</f>
        <v>12.5300448</v>
      </c>
      <c r="O8" s="132"/>
      <c r="P8" s="132">
        <f>D7/100*10*0.91*0.6*0.147*0.8*0.2</f>
        <v>394.6964112</v>
      </c>
      <c r="Q8" s="132">
        <f t="shared" si="0"/>
        <v>975.4084325232</v>
      </c>
      <c r="R8" s="149"/>
      <c r="S8" s="34"/>
      <c r="T8" s="34"/>
      <c r="U8" s="34"/>
      <c r="V8" s="32"/>
      <c r="W8" s="35"/>
    </row>
    <row r="9" ht="30" customHeight="1" spans="1:23">
      <c r="A9" s="125">
        <v>5</v>
      </c>
      <c r="B9" s="129"/>
      <c r="C9" s="133" t="s">
        <v>100</v>
      </c>
      <c r="D9" s="128"/>
      <c r="E9" s="132"/>
      <c r="F9" s="132"/>
      <c r="G9" s="132"/>
      <c r="H9" s="132">
        <f>SUM(F5:H8)*0.045</f>
        <v>43.1595413424</v>
      </c>
      <c r="I9" s="132"/>
      <c r="J9" s="132"/>
      <c r="K9" s="132"/>
      <c r="L9" s="132"/>
      <c r="M9" s="132"/>
      <c r="N9" s="132"/>
      <c r="O9" s="132"/>
      <c r="P9" s="133"/>
      <c r="Q9" s="132">
        <f t="shared" si="0"/>
        <v>43.1595413424</v>
      </c>
      <c r="R9" s="149"/>
      <c r="S9" s="34"/>
      <c r="T9" s="34"/>
      <c r="U9" s="34"/>
      <c r="V9" s="32"/>
      <c r="W9" s="35"/>
    </row>
    <row r="10" ht="30" customHeight="1" spans="1:23">
      <c r="A10" s="125">
        <v>6</v>
      </c>
      <c r="B10" s="129"/>
      <c r="C10" s="133" t="s">
        <v>101</v>
      </c>
      <c r="D10" s="131"/>
      <c r="E10" s="131"/>
      <c r="F10" s="131"/>
      <c r="G10" s="132"/>
      <c r="H10" s="132"/>
      <c r="I10" s="132">
        <f>0.045*C19</f>
        <v>0.067495295088</v>
      </c>
      <c r="J10" s="132"/>
      <c r="K10" s="132"/>
      <c r="L10" s="132"/>
      <c r="M10" s="132"/>
      <c r="N10" s="133"/>
      <c r="O10" s="133"/>
      <c r="P10" s="133"/>
      <c r="Q10" s="132">
        <f t="shared" si="0"/>
        <v>0.067495295088</v>
      </c>
      <c r="R10" s="149"/>
      <c r="S10" s="34"/>
      <c r="T10" s="34"/>
      <c r="U10" s="34"/>
      <c r="V10" s="32"/>
      <c r="W10" s="35"/>
    </row>
    <row r="11" ht="30" customHeight="1" spans="1:23">
      <c r="A11" s="125">
        <v>7</v>
      </c>
      <c r="B11" s="129"/>
      <c r="C11" s="133" t="s">
        <v>102</v>
      </c>
      <c r="D11" s="133"/>
      <c r="E11" s="133"/>
      <c r="F11" s="142"/>
      <c r="G11" s="142"/>
      <c r="H11" s="142"/>
      <c r="I11" s="142"/>
      <c r="J11" s="142"/>
      <c r="K11" s="131"/>
      <c r="L11" s="128">
        <f>0.045*C20</f>
        <v>17.2107004536</v>
      </c>
      <c r="M11" s="131"/>
      <c r="N11" s="132"/>
      <c r="O11" s="132"/>
      <c r="P11" s="133"/>
      <c r="Q11" s="132">
        <f t="shared" si="0"/>
        <v>17.2107004536</v>
      </c>
      <c r="R11" s="149"/>
      <c r="S11" s="34"/>
      <c r="T11" s="34"/>
      <c r="U11" s="34"/>
      <c r="V11" s="32"/>
      <c r="W11" s="35"/>
    </row>
    <row r="12" ht="30" customHeight="1" spans="1:34">
      <c r="A12" s="125">
        <v>8</v>
      </c>
      <c r="B12" s="129"/>
      <c r="C12" s="133" t="s">
        <v>103</v>
      </c>
      <c r="D12" s="133"/>
      <c r="E12" s="133"/>
      <c r="F12" s="142"/>
      <c r="G12" s="142"/>
      <c r="H12" s="142"/>
      <c r="I12" s="142"/>
      <c r="J12" s="142"/>
      <c r="K12" s="131"/>
      <c r="L12" s="131"/>
      <c r="M12" s="131"/>
      <c r="N12" s="132"/>
      <c r="O12" s="132"/>
      <c r="P12" s="132">
        <f>0.045*C21</f>
        <v>35.8024253472</v>
      </c>
      <c r="Q12" s="132">
        <f t="shared" si="0"/>
        <v>35.8024253472</v>
      </c>
      <c r="R12" s="149"/>
      <c r="S12" s="34"/>
      <c r="T12" s="34"/>
      <c r="U12" s="34"/>
      <c r="V12" s="32"/>
      <c r="W12" s="35"/>
      <c r="AA12" s="41" t="s">
        <v>83</v>
      </c>
      <c r="AB12" s="42">
        <v>0.09</v>
      </c>
      <c r="AC12" s="43"/>
      <c r="AD12" s="43"/>
      <c r="AE12" s="43"/>
      <c r="AF12" s="43"/>
      <c r="AG12" s="43"/>
      <c r="AH12" s="43"/>
    </row>
    <row r="13" ht="30" customHeight="1" spans="1:38">
      <c r="A13" s="125">
        <v>9</v>
      </c>
      <c r="B13" s="129"/>
      <c r="C13" s="133" t="s">
        <v>104</v>
      </c>
      <c r="D13" s="133"/>
      <c r="E13" s="133"/>
      <c r="F13" s="143"/>
      <c r="G13" s="143"/>
      <c r="H13" s="143"/>
      <c r="I13" s="143"/>
      <c r="J13" s="143"/>
      <c r="K13" s="141"/>
      <c r="L13" s="141"/>
      <c r="M13" s="141"/>
      <c r="N13" s="133"/>
      <c r="O13" s="128">
        <f>C22*0.045</f>
        <v>5.28351984</v>
      </c>
      <c r="P13" s="133"/>
      <c r="Q13" s="128">
        <f t="shared" si="0"/>
        <v>5.28351984</v>
      </c>
      <c r="R13" s="149"/>
      <c r="S13" s="34"/>
      <c r="T13" s="34"/>
      <c r="U13" s="34"/>
      <c r="V13" s="32"/>
      <c r="W13" s="35"/>
      <c r="Z13" s="44"/>
      <c r="AA13" s="45"/>
      <c r="AB13" s="46" t="s">
        <v>11</v>
      </c>
      <c r="AC13" s="46" t="s">
        <v>0</v>
      </c>
      <c r="AD13" s="46" t="s">
        <v>1</v>
      </c>
      <c r="AE13" s="46" t="s">
        <v>2</v>
      </c>
      <c r="AF13" s="46" t="s">
        <v>4</v>
      </c>
      <c r="AG13" s="46" t="s">
        <v>12</v>
      </c>
      <c r="AH13" s="46" t="s">
        <v>13</v>
      </c>
      <c r="AI13" t="s">
        <v>84</v>
      </c>
      <c r="AJ13" t="s">
        <v>85</v>
      </c>
      <c r="AK13" t="s">
        <v>86</v>
      </c>
      <c r="AL13" t="s">
        <v>56</v>
      </c>
    </row>
    <row r="14" ht="30" customHeight="1" spans="1:34">
      <c r="A14" s="125">
        <v>10</v>
      </c>
      <c r="B14" s="130"/>
      <c r="C14" s="133" t="s">
        <v>57</v>
      </c>
      <c r="D14" s="134"/>
      <c r="E14" s="134"/>
      <c r="F14" s="144">
        <f>0.07*C23</f>
        <v>157.925727988448</v>
      </c>
      <c r="G14" s="144"/>
      <c r="H14" s="144"/>
      <c r="I14" s="144"/>
      <c r="J14" s="144"/>
      <c r="K14" s="147"/>
      <c r="L14" s="147"/>
      <c r="M14" s="147"/>
      <c r="N14" s="134"/>
      <c r="O14" s="128"/>
      <c r="P14" s="128"/>
      <c r="Q14" s="128">
        <f t="shared" si="0"/>
        <v>157.925727988448</v>
      </c>
      <c r="R14" s="149"/>
      <c r="S14" s="34"/>
      <c r="T14" s="34"/>
      <c r="U14" s="34"/>
      <c r="V14" s="32"/>
      <c r="W14" s="35"/>
      <c r="Z14" s="44"/>
      <c r="AA14" s="47"/>
      <c r="AB14" s="48"/>
      <c r="AC14" s="48"/>
      <c r="AD14" s="48"/>
      <c r="AE14" s="48"/>
      <c r="AF14" s="48"/>
      <c r="AG14" s="48"/>
      <c r="AH14" s="48"/>
    </row>
    <row r="15" ht="30" customHeight="1" spans="1:38">
      <c r="A15" s="125"/>
      <c r="B15" s="130"/>
      <c r="C15" s="133" t="s">
        <v>88</v>
      </c>
      <c r="D15" s="134"/>
      <c r="E15" s="134"/>
      <c r="F15" s="144">
        <f>SUM(F5:H8)*0.02</f>
        <v>19.1820183744</v>
      </c>
      <c r="G15" s="144"/>
      <c r="H15" s="144"/>
      <c r="I15" s="144"/>
      <c r="J15" s="144"/>
      <c r="K15" s="147"/>
      <c r="L15" s="147"/>
      <c r="M15" s="147"/>
      <c r="N15" s="134"/>
      <c r="O15" s="128"/>
      <c r="P15" s="128"/>
      <c r="Q15" s="128">
        <f t="shared" si="0"/>
        <v>19.1820183744</v>
      </c>
      <c r="R15" s="149"/>
      <c r="S15" s="34"/>
      <c r="T15" s="34"/>
      <c r="U15" s="34"/>
      <c r="V15" s="32"/>
      <c r="W15" s="35"/>
      <c r="AA15" s="49" t="s">
        <v>5</v>
      </c>
      <c r="AB15" s="50">
        <v>0.1</v>
      </c>
      <c r="AC15" s="51">
        <v>0.87</v>
      </c>
      <c r="AD15" s="51">
        <v>0.04</v>
      </c>
      <c r="AE15" s="51">
        <v>0.04</v>
      </c>
      <c r="AF15" s="51">
        <v>0.01</v>
      </c>
      <c r="AG15" s="51">
        <v>0.04</v>
      </c>
      <c r="AH15" s="51">
        <v>1</v>
      </c>
      <c r="AI15">
        <v>0.08</v>
      </c>
      <c r="AJ15">
        <v>0.08</v>
      </c>
      <c r="AK15">
        <v>0.02</v>
      </c>
      <c r="AL15">
        <v>0.06</v>
      </c>
    </row>
    <row r="16" ht="30" customHeight="1" spans="1:34">
      <c r="A16" s="133" t="s">
        <v>13</v>
      </c>
      <c r="B16" s="38"/>
      <c r="C16" s="38"/>
      <c r="D16" s="135"/>
      <c r="E16" s="135" t="s">
        <v>105</v>
      </c>
      <c r="F16" s="135">
        <f t="shared" ref="F16:Q16" si="1">SUM(F5:F15)*0.1</f>
        <v>95.8447223162848</v>
      </c>
      <c r="G16" s="135">
        <f t="shared" si="1"/>
        <v>8.888072096</v>
      </c>
      <c r="H16" s="135">
        <f t="shared" si="1"/>
        <v>13.20402623024</v>
      </c>
      <c r="I16" s="135">
        <f t="shared" si="1"/>
        <v>0.1124754095088</v>
      </c>
      <c r="J16" s="135">
        <f t="shared" si="1"/>
        <v>0.01031472</v>
      </c>
      <c r="K16" s="135">
        <f t="shared" si="1"/>
        <v>0.03394894464</v>
      </c>
      <c r="L16" s="135">
        <f t="shared" si="1"/>
        <v>31.75101940536</v>
      </c>
      <c r="M16" s="135">
        <f t="shared" si="1"/>
        <v>4.108025824</v>
      </c>
      <c r="N16" s="135">
        <f t="shared" si="1"/>
        <v>4.108025824</v>
      </c>
      <c r="O16" s="135">
        <f t="shared" si="1"/>
        <v>12.269507184</v>
      </c>
      <c r="P16" s="135">
        <f t="shared" si="1"/>
        <v>83.14118775072</v>
      </c>
      <c r="Q16" s="135">
        <f t="shared" si="1"/>
        <v>253.471325704754</v>
      </c>
      <c r="R16" s="149"/>
      <c r="S16" s="34"/>
      <c r="T16" s="34"/>
      <c r="U16" s="34"/>
      <c r="V16" s="32"/>
      <c r="W16" s="35"/>
      <c r="AA16" s="49" t="s">
        <v>8</v>
      </c>
      <c r="AB16" s="50">
        <v>0.3</v>
      </c>
      <c r="AC16" s="51">
        <v>0.5</v>
      </c>
      <c r="AD16" s="51">
        <v>0.04</v>
      </c>
      <c r="AE16" s="51">
        <v>0.3</v>
      </c>
      <c r="AF16" s="51">
        <v>0.01</v>
      </c>
      <c r="AG16" s="51">
        <v>0.15</v>
      </c>
      <c r="AH16" s="51">
        <v>1</v>
      </c>
    </row>
    <row r="17" ht="31" customHeight="1" spans="1:34">
      <c r="A17" s="133" t="s">
        <v>106</v>
      </c>
      <c r="B17" s="38"/>
      <c r="C17" s="128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50"/>
      <c r="S17" s="34"/>
      <c r="T17" s="34"/>
      <c r="U17" s="34"/>
      <c r="V17" s="32"/>
      <c r="W17" s="35"/>
      <c r="AA17" s="49" t="s">
        <v>9</v>
      </c>
      <c r="AB17" s="50">
        <v>0.6</v>
      </c>
      <c r="AC17" s="51">
        <v>0.43</v>
      </c>
      <c r="AD17" s="51">
        <v>0.04</v>
      </c>
      <c r="AE17" s="51">
        <v>0.35</v>
      </c>
      <c r="AF17" s="51">
        <v>0.01</v>
      </c>
      <c r="AG17" s="51">
        <v>0.17</v>
      </c>
      <c r="AH17" s="51">
        <v>1</v>
      </c>
    </row>
    <row r="18" ht="31" customHeight="1" spans="1:34">
      <c r="A18" s="38" t="s">
        <v>58</v>
      </c>
      <c r="B18" s="38"/>
      <c r="C18" s="128">
        <f>SUM(F5:H8)</f>
        <v>959.10091872</v>
      </c>
      <c r="D18" s="128"/>
      <c r="E18" s="128"/>
      <c r="F18" s="136" t="s">
        <v>107</v>
      </c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9"/>
      <c r="S18" s="34"/>
      <c r="T18" s="34"/>
      <c r="U18" s="34"/>
      <c r="V18" s="32"/>
      <c r="W18" s="35"/>
      <c r="AA18" s="49" t="s">
        <v>13</v>
      </c>
      <c r="AB18" s="51">
        <v>1</v>
      </c>
      <c r="AC18" s="51">
        <v>0.495</v>
      </c>
      <c r="AD18" s="51">
        <v>0.04</v>
      </c>
      <c r="AE18" s="51">
        <v>0.304</v>
      </c>
      <c r="AF18" s="51">
        <v>0.01</v>
      </c>
      <c r="AG18" s="51">
        <v>0.151</v>
      </c>
      <c r="AH18" s="61"/>
    </row>
    <row r="19" ht="25" customHeight="1" spans="1:34">
      <c r="A19" s="38" t="s">
        <v>59</v>
      </c>
      <c r="B19" s="38"/>
      <c r="C19" s="128">
        <f>SUM(I5:K8)</f>
        <v>1.4998954464</v>
      </c>
      <c r="D19" s="128"/>
      <c r="E19" s="128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9"/>
      <c r="S19" s="22"/>
      <c r="T19" s="22"/>
      <c r="U19" s="22"/>
      <c r="V19" s="22"/>
      <c r="W19" s="35"/>
      <c r="AA19" s="43"/>
      <c r="AB19" s="43"/>
      <c r="AC19" s="43"/>
      <c r="AD19" s="43"/>
      <c r="AE19" s="43"/>
      <c r="AF19" s="43"/>
      <c r="AG19" s="43"/>
      <c r="AH19" s="43"/>
    </row>
    <row r="20" ht="25" customHeight="1" spans="1:34">
      <c r="A20" s="38" t="s">
        <v>60</v>
      </c>
      <c r="B20" s="38"/>
      <c r="C20" s="128">
        <f>SUM(L5:N8)</f>
        <v>382.46001008</v>
      </c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9"/>
      <c r="S20" s="22"/>
      <c r="T20" s="22"/>
      <c r="U20" s="22"/>
      <c r="V20" s="22"/>
      <c r="W20" s="22"/>
      <c r="AA20" s="52">
        <v>0.91</v>
      </c>
      <c r="AB20" s="53"/>
      <c r="AC20" s="53"/>
      <c r="AD20" s="53"/>
      <c r="AE20" s="53"/>
      <c r="AF20" s="53"/>
      <c r="AG20" s="53"/>
      <c r="AH20" s="62"/>
    </row>
    <row r="21" ht="25" customHeight="1" spans="1:34">
      <c r="A21" s="38" t="s">
        <v>61</v>
      </c>
      <c r="B21" s="38"/>
      <c r="C21" s="128">
        <f>SUM(P5:P8)</f>
        <v>795.60945216</v>
      </c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9"/>
      <c r="S21" s="36"/>
      <c r="T21" s="36"/>
      <c r="U21" s="36"/>
      <c r="V21" s="22"/>
      <c r="W21" s="22"/>
      <c r="AA21" s="54"/>
      <c r="AB21" s="55"/>
      <c r="AC21" s="55"/>
      <c r="AD21" s="55"/>
      <c r="AE21" s="55"/>
      <c r="AF21" s="55"/>
      <c r="AG21" s="55"/>
      <c r="AH21" s="55"/>
    </row>
    <row r="22" ht="25" customHeight="1" spans="1:34">
      <c r="A22" s="38" t="s">
        <v>108</v>
      </c>
      <c r="B22" s="38"/>
      <c r="C22" s="128">
        <f>SUM(O5:O8)</f>
        <v>117.411552</v>
      </c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9"/>
      <c r="S22" s="37"/>
      <c r="T22" s="37"/>
      <c r="U22" s="37"/>
      <c r="V22" s="37"/>
      <c r="W22" s="22"/>
      <c r="AA22" s="56" t="s">
        <v>6</v>
      </c>
      <c r="AB22" s="57" t="s">
        <v>11</v>
      </c>
      <c r="AC22" s="57" t="s">
        <v>0</v>
      </c>
      <c r="AD22" s="57" t="s">
        <v>1</v>
      </c>
      <c r="AE22" s="57" t="s">
        <v>2</v>
      </c>
      <c r="AF22" s="57" t="s">
        <v>4</v>
      </c>
      <c r="AG22" s="57" t="s">
        <v>12</v>
      </c>
      <c r="AH22" s="57" t="s">
        <v>13</v>
      </c>
    </row>
    <row r="23" ht="25" customHeight="1" spans="1:34">
      <c r="A23" s="38" t="s">
        <v>63</v>
      </c>
      <c r="B23" s="38"/>
      <c r="C23" s="128">
        <f>SUM(F5:P8)</f>
        <v>2256.0818284064</v>
      </c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9"/>
      <c r="S23" s="22"/>
      <c r="T23" s="22"/>
      <c r="U23" s="22"/>
      <c r="V23" s="22"/>
      <c r="W23" s="22"/>
      <c r="AA23" s="58" t="s">
        <v>5</v>
      </c>
      <c r="AB23" s="59">
        <v>0.2</v>
      </c>
      <c r="AC23" s="60">
        <v>0.88</v>
      </c>
      <c r="AD23" s="60">
        <v>0.04</v>
      </c>
      <c r="AE23" s="60">
        <v>0.03</v>
      </c>
      <c r="AF23" s="60">
        <v>0.016</v>
      </c>
      <c r="AG23" s="60">
        <v>0.025</v>
      </c>
      <c r="AH23" s="60">
        <v>1</v>
      </c>
    </row>
    <row r="24" ht="25" customHeight="1" spans="1:34">
      <c r="A24" s="15"/>
      <c r="B24" s="15"/>
      <c r="C24" s="15"/>
      <c r="D24" s="17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AA24" s="58" t="s">
        <v>8</v>
      </c>
      <c r="AB24" s="59">
        <v>0.2</v>
      </c>
      <c r="AC24" s="60">
        <v>0.4</v>
      </c>
      <c r="AD24" s="60">
        <v>0.29</v>
      </c>
      <c r="AE24" s="60">
        <v>0.14</v>
      </c>
      <c r="AF24" s="60">
        <v>0.025</v>
      </c>
      <c r="AG24" s="60">
        <v>0.145</v>
      </c>
      <c r="AH24" s="60">
        <v>1</v>
      </c>
    </row>
    <row r="25" ht="25" customHeight="1" spans="1:34">
      <c r="A25" s="15"/>
      <c r="B25" s="15"/>
      <c r="C25" s="15"/>
      <c r="D25" s="17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AA25" s="58" t="s">
        <v>9</v>
      </c>
      <c r="AB25" s="59">
        <v>0.6</v>
      </c>
      <c r="AC25" s="60">
        <v>0.334</v>
      </c>
      <c r="AD25" s="60">
        <v>0.388</v>
      </c>
      <c r="AE25" s="60">
        <v>0.13</v>
      </c>
      <c r="AF25" s="60">
        <v>0.01</v>
      </c>
      <c r="AG25" s="60">
        <v>0.147</v>
      </c>
      <c r="AH25" s="60">
        <v>1</v>
      </c>
    </row>
    <row r="26" ht="25" customHeight="1" spans="1:34">
      <c r="A26" s="15"/>
      <c r="B26" s="15"/>
      <c r="C26" s="15"/>
      <c r="D26" s="17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AA26" s="58" t="s">
        <v>13</v>
      </c>
      <c r="AB26" s="60">
        <v>1</v>
      </c>
      <c r="AC26" s="60">
        <v>0.4564</v>
      </c>
      <c r="AD26" s="60">
        <v>0.2988</v>
      </c>
      <c r="AE26" s="60">
        <v>0.112</v>
      </c>
      <c r="AF26" s="60">
        <v>0.0142</v>
      </c>
      <c r="AG26" s="60">
        <v>0.1222</v>
      </c>
      <c r="AH26" s="63"/>
    </row>
    <row r="27" s="1" customFormat="1" ht="25" customHeight="1" spans="1:34">
      <c r="A27" s="15"/>
      <c r="B27" s="15"/>
      <c r="C27" s="17"/>
      <c r="D27" s="17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AA27" s="49"/>
      <c r="AB27" s="50"/>
      <c r="AC27" s="51"/>
      <c r="AD27" s="51"/>
      <c r="AE27" s="51"/>
      <c r="AF27" s="51"/>
      <c r="AG27" s="51"/>
      <c r="AH27" s="51"/>
    </row>
    <row r="28" spans="1:23">
      <c r="A28" s="15"/>
      <c r="B28" s="15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</row>
    <row r="30" ht="17" customHeight="1" spans="10:11">
      <c r="J30" s="17"/>
      <c r="K30" s="28"/>
    </row>
  </sheetData>
  <mergeCells count="42">
    <mergeCell ref="A1:R1"/>
    <mergeCell ref="F2:P2"/>
    <mergeCell ref="F3:H3"/>
    <mergeCell ref="I3:K3"/>
    <mergeCell ref="L3:N3"/>
    <mergeCell ref="A16:B16"/>
    <mergeCell ref="A17:B17"/>
    <mergeCell ref="A18:B18"/>
    <mergeCell ref="F18:R18"/>
    <mergeCell ref="A19:B19"/>
    <mergeCell ref="F19:R19"/>
    <mergeCell ref="A20:B20"/>
    <mergeCell ref="F20:R20"/>
    <mergeCell ref="A21:B21"/>
    <mergeCell ref="F21:R21"/>
    <mergeCell ref="A22:B22"/>
    <mergeCell ref="A23:B23"/>
    <mergeCell ref="F23:R23"/>
    <mergeCell ref="A24:B24"/>
    <mergeCell ref="F24:W24"/>
    <mergeCell ref="A25:B25"/>
    <mergeCell ref="F25:W25"/>
    <mergeCell ref="A26:B26"/>
    <mergeCell ref="F26:W26"/>
    <mergeCell ref="A27:B27"/>
    <mergeCell ref="F27:W27"/>
    <mergeCell ref="A28:B28"/>
    <mergeCell ref="A2:A4"/>
    <mergeCell ref="B2:B4"/>
    <mergeCell ref="B5:B14"/>
    <mergeCell ref="C2:C4"/>
    <mergeCell ref="C5:C6"/>
    <mergeCell ref="C7:C8"/>
    <mergeCell ref="D2:D4"/>
    <mergeCell ref="D5:D6"/>
    <mergeCell ref="D7:D8"/>
    <mergeCell ref="E2:E4"/>
    <mergeCell ref="Q2:Q4"/>
    <mergeCell ref="R2:R4"/>
    <mergeCell ref="R5:R17"/>
    <mergeCell ref="Y3:Y4"/>
    <mergeCell ref="Y5:Y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4"/>
  <sheetViews>
    <sheetView zoomScale="85" zoomScaleNormal="85" topLeftCell="B1" workbookViewId="0">
      <pane ySplit="4" topLeftCell="A5" activePane="bottomLeft" state="frozen"/>
      <selection/>
      <selection pane="bottomLeft" activeCell="L21" sqref="L21"/>
    </sheetView>
  </sheetViews>
  <sheetFormatPr defaultColWidth="9" defaultRowHeight="13.5"/>
  <cols>
    <col min="1" max="1" width="7.875" customWidth="1"/>
    <col min="2" max="2" width="9.625" customWidth="1"/>
    <col min="3" max="3" width="15.875" customWidth="1"/>
    <col min="4" max="4" width="16.75" customWidth="1"/>
    <col min="5" max="5" width="19.1083333333333" customWidth="1"/>
    <col min="6" max="6" width="9.025" customWidth="1"/>
    <col min="7" max="7" width="11.4666666666667" customWidth="1"/>
    <col min="8" max="17" width="9.025" customWidth="1"/>
    <col min="18" max="18" width="12.875"/>
    <col min="19" max="21" width="10.125" customWidth="1"/>
    <col min="22" max="22" width="9.25" customWidth="1"/>
    <col min="23" max="23" width="9.125" customWidth="1"/>
    <col min="24" max="24" width="14.125" hidden="1" customWidth="1"/>
    <col min="25" max="25" width="35.25" customWidth="1"/>
    <col min="26" max="26" width="12.625"/>
    <col min="28" max="28" width="20.8916666666667" customWidth="1"/>
    <col min="29" max="29" width="29.6333333333333" customWidth="1"/>
    <col min="30" max="30" width="21.7583333333333" customWidth="1"/>
    <col min="31" max="31" width="22.35" customWidth="1"/>
  </cols>
  <sheetData>
    <row r="1" ht="30" customHeight="1" spans="1:25">
      <c r="A1" s="122" t="s">
        <v>109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9"/>
      <c r="U1" s="30"/>
      <c r="V1" s="30"/>
      <c r="W1" s="30"/>
      <c r="X1" s="30"/>
      <c r="Y1" s="30"/>
    </row>
    <row r="2" ht="30" customHeight="1" spans="1:31">
      <c r="A2" s="4" t="s">
        <v>19</v>
      </c>
      <c r="B2" s="5" t="s">
        <v>20</v>
      </c>
      <c r="C2" s="6" t="s">
        <v>21</v>
      </c>
      <c r="D2" s="7" t="s">
        <v>110</v>
      </c>
      <c r="E2" s="7" t="s">
        <v>91</v>
      </c>
      <c r="F2" s="9"/>
      <c r="G2" s="9"/>
      <c r="H2" s="9"/>
      <c r="I2" s="9"/>
      <c r="J2" s="9"/>
      <c r="K2" s="9"/>
      <c r="L2" s="9"/>
      <c r="M2" s="9"/>
      <c r="N2" s="23"/>
      <c r="O2" s="23"/>
      <c r="P2" s="23"/>
      <c r="Q2" s="23"/>
      <c r="R2" s="23"/>
      <c r="S2" s="31" t="s">
        <v>24</v>
      </c>
      <c r="T2" s="8" t="s">
        <v>14</v>
      </c>
      <c r="U2" s="32"/>
      <c r="V2" s="32"/>
      <c r="W2" s="32"/>
      <c r="X2" s="32"/>
      <c r="Y2" s="32"/>
      <c r="AA2" s="38"/>
      <c r="AB2" s="38"/>
      <c r="AC2" s="38" t="s">
        <v>0</v>
      </c>
      <c r="AD2" s="38" t="s">
        <v>2</v>
      </c>
      <c r="AE2" s="38" t="s">
        <v>3</v>
      </c>
    </row>
    <row r="3" ht="30" customHeight="1" spans="1:31">
      <c r="A3" s="10"/>
      <c r="B3" s="5"/>
      <c r="C3" s="6"/>
      <c r="D3" s="11"/>
      <c r="E3" s="11"/>
      <c r="F3" s="8" t="s">
        <v>26</v>
      </c>
      <c r="G3" s="8"/>
      <c r="H3" s="8"/>
      <c r="I3" s="8" t="s">
        <v>27</v>
      </c>
      <c r="J3" s="8"/>
      <c r="K3" s="8"/>
      <c r="L3" s="24" t="s">
        <v>28</v>
      </c>
      <c r="M3" s="25"/>
      <c r="N3" s="26"/>
      <c r="O3" s="24" t="s">
        <v>4</v>
      </c>
      <c r="P3" s="24" t="s">
        <v>29</v>
      </c>
      <c r="Q3" s="25"/>
      <c r="R3" s="25"/>
      <c r="S3" s="8"/>
      <c r="T3" s="8"/>
      <c r="U3" s="32"/>
      <c r="V3" s="32"/>
      <c r="W3" s="32"/>
      <c r="X3" s="32"/>
      <c r="Y3" s="32"/>
      <c r="AA3" s="39" t="s">
        <v>8</v>
      </c>
      <c r="AB3" s="38" t="s">
        <v>6</v>
      </c>
      <c r="AC3" s="38">
        <f>10*0.91*0.2*0.334</f>
        <v>0.60788</v>
      </c>
      <c r="AD3" s="38">
        <f>10*0.91*0.2*0.13</f>
        <v>0.2366</v>
      </c>
      <c r="AE3" s="38">
        <f>10*0.91*0.2*0.147</f>
        <v>0.26754</v>
      </c>
    </row>
    <row r="4" ht="30" customHeight="1" spans="1:31">
      <c r="A4" s="10"/>
      <c r="B4" s="123"/>
      <c r="C4" s="6"/>
      <c r="D4" s="31"/>
      <c r="E4" s="31"/>
      <c r="F4" s="124" t="s">
        <v>33</v>
      </c>
      <c r="G4" s="124" t="s">
        <v>35</v>
      </c>
      <c r="H4" s="124" t="s">
        <v>66</v>
      </c>
      <c r="I4" s="8" t="s">
        <v>38</v>
      </c>
      <c r="J4" s="124" t="s">
        <v>111</v>
      </c>
      <c r="K4" s="8" t="s">
        <v>95</v>
      </c>
      <c r="L4" s="8" t="s">
        <v>41</v>
      </c>
      <c r="M4" s="8" t="s">
        <v>43</v>
      </c>
      <c r="N4" s="8" t="s">
        <v>96</v>
      </c>
      <c r="O4" s="8" t="s">
        <v>46</v>
      </c>
      <c r="P4" s="8" t="s">
        <v>44</v>
      </c>
      <c r="Q4" s="8" t="s">
        <v>45</v>
      </c>
      <c r="R4" s="8" t="s">
        <v>33</v>
      </c>
      <c r="S4" s="8"/>
      <c r="T4" s="8"/>
      <c r="U4" s="32"/>
      <c r="V4" s="32"/>
      <c r="W4" s="32"/>
      <c r="X4" s="32"/>
      <c r="Y4" s="32"/>
      <c r="AA4" s="40"/>
      <c r="AB4" s="38" t="s">
        <v>7</v>
      </c>
      <c r="AC4" s="38">
        <f>10*0.09*0.3*0.43</f>
        <v>0.1161</v>
      </c>
      <c r="AD4" s="38">
        <f>10*0.09*0.3*0.35</f>
        <v>0.0945</v>
      </c>
      <c r="AE4" s="38">
        <f>10*0.09*0.3*0.17</f>
        <v>0.0459</v>
      </c>
    </row>
    <row r="5" ht="30" customHeight="1" spans="1:31">
      <c r="A5" s="125">
        <v>1</v>
      </c>
      <c r="B5" s="126" t="s">
        <v>9</v>
      </c>
      <c r="C5" s="126" t="s">
        <v>112</v>
      </c>
      <c r="D5" s="127" t="s">
        <v>7</v>
      </c>
      <c r="E5" s="127">
        <f>E6+E7</f>
        <v>4755.48</v>
      </c>
      <c r="F5" s="128">
        <f>E5/100*15*0.09*0.6*0.43*0.8*0.2</f>
        <v>2.6501338944</v>
      </c>
      <c r="G5" s="128">
        <f>E5/100*15*0.09*0.6*0.43*0.08*0.2</f>
        <v>0.26501338944</v>
      </c>
      <c r="H5" s="128">
        <f>E5/100*15*0.09*0.6*0.43*0.08*0.2</f>
        <v>0.26501338944</v>
      </c>
      <c r="I5" s="128"/>
      <c r="J5" s="128"/>
      <c r="K5" s="137"/>
      <c r="L5" s="128">
        <f>E5/100*15*0.09*0.6*0.35*0.8*0.2</f>
        <v>2.157085728</v>
      </c>
      <c r="M5" s="128">
        <f>E5/100*15*0.09*0.6*0.35*0.08*0.2</f>
        <v>0.2157085728</v>
      </c>
      <c r="N5" s="128">
        <f>E5/100*15*0.09*0.6*0.35*0.08*0.2</f>
        <v>0.2157085728</v>
      </c>
      <c r="O5" s="128">
        <f>E5/100*15*0.09*0.6*0.01*0.2</f>
        <v>0.077038776</v>
      </c>
      <c r="P5" s="128">
        <f>E5/100*15*0.09*0.6*0.17*0.8*0.2</f>
        <v>1.0477273536</v>
      </c>
      <c r="Q5" s="128">
        <f>E5/100*15*0.09*0.6*0.17*0.08*0.2</f>
        <v>0.10477273536</v>
      </c>
      <c r="R5" s="128">
        <f>E5/100*15*0.09*0.6*0.17*0.08*0.2</f>
        <v>0.10477273536</v>
      </c>
      <c r="S5" s="128">
        <f t="shared" ref="S5:S10" si="0">SUM(F5:R5)</f>
        <v>7.1029751472</v>
      </c>
      <c r="T5" s="138"/>
      <c r="U5" s="34"/>
      <c r="V5" s="34"/>
      <c r="W5" s="34"/>
      <c r="X5" s="32"/>
      <c r="Y5" s="35"/>
      <c r="AA5" s="39" t="s">
        <v>9</v>
      </c>
      <c r="AB5" s="38" t="s">
        <v>6</v>
      </c>
      <c r="AC5" s="38">
        <f>10*0.91*0.6*0.334</f>
        <v>1.82364</v>
      </c>
      <c r="AD5" s="38">
        <f>10*0.91*0.6*0.13</f>
        <v>0.7098</v>
      </c>
      <c r="AE5" s="38">
        <f>10*0.91*0.6*0.147</f>
        <v>0.80262</v>
      </c>
    </row>
    <row r="6" ht="30" customHeight="1" spans="1:31">
      <c r="A6" s="125">
        <f>A5+1</f>
        <v>2</v>
      </c>
      <c r="B6" s="129"/>
      <c r="C6" s="129"/>
      <c r="D6" s="127" t="s">
        <v>75</v>
      </c>
      <c r="E6" s="127">
        <v>849.33</v>
      </c>
      <c r="F6" s="128">
        <f>E6/100*25*0.91*0.6*0.334*0.8*0.2</f>
        <v>6.1954886448</v>
      </c>
      <c r="G6" s="128">
        <f>E6/100*25*0.91*0.6*0.334*0.08*0.2</f>
        <v>0.61954886448</v>
      </c>
      <c r="H6" s="128">
        <f>E6/100*25*0.91*0.6*0.334*0.08*0.2</f>
        <v>0.61954886448</v>
      </c>
      <c r="I6" s="128">
        <f>650/100*25*0.91*0.6*0.388*0.82*0.2</f>
        <v>5.6457492</v>
      </c>
      <c r="J6" s="128">
        <f>650/100*25*0.91*0.6*0.388*0.08*0.2</f>
        <v>0.5508048</v>
      </c>
      <c r="K6" s="128">
        <f>650/100*25*0.91*0.6*0.388*0.08*0.2</f>
        <v>0.5508048</v>
      </c>
      <c r="L6" s="128">
        <v>1</v>
      </c>
      <c r="M6" s="128">
        <f>E6/100*25*0.91*0.6*0.13*0.08*0.2</f>
        <v>0.2411417736</v>
      </c>
      <c r="N6" s="128">
        <f>E6/100*25*0.91*0.6*0.13*0.08*0.2</f>
        <v>0.2411417736</v>
      </c>
      <c r="O6" s="128">
        <f>E6/100*25*0.91*0.6*0.01*0.82*0.2</f>
        <v>0.1901310138</v>
      </c>
      <c r="P6" s="128">
        <f>E6/100*25*0.91*0.6*0.147*0.82*0.2</f>
        <v>2.79492590286</v>
      </c>
      <c r="Q6" s="128">
        <f>E6/100*25*0.91*0.6*0.147*0.08*0.2</f>
        <v>0.27267569784</v>
      </c>
      <c r="R6" s="128">
        <f>E6/100*25*0.91*0.6*0.147*0.08*0.2</f>
        <v>0.27267569784</v>
      </c>
      <c r="S6" s="128">
        <f t="shared" si="0"/>
        <v>19.1946370333</v>
      </c>
      <c r="T6" s="138"/>
      <c r="U6" s="34"/>
      <c r="V6" s="34"/>
      <c r="W6" s="34"/>
      <c r="X6" s="32"/>
      <c r="Y6" s="35"/>
      <c r="AA6" s="40"/>
      <c r="AB6" s="38" t="s">
        <v>7</v>
      </c>
      <c r="AC6" s="38">
        <f>10*0.09*0.6*0.43</f>
        <v>0.2322</v>
      </c>
      <c r="AD6" s="38">
        <f>10*0.09*0.6*0.35</f>
        <v>0.189</v>
      </c>
      <c r="AE6" s="38">
        <f>10*0.09*0.6*0.17</f>
        <v>0.0918</v>
      </c>
    </row>
    <row r="7" ht="30" customHeight="1" spans="1:25">
      <c r="A7" s="125">
        <v>3</v>
      </c>
      <c r="B7" s="129"/>
      <c r="C7" s="130"/>
      <c r="D7" s="127" t="s">
        <v>6</v>
      </c>
      <c r="E7" s="127">
        <f>3794.79+111.36</f>
        <v>3906.15</v>
      </c>
      <c r="F7" s="128">
        <f>E7/100*15*0.91*0.6*0.334*0.8*0.2</f>
        <v>17.0961873264</v>
      </c>
      <c r="G7" s="128">
        <f>E7/100*15*0.91*0.6*0.334*0.08*0.2</f>
        <v>1.70961873264</v>
      </c>
      <c r="H7" s="128">
        <f>E7/100*15*0.91*0.6*0.334*0.08*0.2</f>
        <v>1.70961873264</v>
      </c>
      <c r="I7" s="128">
        <f>650/100*15*0.91*0.6*0.388*0.82*0.2</f>
        <v>3.38744952</v>
      </c>
      <c r="J7" s="128">
        <f>650/100*15*0.91*0.6*0.388*0.08*0.2</f>
        <v>0.33048288</v>
      </c>
      <c r="K7" s="128">
        <f>650/100*15*0.91*0.6*0.388*0.08*0.2</f>
        <v>0.33048288</v>
      </c>
      <c r="L7" s="128">
        <v>1</v>
      </c>
      <c r="M7" s="128">
        <f>E7/100*15*0.91*0.6*0.13*0.08*0.2</f>
        <v>0.6654204648</v>
      </c>
      <c r="N7" s="128">
        <f>E7/100*15*0.91*0.6*0.13*0.08*0.2</f>
        <v>0.6654204648</v>
      </c>
      <c r="O7" s="128">
        <f>E7/100*15*0.91*0.6*0.01*0.82*0.2</f>
        <v>0.5246584434</v>
      </c>
      <c r="P7" s="128">
        <f>E7/100*15*0.91*0.6*0.147*0.82*0.2</f>
        <v>7.71247911798</v>
      </c>
      <c r="Q7" s="128">
        <f>E7/100*15*0.91*0.6*0.147*0.08*0.2</f>
        <v>0.75243698712</v>
      </c>
      <c r="R7" s="128">
        <f>E7/100*15*0.91*0.6*0.147*0.08*0.2</f>
        <v>0.75243698712</v>
      </c>
      <c r="S7" s="128">
        <f t="shared" si="0"/>
        <v>36.6366925369</v>
      </c>
      <c r="T7" s="138" t="s">
        <v>113</v>
      </c>
      <c r="U7" s="34"/>
      <c r="V7" s="34"/>
      <c r="W7" s="34"/>
      <c r="X7" s="32"/>
      <c r="Y7" s="35"/>
    </row>
    <row r="8" ht="30" customHeight="1" spans="1:25">
      <c r="A8" s="125">
        <v>5</v>
      </c>
      <c r="B8" s="129"/>
      <c r="C8" s="131" t="s">
        <v>56</v>
      </c>
      <c r="D8" s="132"/>
      <c r="E8" s="132"/>
      <c r="F8" s="128">
        <f>C12*0.09</f>
        <v>2.8017154654848</v>
      </c>
      <c r="G8" s="128"/>
      <c r="H8" s="128"/>
      <c r="I8" s="128">
        <f>C13*0.09</f>
        <v>0.9716196672</v>
      </c>
      <c r="J8" s="128"/>
      <c r="K8" s="128"/>
      <c r="L8" s="128">
        <f>C14*0.09</f>
        <v>0.576146461536</v>
      </c>
      <c r="M8" s="128"/>
      <c r="N8" s="128"/>
      <c r="O8" s="128">
        <f>C16*0.09</f>
        <v>0.071264540988</v>
      </c>
      <c r="P8" s="128">
        <f>C15*0.09</f>
        <v>1.2433412893572</v>
      </c>
      <c r="Q8" s="128"/>
      <c r="R8" s="133"/>
      <c r="S8" s="128">
        <f t="shared" si="0"/>
        <v>5.664087424566</v>
      </c>
      <c r="T8" s="138"/>
      <c r="U8" s="34"/>
      <c r="V8" s="34"/>
      <c r="W8" s="34"/>
      <c r="X8" s="32"/>
      <c r="Y8" s="35"/>
    </row>
    <row r="9" ht="30" customHeight="1" spans="1:36">
      <c r="A9" s="125">
        <v>10</v>
      </c>
      <c r="B9" s="130"/>
      <c r="C9" s="133" t="s">
        <v>57</v>
      </c>
      <c r="D9" s="134"/>
      <c r="E9" s="134"/>
      <c r="F9" s="134">
        <f>0.15*C17</f>
        <v>9.44014570761</v>
      </c>
      <c r="G9" s="134"/>
      <c r="H9" s="134"/>
      <c r="I9" s="134"/>
      <c r="J9" s="134"/>
      <c r="K9" s="134"/>
      <c r="L9" s="134"/>
      <c r="M9" s="134"/>
      <c r="N9" s="134"/>
      <c r="O9" s="128"/>
      <c r="P9" s="128"/>
      <c r="Q9" s="128"/>
      <c r="R9" s="128"/>
      <c r="S9" s="128">
        <f t="shared" si="0"/>
        <v>9.44014570761</v>
      </c>
      <c r="T9" s="138"/>
      <c r="U9" s="34"/>
      <c r="V9" s="34"/>
      <c r="W9" s="34"/>
      <c r="X9" s="32"/>
      <c r="Y9" s="35"/>
      <c r="AB9" s="44"/>
      <c r="AC9" s="47"/>
      <c r="AD9" s="48"/>
      <c r="AE9" s="48"/>
      <c r="AF9" s="48"/>
      <c r="AG9" s="48"/>
      <c r="AH9" s="48"/>
      <c r="AI9" s="48"/>
      <c r="AJ9" s="48"/>
    </row>
    <row r="10" ht="30" customHeight="1" spans="1:40">
      <c r="A10" s="125"/>
      <c r="B10" s="130"/>
      <c r="C10" s="133" t="s">
        <v>88</v>
      </c>
      <c r="D10" s="134"/>
      <c r="E10" s="134"/>
      <c r="F10" s="134">
        <f>C12*0.02</f>
        <v>0.6226034367744</v>
      </c>
      <c r="G10" s="134"/>
      <c r="H10" s="134"/>
      <c r="I10" s="134">
        <f>C13*0.02</f>
        <v>0.2159154816</v>
      </c>
      <c r="J10" s="134"/>
      <c r="K10" s="134"/>
      <c r="L10" s="134"/>
      <c r="M10" s="134"/>
      <c r="N10" s="134"/>
      <c r="O10" s="128"/>
      <c r="P10" s="128"/>
      <c r="Q10" s="128"/>
      <c r="R10" s="128"/>
      <c r="S10" s="128">
        <f t="shared" si="0"/>
        <v>0.8385189183744</v>
      </c>
      <c r="T10" s="138"/>
      <c r="U10" s="34"/>
      <c r="V10" s="34"/>
      <c r="W10" s="34"/>
      <c r="X10" s="32"/>
      <c r="Y10" s="35"/>
      <c r="AC10" s="49" t="s">
        <v>5</v>
      </c>
      <c r="AD10" s="50">
        <v>0.1</v>
      </c>
      <c r="AE10" s="51">
        <v>0.87</v>
      </c>
      <c r="AF10" s="51">
        <v>0.04</v>
      </c>
      <c r="AG10" s="51">
        <v>0.04</v>
      </c>
      <c r="AH10" s="51">
        <v>0.01</v>
      </c>
      <c r="AI10" s="51">
        <v>0.04</v>
      </c>
      <c r="AJ10" s="51">
        <v>1</v>
      </c>
      <c r="AK10">
        <v>0.08</v>
      </c>
      <c r="AL10">
        <v>0.08</v>
      </c>
      <c r="AM10">
        <v>0.02</v>
      </c>
      <c r="AN10">
        <v>0.06</v>
      </c>
    </row>
    <row r="11" ht="30" customHeight="1" spans="1:36">
      <c r="A11" s="133" t="s">
        <v>13</v>
      </c>
      <c r="B11" s="38"/>
      <c r="C11" s="38"/>
      <c r="D11" s="135"/>
      <c r="E11" s="135"/>
      <c r="F11" s="135">
        <f>SUM(F5:F10)</f>
        <v>38.8062744754692</v>
      </c>
      <c r="G11" s="135">
        <f t="shared" ref="G11:S11" si="1">SUM(G5:G10)</f>
        <v>2.59418098656</v>
      </c>
      <c r="H11" s="135">
        <f t="shared" si="1"/>
        <v>2.59418098656</v>
      </c>
      <c r="I11" s="135">
        <f t="shared" si="1"/>
        <v>10.2207338688</v>
      </c>
      <c r="J11" s="135">
        <f t="shared" si="1"/>
        <v>0.88128768</v>
      </c>
      <c r="K11" s="135">
        <f t="shared" si="1"/>
        <v>0.88128768</v>
      </c>
      <c r="L11" s="135">
        <f t="shared" si="1"/>
        <v>4.733232189536</v>
      </c>
      <c r="M11" s="135">
        <f t="shared" si="1"/>
        <v>1.1222708112</v>
      </c>
      <c r="N11" s="135">
        <f t="shared" si="1"/>
        <v>1.1222708112</v>
      </c>
      <c r="O11" s="135">
        <f t="shared" si="1"/>
        <v>0.863092774188</v>
      </c>
      <c r="P11" s="135">
        <f t="shared" si="1"/>
        <v>12.7984736637972</v>
      </c>
      <c r="Q11" s="135">
        <f t="shared" si="1"/>
        <v>1.12988542032</v>
      </c>
      <c r="R11" s="135">
        <f t="shared" si="1"/>
        <v>1.12988542032</v>
      </c>
      <c r="S11" s="135">
        <f t="shared" si="1"/>
        <v>78.8770567679504</v>
      </c>
      <c r="T11" s="138"/>
      <c r="U11" s="34"/>
      <c r="V11" s="34"/>
      <c r="W11" s="34"/>
      <c r="X11" s="32"/>
      <c r="Y11" s="35"/>
      <c r="AC11" s="49" t="s">
        <v>8</v>
      </c>
      <c r="AD11" s="50">
        <v>0.3</v>
      </c>
      <c r="AE11" s="51">
        <v>0.5</v>
      </c>
      <c r="AF11" s="51">
        <v>0.04</v>
      </c>
      <c r="AG11" s="51">
        <v>0.3</v>
      </c>
      <c r="AH11" s="51">
        <v>0.01</v>
      </c>
      <c r="AI11" s="51">
        <v>0.15</v>
      </c>
      <c r="AJ11" s="51">
        <v>1</v>
      </c>
    </row>
    <row r="12" ht="31" customHeight="1" spans="1:36">
      <c r="A12" s="38" t="s">
        <v>58</v>
      </c>
      <c r="B12" s="38"/>
      <c r="C12" s="128">
        <f>SUM(F5:H7)</f>
        <v>31.13017183872</v>
      </c>
      <c r="D12" s="128"/>
      <c r="E12" s="128"/>
      <c r="F12" s="128" t="s">
        <v>107</v>
      </c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34"/>
      <c r="V12" s="34"/>
      <c r="W12" s="34"/>
      <c r="X12" s="32"/>
      <c r="Y12" s="35"/>
      <c r="AC12" s="49" t="s">
        <v>13</v>
      </c>
      <c r="AD12" s="51">
        <v>1</v>
      </c>
      <c r="AE12" s="51">
        <v>0.495</v>
      </c>
      <c r="AF12" s="51">
        <v>0.04</v>
      </c>
      <c r="AG12" s="51">
        <v>0.304</v>
      </c>
      <c r="AH12" s="51">
        <v>0.01</v>
      </c>
      <c r="AI12" s="51">
        <v>0.151</v>
      </c>
      <c r="AJ12" s="61"/>
    </row>
    <row r="13" ht="25" customHeight="1" spans="1:36">
      <c r="A13" s="38" t="s">
        <v>59</v>
      </c>
      <c r="B13" s="38"/>
      <c r="C13" s="128">
        <f>SUM(I5:K7)</f>
        <v>10.79577408</v>
      </c>
      <c r="D13" s="128"/>
      <c r="E13" s="128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9"/>
      <c r="U13" s="22"/>
      <c r="V13" s="22"/>
      <c r="W13" s="22"/>
      <c r="X13" s="22"/>
      <c r="Y13" s="35"/>
      <c r="AC13" s="43"/>
      <c r="AD13" s="43"/>
      <c r="AE13" s="43"/>
      <c r="AF13" s="43"/>
      <c r="AG13" s="43"/>
      <c r="AH13" s="43"/>
      <c r="AI13" s="43"/>
      <c r="AJ13" s="43"/>
    </row>
    <row r="14" ht="25" customHeight="1" spans="1:36">
      <c r="A14" s="38" t="s">
        <v>60</v>
      </c>
      <c r="B14" s="38"/>
      <c r="C14" s="128">
        <f>SUM(L5:N7)</f>
        <v>6.4016273504</v>
      </c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9"/>
      <c r="U14" s="34"/>
      <c r="V14" s="34"/>
      <c r="W14" s="34"/>
      <c r="X14" s="34"/>
      <c r="Y14" s="34"/>
      <c r="AC14" s="52">
        <v>0.91</v>
      </c>
      <c r="AD14" s="53"/>
      <c r="AE14" s="53"/>
      <c r="AF14" s="53"/>
      <c r="AG14" s="53"/>
      <c r="AH14" s="53"/>
      <c r="AI14" s="53"/>
      <c r="AJ14" s="62"/>
    </row>
    <row r="15" ht="25" customHeight="1" spans="1:36">
      <c r="A15" s="38" t="s">
        <v>61</v>
      </c>
      <c r="B15" s="38"/>
      <c r="C15" s="128">
        <f>SUM(P5:R7)</f>
        <v>13.81490321508</v>
      </c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9"/>
      <c r="U15" s="34"/>
      <c r="V15" s="34"/>
      <c r="W15" s="34"/>
      <c r="X15" s="34"/>
      <c r="Y15" s="34"/>
      <c r="AC15" s="54"/>
      <c r="AD15" s="55"/>
      <c r="AE15" s="55"/>
      <c r="AF15" s="55"/>
      <c r="AG15" s="55"/>
      <c r="AH15" s="55"/>
      <c r="AI15" s="55"/>
      <c r="AJ15" s="55"/>
    </row>
    <row r="16" ht="25" customHeight="1" spans="1:36">
      <c r="A16" s="38" t="s">
        <v>62</v>
      </c>
      <c r="B16" s="38"/>
      <c r="C16" s="128">
        <f>SUM(O5:O7)</f>
        <v>0.7918282332</v>
      </c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9"/>
      <c r="U16" s="34"/>
      <c r="V16" s="34"/>
      <c r="W16" s="34"/>
      <c r="X16" s="34"/>
      <c r="Y16" s="34"/>
      <c r="AC16" s="56" t="s">
        <v>6</v>
      </c>
      <c r="AD16" s="57" t="s">
        <v>11</v>
      </c>
      <c r="AE16" s="57" t="s">
        <v>0</v>
      </c>
      <c r="AF16" s="57" t="s">
        <v>1</v>
      </c>
      <c r="AG16" s="57" t="s">
        <v>2</v>
      </c>
      <c r="AH16" s="57" t="s">
        <v>4</v>
      </c>
      <c r="AI16" s="57" t="s">
        <v>12</v>
      </c>
      <c r="AJ16" s="57" t="s">
        <v>13</v>
      </c>
    </row>
    <row r="17" ht="25" customHeight="1" spans="1:36">
      <c r="A17" s="38" t="s">
        <v>63</v>
      </c>
      <c r="B17" s="38"/>
      <c r="C17" s="128">
        <f>SUM(F5:R7)</f>
        <v>62.9343047174</v>
      </c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9"/>
      <c r="U17" s="34"/>
      <c r="V17" s="34"/>
      <c r="W17" s="34"/>
      <c r="X17" s="34"/>
      <c r="Y17" s="34"/>
      <c r="AC17" s="58" t="s">
        <v>5</v>
      </c>
      <c r="AD17" s="59">
        <v>0.2</v>
      </c>
      <c r="AE17" s="60">
        <v>0.88</v>
      </c>
      <c r="AF17" s="60">
        <v>0.04</v>
      </c>
      <c r="AG17" s="60">
        <v>0.03</v>
      </c>
      <c r="AH17" s="60">
        <v>0.016</v>
      </c>
      <c r="AI17" s="60">
        <v>0.025</v>
      </c>
      <c r="AJ17" s="60">
        <v>1</v>
      </c>
    </row>
    <row r="18" ht="25" customHeight="1" spans="1:36">
      <c r="A18" s="21"/>
      <c r="B18" s="21"/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AC18" s="58" t="s">
        <v>8</v>
      </c>
      <c r="AD18" s="59">
        <v>0.2</v>
      </c>
      <c r="AE18" s="60">
        <v>0.4</v>
      </c>
      <c r="AF18" s="60">
        <v>0.29</v>
      </c>
      <c r="AG18" s="60">
        <v>0.14</v>
      </c>
      <c r="AH18" s="60">
        <v>0.025</v>
      </c>
      <c r="AI18" s="60">
        <v>0.145</v>
      </c>
      <c r="AJ18" s="60">
        <v>1</v>
      </c>
    </row>
    <row r="19" ht="25" customHeight="1" spans="1:36">
      <c r="A19" s="21"/>
      <c r="B19" s="21"/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AC19" s="58" t="s">
        <v>9</v>
      </c>
      <c r="AD19" s="59">
        <v>0.6</v>
      </c>
      <c r="AE19" s="60">
        <v>0.334</v>
      </c>
      <c r="AF19" s="60">
        <v>0.388</v>
      </c>
      <c r="AG19" s="60">
        <v>0.13</v>
      </c>
      <c r="AH19" s="60">
        <v>0.01</v>
      </c>
      <c r="AI19" s="60">
        <v>0.147</v>
      </c>
      <c r="AJ19" s="60">
        <v>1</v>
      </c>
    </row>
    <row r="20" ht="25" customHeight="1" spans="1:36">
      <c r="A20" s="21"/>
      <c r="B20" s="21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AC20" s="58" t="s">
        <v>13</v>
      </c>
      <c r="AD20" s="60">
        <v>1</v>
      </c>
      <c r="AE20" s="60">
        <v>0.4564</v>
      </c>
      <c r="AF20" s="60">
        <v>0.2988</v>
      </c>
      <c r="AG20" s="60">
        <v>0.112</v>
      </c>
      <c r="AH20" s="60">
        <v>0.0142</v>
      </c>
      <c r="AI20" s="60">
        <v>0.1222</v>
      </c>
      <c r="AJ20" s="63"/>
    </row>
    <row r="21" s="1" customFormat="1" ht="25" customHeight="1" spans="1:36">
      <c r="A21" s="21"/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AC21" s="49"/>
      <c r="AD21" s="50"/>
      <c r="AE21" s="51"/>
      <c r="AF21" s="51"/>
      <c r="AG21" s="51"/>
      <c r="AH21" s="51"/>
      <c r="AI21" s="51"/>
      <c r="AJ21" s="51"/>
    </row>
    <row r="22" spans="1: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4" ht="17" customHeight="1" spans="10:11">
      <c r="J24" s="17"/>
      <c r="K24" s="28"/>
    </row>
  </sheetData>
  <mergeCells count="29">
    <mergeCell ref="A1:T1"/>
    <mergeCell ref="F2:R2"/>
    <mergeCell ref="F3:H3"/>
    <mergeCell ref="I3:K3"/>
    <mergeCell ref="L3:N3"/>
    <mergeCell ref="P3:R3"/>
    <mergeCell ref="A11:B11"/>
    <mergeCell ref="A12:B12"/>
    <mergeCell ref="F12:T12"/>
    <mergeCell ref="A13:B13"/>
    <mergeCell ref="F13:T13"/>
    <mergeCell ref="A14:B14"/>
    <mergeCell ref="F14:T14"/>
    <mergeCell ref="A15:B15"/>
    <mergeCell ref="F15:T15"/>
    <mergeCell ref="A16:B16"/>
    <mergeCell ref="A17:B17"/>
    <mergeCell ref="F17:T17"/>
    <mergeCell ref="A2:A4"/>
    <mergeCell ref="B2:B4"/>
    <mergeCell ref="B5:B9"/>
    <mergeCell ref="C2:C4"/>
    <mergeCell ref="C5:C7"/>
    <mergeCell ref="D2:D4"/>
    <mergeCell ref="E2:E4"/>
    <mergeCell ref="S2:S4"/>
    <mergeCell ref="T2:T4"/>
    <mergeCell ref="AA3:AA4"/>
    <mergeCell ref="AA5:AA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3"/>
  <sheetViews>
    <sheetView zoomScale="85" zoomScaleNormal="85" topLeftCell="A19" workbookViewId="0">
      <selection activeCell="X84" sqref="X84"/>
    </sheetView>
  </sheetViews>
  <sheetFormatPr defaultColWidth="9" defaultRowHeight="13.5"/>
  <cols>
    <col min="6" max="6" width="9" style="1"/>
    <col min="13" max="15" width="9" style="1"/>
  </cols>
  <sheetData>
    <row r="1" ht="23.25" spans="1:22">
      <c r="A1" s="64" t="s">
        <v>114</v>
      </c>
      <c r="B1" s="65"/>
      <c r="C1" s="65"/>
      <c r="D1" s="65"/>
      <c r="E1" s="65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5"/>
      <c r="T1" s="65"/>
      <c r="U1" s="65"/>
      <c r="V1" s="103"/>
    </row>
    <row r="2" ht="15" spans="1:22">
      <c r="A2" s="67" t="s">
        <v>19</v>
      </c>
      <c r="B2" s="68" t="s">
        <v>20</v>
      </c>
      <c r="C2" s="69" t="s">
        <v>115</v>
      </c>
      <c r="D2" s="69" t="s">
        <v>21</v>
      </c>
      <c r="E2" s="69"/>
      <c r="F2" s="70" t="s">
        <v>22</v>
      </c>
      <c r="G2" s="70" t="s">
        <v>116</v>
      </c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69" t="s">
        <v>24</v>
      </c>
      <c r="V2" s="104" t="s">
        <v>14</v>
      </c>
    </row>
    <row r="3" ht="15" spans="1:22">
      <c r="A3" s="71"/>
      <c r="B3" s="72"/>
      <c r="C3" s="73"/>
      <c r="D3" s="73"/>
      <c r="E3" s="73"/>
      <c r="F3" s="74"/>
      <c r="G3" s="74"/>
      <c r="H3" s="75" t="s">
        <v>26</v>
      </c>
      <c r="I3" s="97"/>
      <c r="J3" s="97"/>
      <c r="K3" s="97"/>
      <c r="L3" s="98"/>
      <c r="M3" s="74" t="s">
        <v>27</v>
      </c>
      <c r="N3" s="74"/>
      <c r="O3" s="74"/>
      <c r="P3" s="74" t="s">
        <v>28</v>
      </c>
      <c r="Q3" s="74"/>
      <c r="R3" s="74"/>
      <c r="S3" s="74" t="s">
        <v>29</v>
      </c>
      <c r="T3" s="74"/>
      <c r="U3" s="73"/>
      <c r="V3" s="105"/>
    </row>
    <row r="4" ht="15.75" spans="1:22">
      <c r="A4" s="71"/>
      <c r="B4" s="76"/>
      <c r="C4" s="77"/>
      <c r="D4" s="77"/>
      <c r="E4" s="77"/>
      <c r="F4" s="78"/>
      <c r="G4" s="78"/>
      <c r="H4" s="78" t="s">
        <v>93</v>
      </c>
      <c r="I4" s="78" t="s">
        <v>33</v>
      </c>
      <c r="J4" s="78" t="s">
        <v>35</v>
      </c>
      <c r="K4" s="78" t="s">
        <v>65</v>
      </c>
      <c r="L4" s="78" t="s">
        <v>94</v>
      </c>
      <c r="M4" s="78" t="s">
        <v>38</v>
      </c>
      <c r="N4" s="99" t="s">
        <v>95</v>
      </c>
      <c r="O4" s="99" t="s">
        <v>40</v>
      </c>
      <c r="P4" s="78" t="s">
        <v>96</v>
      </c>
      <c r="Q4" s="99" t="s">
        <v>42</v>
      </c>
      <c r="R4" s="99" t="s">
        <v>43</v>
      </c>
      <c r="S4" s="78" t="s">
        <v>44</v>
      </c>
      <c r="T4" s="78" t="s">
        <v>36</v>
      </c>
      <c r="U4" s="77"/>
      <c r="V4" s="106"/>
    </row>
    <row r="5" ht="33" spans="1:22">
      <c r="A5" s="79">
        <v>1</v>
      </c>
      <c r="B5" s="80" t="s">
        <v>117</v>
      </c>
      <c r="C5" s="80">
        <v>39372.01</v>
      </c>
      <c r="D5" s="80" t="s">
        <v>118</v>
      </c>
      <c r="E5" s="80"/>
      <c r="F5" s="81" t="s">
        <v>119</v>
      </c>
      <c r="G5" s="81"/>
      <c r="H5" s="81"/>
      <c r="I5" s="81"/>
      <c r="J5" s="81"/>
      <c r="K5" s="81">
        <f>(6762.98/100*15*0.145*0.15*0.8*0.8)+(4549.84/2/100*15*0.855*0.2*0.88*0.8)</f>
        <v>55.200697632</v>
      </c>
      <c r="L5" s="81"/>
      <c r="M5" s="81"/>
      <c r="N5" s="81"/>
      <c r="O5" s="81"/>
      <c r="P5" s="81"/>
      <c r="Q5" s="81"/>
      <c r="R5" s="81"/>
      <c r="S5" s="81"/>
      <c r="T5" s="81"/>
      <c r="U5" s="80"/>
      <c r="V5" s="107"/>
    </row>
    <row r="6" ht="33" spans="1:22">
      <c r="A6" s="79">
        <v>2</v>
      </c>
      <c r="B6" s="82"/>
      <c r="C6" s="82"/>
      <c r="D6" s="82" t="s">
        <v>120</v>
      </c>
      <c r="E6" s="82"/>
      <c r="F6" s="83" t="s">
        <v>119</v>
      </c>
      <c r="G6" s="83"/>
      <c r="H6" s="83"/>
      <c r="I6" s="83"/>
      <c r="J6" s="83">
        <f>(6880.74/100*15*0.145*0.15*0.8*0.8)+(4942.96/100*15*0.855*0.2*0.88*0.8)</f>
        <v>103.624979616</v>
      </c>
      <c r="K6" s="83"/>
      <c r="L6" s="83"/>
      <c r="M6" s="83"/>
      <c r="N6" s="83"/>
      <c r="O6" s="83"/>
      <c r="P6" s="83"/>
      <c r="Q6" s="83"/>
      <c r="R6" s="83"/>
      <c r="S6" s="83"/>
      <c r="T6" s="83"/>
      <c r="U6" s="82"/>
      <c r="V6" s="108"/>
    </row>
    <row r="7" ht="16.5" spans="1:22">
      <c r="A7" s="79">
        <v>3</v>
      </c>
      <c r="B7" s="82"/>
      <c r="C7" s="82"/>
      <c r="D7" s="82" t="s">
        <v>121</v>
      </c>
      <c r="E7" s="82"/>
      <c r="F7" s="83"/>
      <c r="G7" s="83"/>
      <c r="H7" s="83">
        <f>22300.85/100*5*0.25*0.2*0.88*0.8</f>
        <v>39.249496</v>
      </c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2"/>
      <c r="V7" s="108"/>
    </row>
    <row r="8" ht="16.5" spans="1:22">
      <c r="A8" s="79">
        <v>4</v>
      </c>
      <c r="B8" s="82"/>
      <c r="C8" s="82"/>
      <c r="D8" s="82" t="s">
        <v>122</v>
      </c>
      <c r="E8" s="82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2"/>
      <c r="V8" s="108"/>
    </row>
    <row r="9" ht="16.5" spans="1:22">
      <c r="A9" s="79">
        <v>5</v>
      </c>
      <c r="B9" s="82"/>
      <c r="C9" s="82"/>
      <c r="D9" s="82" t="s">
        <v>123</v>
      </c>
      <c r="E9" s="82"/>
      <c r="F9" s="83"/>
      <c r="G9" s="83"/>
      <c r="H9" s="83"/>
      <c r="I9" s="83">
        <f>1774.12/100*15*0.75*0.15*0.8*0.8</f>
        <v>19.160496</v>
      </c>
      <c r="J9" s="83">
        <f>(8058.69/100*15*0.75*0.15*0.8*0.8*1)+(1816.99/100*15*0.75*0.15*0.8*0.8)</f>
        <v>106.657344</v>
      </c>
      <c r="K9" s="95">
        <f>10863.22/100*15*0.75*0.15*0.8*0.8</f>
        <v>117.322776</v>
      </c>
      <c r="L9" s="95"/>
      <c r="M9" s="83"/>
      <c r="N9" s="83"/>
      <c r="O9" s="83"/>
      <c r="P9" s="83"/>
      <c r="Q9" s="83"/>
      <c r="R9" s="83"/>
      <c r="S9" s="83"/>
      <c r="T9" s="83"/>
      <c r="U9" s="82"/>
      <c r="V9" s="108"/>
    </row>
    <row r="10" ht="16.5" spans="1:22">
      <c r="A10" s="79">
        <v>6</v>
      </c>
      <c r="B10" s="84" t="s">
        <v>124</v>
      </c>
      <c r="C10" s="85">
        <v>39372.01</v>
      </c>
      <c r="D10" s="86" t="s">
        <v>118</v>
      </c>
      <c r="E10" s="87"/>
      <c r="F10" s="83" t="s">
        <v>125</v>
      </c>
      <c r="G10" s="83">
        <v>2274.92</v>
      </c>
      <c r="H10" s="83">
        <f>G10/100*15*0.855*0.6*0.334*0.8*1</f>
        <v>46.7747211168</v>
      </c>
      <c r="I10" s="83">
        <f>G10/100*15*0.855*0.6*0.334*0.08*1</f>
        <v>4.67747211168</v>
      </c>
      <c r="J10" s="100"/>
      <c r="K10" s="101"/>
      <c r="L10" s="101">
        <f t="shared" ref="L10:L14" si="0">G10/100*15*0.855*0.6*0.334*0.08*1</f>
        <v>4.67747211168</v>
      </c>
      <c r="M10" s="102">
        <f t="shared" ref="M10:M14" si="1">G10/100*15*0.855*0.6*0.388*0.8</f>
        <v>54.3371011776</v>
      </c>
      <c r="N10" s="102">
        <f t="shared" ref="N10:N14" si="2">G10/100*15*0.855*0.6*0.388*0.08</f>
        <v>5.43371011776</v>
      </c>
      <c r="O10" s="102">
        <f t="shared" ref="O10:O14" si="3">G10/100*15*0.855*0.6*0.388*0.08</f>
        <v>5.43371011776</v>
      </c>
      <c r="P10" s="83">
        <f t="shared" ref="P10:P14" si="4">G10/100*15*0.855*0.6*0.13*0.08</f>
        <v>1.8205729776</v>
      </c>
      <c r="Q10" s="83">
        <f t="shared" ref="Q10:Q14" si="5">G10/100*15*0.855*0.6*0.13*0.82</f>
        <v>18.6608730204</v>
      </c>
      <c r="R10" s="83">
        <f t="shared" ref="R10:R14" si="6">G10/100*15*0.855*0.6*0.13*0.08</f>
        <v>1.8205729776</v>
      </c>
      <c r="S10" s="83">
        <f t="shared" ref="S10:S14" si="7">G10/100*15*0.855*0.6*0.147*0.82</f>
        <v>21.10114103076</v>
      </c>
      <c r="T10" s="83"/>
      <c r="U10" s="82"/>
      <c r="V10" s="108"/>
    </row>
    <row r="11" ht="16.5" spans="1:22">
      <c r="A11" s="79">
        <v>7</v>
      </c>
      <c r="B11" s="88"/>
      <c r="C11" s="88"/>
      <c r="D11" s="89"/>
      <c r="E11" s="90"/>
      <c r="F11" s="83" t="s">
        <v>126</v>
      </c>
      <c r="G11" s="83">
        <v>2274.92</v>
      </c>
      <c r="H11" s="83">
        <f>G11/100*15*0.855*0.6*0.334*0.8*0.2</f>
        <v>9.35494422336</v>
      </c>
      <c r="I11" s="83">
        <f>G11/100*15*0.855*0.6*0.334*0.08*0.2</f>
        <v>0.935494422336</v>
      </c>
      <c r="J11" s="100"/>
      <c r="K11" s="81"/>
      <c r="L11" s="81">
        <f>G11/100*15*0.855*0.6*0.334*0.08*0.2</f>
        <v>0.935494422336</v>
      </c>
      <c r="M11" s="102">
        <f>G11/100*15*0.855*0.6*0.388*0.8*0.4</f>
        <v>21.73484047104</v>
      </c>
      <c r="N11" s="102">
        <f>G11/100*15*0.855*0.6*0.388*0.08*0.4</f>
        <v>2.173484047104</v>
      </c>
      <c r="O11" s="102">
        <f>G11/100*15*0.855*0.6*0.388*0.08*0.4</f>
        <v>2.173484047104</v>
      </c>
      <c r="P11" s="83">
        <f>G11/100*15*0.855*0.6*0.13*0.08*0.2</f>
        <v>0.36411459552</v>
      </c>
      <c r="Q11" s="83">
        <f>G11/100*15*0.855*0.6*0.13*0.82*0.2</f>
        <v>3.73217460408</v>
      </c>
      <c r="R11" s="83">
        <f>G11/100*15*0.855*0.6*0.13*0.08*0.2</f>
        <v>0.36411459552</v>
      </c>
      <c r="S11" s="83">
        <f>G11/100*15*0.855*0.6*0.147*0.82*0.2</f>
        <v>4.220228206152</v>
      </c>
      <c r="T11" s="83"/>
      <c r="U11" s="82"/>
      <c r="V11" s="108"/>
    </row>
    <row r="12" ht="16.5" spans="1:22">
      <c r="A12" s="79">
        <v>8</v>
      </c>
      <c r="B12" s="88"/>
      <c r="C12" s="88"/>
      <c r="D12" s="89"/>
      <c r="E12" s="90"/>
      <c r="F12" s="83" t="s">
        <v>127</v>
      </c>
      <c r="G12" s="83">
        <v>204</v>
      </c>
      <c r="H12" s="83">
        <f>G12/100*15*0.855*0.6*0.334*0.08*1</f>
        <v>0.419445216</v>
      </c>
      <c r="I12" s="83"/>
      <c r="J12" s="83"/>
      <c r="K12" s="81">
        <f>G12/100*15*0.855*0.6*0.334*0.8*1</f>
        <v>4.19445216</v>
      </c>
      <c r="L12" s="81">
        <f t="shared" si="0"/>
        <v>0.419445216</v>
      </c>
      <c r="M12" s="102">
        <f t="shared" si="1"/>
        <v>4.87259712</v>
      </c>
      <c r="N12" s="102">
        <f t="shared" si="2"/>
        <v>0.487259712</v>
      </c>
      <c r="O12" s="102">
        <f t="shared" si="3"/>
        <v>0.487259712</v>
      </c>
      <c r="P12" s="83">
        <f t="shared" si="4"/>
        <v>0.16325712</v>
      </c>
      <c r="Q12" s="83">
        <f t="shared" si="5"/>
        <v>1.67338548</v>
      </c>
      <c r="R12" s="83">
        <f t="shared" si="6"/>
        <v>0.16325712</v>
      </c>
      <c r="S12" s="83">
        <f t="shared" si="7"/>
        <v>1.892212812</v>
      </c>
      <c r="T12" s="83"/>
      <c r="U12" s="82"/>
      <c r="V12" s="108"/>
    </row>
    <row r="13" ht="33" spans="1:22">
      <c r="A13" s="79">
        <v>9</v>
      </c>
      <c r="B13" s="88"/>
      <c r="C13" s="88"/>
      <c r="D13" s="89"/>
      <c r="E13" s="90"/>
      <c r="F13" s="83" t="s">
        <v>128</v>
      </c>
      <c r="G13" s="83">
        <v>204</v>
      </c>
      <c r="H13" s="83">
        <f>G13/100*15*0.855*0.6*0.334*0.08*0.2</f>
        <v>0.0838890432</v>
      </c>
      <c r="I13" s="83"/>
      <c r="J13" s="83"/>
      <c r="K13" s="81">
        <f>G13/100*15*0.855*0.6*0.334*0.8*0.2</f>
        <v>0.838890432</v>
      </c>
      <c r="L13" s="83">
        <f>G13/100*15*0.855*0.6*0.334*0.08*0.2</f>
        <v>0.0838890432</v>
      </c>
      <c r="M13" s="102">
        <f>G13/100*15*0.855*0.6*0.388*0.8*0.4</f>
        <v>1.949038848</v>
      </c>
      <c r="N13" s="102">
        <f>G13/100*15*0.855*0.6*0.388*0.08*0.4</f>
        <v>0.1949038848</v>
      </c>
      <c r="O13" s="102">
        <f>G13/100*15*0.855*0.6*0.388*0.08*0.4</f>
        <v>0.1949038848</v>
      </c>
      <c r="P13" s="83">
        <f>G13/100*15*0.855*0.6*0.13*0.08*0.2</f>
        <v>0.032651424</v>
      </c>
      <c r="Q13" s="83">
        <f>G13/100*15*0.855*0.6*0.13*0.82*0.2</f>
        <v>0.334677096</v>
      </c>
      <c r="R13" s="83">
        <f>G13/100*15*0.855*0.6*0.13*0.08*0.2</f>
        <v>0.032651424</v>
      </c>
      <c r="S13" s="83">
        <f>G13/100*15*0.855*0.6*0.147*0.82*0.2</f>
        <v>0.3784425624</v>
      </c>
      <c r="T13" s="83"/>
      <c r="U13" s="82"/>
      <c r="V13" s="108"/>
    </row>
    <row r="14" ht="16.5" spans="1:22">
      <c r="A14" s="79">
        <v>10</v>
      </c>
      <c r="B14" s="88"/>
      <c r="C14" s="88"/>
      <c r="D14" s="89"/>
      <c r="E14" s="90"/>
      <c r="F14" s="83" t="s">
        <v>129</v>
      </c>
      <c r="G14" s="83">
        <v>158.4</v>
      </c>
      <c r="H14" s="83">
        <f>G14/100*15*0.855*0.6*0.334*0.08*1</f>
        <v>0.3256868736</v>
      </c>
      <c r="I14" s="83"/>
      <c r="J14" s="83"/>
      <c r="K14" s="83">
        <f>G14/100*15*0.855*0.6*0.334*0.8*1</f>
        <v>3.256868736</v>
      </c>
      <c r="L14" s="83">
        <f t="shared" si="0"/>
        <v>0.3256868736</v>
      </c>
      <c r="M14" s="102">
        <f t="shared" si="1"/>
        <v>3.783428352</v>
      </c>
      <c r="N14" s="102">
        <f t="shared" si="2"/>
        <v>0.3783428352</v>
      </c>
      <c r="O14" s="102">
        <f t="shared" si="3"/>
        <v>0.3783428352</v>
      </c>
      <c r="P14" s="83">
        <f t="shared" si="4"/>
        <v>0.126764352</v>
      </c>
      <c r="Q14" s="83">
        <f t="shared" si="5"/>
        <v>1.299334608</v>
      </c>
      <c r="R14" s="83">
        <f t="shared" si="6"/>
        <v>0.126764352</v>
      </c>
      <c r="S14" s="83">
        <f t="shared" si="7"/>
        <v>1.4692475952</v>
      </c>
      <c r="T14" s="83"/>
      <c r="U14" s="82"/>
      <c r="V14" s="108"/>
    </row>
    <row r="15" ht="16.5" spans="1:22">
      <c r="A15" s="79">
        <v>11</v>
      </c>
      <c r="B15" s="88"/>
      <c r="C15" s="88"/>
      <c r="D15" s="89"/>
      <c r="E15" s="90"/>
      <c r="F15" s="83" t="s">
        <v>130</v>
      </c>
      <c r="G15" s="83">
        <v>232.32</v>
      </c>
      <c r="H15" s="83">
        <f>G15/100*15*0.855*0.6*0.334*0.08*1.3</f>
        <v>0.620976305664</v>
      </c>
      <c r="I15" s="83"/>
      <c r="J15" s="83"/>
      <c r="K15" s="83">
        <f>G15/100*15*0.855*0.6*0.334*0.8*1.3</f>
        <v>6.20976305664</v>
      </c>
      <c r="L15" s="83">
        <f>G15/100*15*0.855*0.6*0.334*0.08*1.3</f>
        <v>0.620976305664</v>
      </c>
      <c r="M15" s="83">
        <f>G15/100*15*0.855*0.6*0.388*0.08*1.3</f>
        <v>0.721373672448</v>
      </c>
      <c r="N15" s="83">
        <f>G15/100*15*0.855*0.6*0.388*0.8*1.3</f>
        <v>7.21373672448</v>
      </c>
      <c r="O15" s="83">
        <f>G15/100*15*0.855*0.6*0.388*0.08*1.3</f>
        <v>0.721373672448</v>
      </c>
      <c r="P15" s="83">
        <f>G15/100*15*0.855*0.6*0.13*0.08*1.3</f>
        <v>0.24169736448</v>
      </c>
      <c r="Q15" s="83">
        <f>G15/100*15*0.855*0.6*0.13*0.82*1.3</f>
        <v>2.47739798592</v>
      </c>
      <c r="R15" s="83">
        <f>G15/100*15*0.855*0.6*0.13*0.08*1.3</f>
        <v>0.24169736448</v>
      </c>
      <c r="S15" s="83">
        <f>G15/100*15*0.855*0.6*0.147*0.82*1.3</f>
        <v>2.801365414848</v>
      </c>
      <c r="T15" s="83"/>
      <c r="U15" s="82"/>
      <c r="V15" s="108"/>
    </row>
    <row r="16" ht="16.5" spans="1:22">
      <c r="A16" s="79">
        <v>12</v>
      </c>
      <c r="B16" s="88"/>
      <c r="C16" s="88"/>
      <c r="D16" s="89"/>
      <c r="E16" s="90"/>
      <c r="F16" s="83" t="s">
        <v>131</v>
      </c>
      <c r="G16" s="83">
        <v>232.32</v>
      </c>
      <c r="H16" s="83">
        <f>G16/100*15*0.855*0.6*0.334*0.08*1.3*0.2</f>
        <v>0.1241952611328</v>
      </c>
      <c r="I16" s="83"/>
      <c r="J16" s="83"/>
      <c r="K16" s="83">
        <f>G16/100*15*0.855*0.6*0.334*0.8*1.3*0.2</f>
        <v>1.241952611328</v>
      </c>
      <c r="L16" s="83">
        <f>G16/100*15*0.855*0.6*0.334*0.08*1.3*0.2</f>
        <v>0.1241952611328</v>
      </c>
      <c r="M16" s="83">
        <f>G16/100*15*0.855*0.6*0.388*0.08*1.3*0.4</f>
        <v>0.2885494689792</v>
      </c>
      <c r="N16" s="83">
        <f>G16/100*15*0.855*0.6*0.388*0.8*1.3*0.4</f>
        <v>2.885494689792</v>
      </c>
      <c r="O16" s="83">
        <f>G16/100*15*0.855*0.6*0.388*0.08*1.3*0.4</f>
        <v>0.2885494689792</v>
      </c>
      <c r="P16" s="83">
        <f>G16/100*15*0.855*0.6*0.13*0.08*1.3*0.2</f>
        <v>0.048339472896</v>
      </c>
      <c r="Q16" s="83">
        <f>G16/100*15*0.855*0.6*0.13*0.82*1.3*0.2</f>
        <v>0.495479597184</v>
      </c>
      <c r="R16" s="83">
        <f>G16/100*15*0.855*0.6*0.13*0.08*1.3*0.2</f>
        <v>0.048339472896</v>
      </c>
      <c r="S16" s="83">
        <f>G16/100*15*0.855*0.6*0.147*0.82*1.3*0.2</f>
        <v>0.5602730829696</v>
      </c>
      <c r="T16" s="83"/>
      <c r="U16" s="82"/>
      <c r="V16" s="108"/>
    </row>
    <row r="17" ht="16.5" spans="1:22">
      <c r="A17" s="79">
        <v>13</v>
      </c>
      <c r="B17" s="88"/>
      <c r="C17" s="88"/>
      <c r="D17" s="89"/>
      <c r="E17" s="90"/>
      <c r="F17" s="83" t="s">
        <v>132</v>
      </c>
      <c r="G17" s="83">
        <v>1182.1</v>
      </c>
      <c r="H17" s="83">
        <f>G17/100*15*0.855*0.6*0.334*0.08</f>
        <v>2.4305205384</v>
      </c>
      <c r="I17" s="83"/>
      <c r="J17" s="83">
        <f>G17/100*15*0.855*0.6*0.334*0.8</f>
        <v>24.305205384</v>
      </c>
      <c r="K17" s="83"/>
      <c r="L17" s="83">
        <f>G17/100*15*0.855*0.6*0.334*0.08</f>
        <v>2.4305205384</v>
      </c>
      <c r="M17" s="83">
        <f>G17/100*15*0.855*0.6*0.388*0.08</f>
        <v>2.8234789488</v>
      </c>
      <c r="N17" s="83">
        <f>G17/100*15*0.855*0.6*0.388*0.8</f>
        <v>28.234789488</v>
      </c>
      <c r="O17" s="83">
        <f t="shared" ref="O17:O20" si="8">G17/100*15*0.855*0.6*0.388*0.08</f>
        <v>2.8234789488</v>
      </c>
      <c r="P17" s="83">
        <f>G17/100*15*0.855*0.6*0.13*0.08</f>
        <v>0.946010988</v>
      </c>
      <c r="Q17" s="83">
        <f>G17/100*15*0.855*0.6*0.13*0.82</f>
        <v>9.696612627</v>
      </c>
      <c r="R17" s="83">
        <f t="shared" ref="R17:R21" si="9">G17/100*15*0.855*0.6*0.13*0.08</f>
        <v>0.946010988</v>
      </c>
      <c r="S17" s="83">
        <f>G17/100*15*0.855*0.6*0.147*0.82</f>
        <v>10.9646312013</v>
      </c>
      <c r="T17" s="83"/>
      <c r="U17" s="82"/>
      <c r="V17" s="108"/>
    </row>
    <row r="18" ht="16.5" spans="1:22">
      <c r="A18" s="79">
        <v>14</v>
      </c>
      <c r="B18" s="88"/>
      <c r="C18" s="88"/>
      <c r="D18" s="91"/>
      <c r="E18" s="92"/>
      <c r="F18" s="83" t="s">
        <v>7</v>
      </c>
      <c r="G18" s="83">
        <f>SUM(G10:G17)</f>
        <v>6762.98</v>
      </c>
      <c r="H18" s="83">
        <f>G18/100*15*0.145*0.7*0.43*0.08*1</f>
        <v>3.5420431452</v>
      </c>
      <c r="I18" s="83"/>
      <c r="J18" s="83"/>
      <c r="K18" s="83">
        <f>G18/100*15*0.145*0.7*0.43*0.75*1</f>
        <v>33.20665448625</v>
      </c>
      <c r="L18" s="83">
        <f>G18/100*15*0.145*0.7*0.43*0.08*1</f>
        <v>3.5420431452</v>
      </c>
      <c r="M18" s="83">
        <f>G18/100*15*0.145*0.7*0.04*0.8</f>
        <v>3.294923856</v>
      </c>
      <c r="N18" s="83"/>
      <c r="O18" s="83"/>
      <c r="P18" s="83">
        <f>G18/100*15*0.145*0.7*0.36*0.08</f>
        <v>2.9654314704</v>
      </c>
      <c r="Q18" s="83">
        <f>G18/100*15*0.145*0.7*0.36*0.82</f>
        <v>30.3956725716</v>
      </c>
      <c r="R18" s="83">
        <f>G18/100*15*0.145*0.7*0.36*0.08</f>
        <v>2.9654314704</v>
      </c>
      <c r="S18" s="83">
        <f>G18/100*15*0.145*0.7*0.17*0.82</f>
        <v>14.3535120477</v>
      </c>
      <c r="T18" s="83"/>
      <c r="U18" s="82"/>
      <c r="V18" s="109">
        <f>G18/100*15*0.145*0.7*0.43*0.05*1</f>
        <v>2.21377696575</v>
      </c>
    </row>
    <row r="19" ht="16.5" spans="1:22">
      <c r="A19" s="79">
        <v>15</v>
      </c>
      <c r="B19" s="88"/>
      <c r="C19" s="88"/>
      <c r="D19" s="86" t="s">
        <v>120</v>
      </c>
      <c r="E19" s="87"/>
      <c r="F19" s="83" t="s">
        <v>133</v>
      </c>
      <c r="G19" s="83">
        <v>1609.28</v>
      </c>
      <c r="H19" s="83">
        <f>G19/100*15*0.855*0.6*0.334*0.08*1</f>
        <v>3.30884704512</v>
      </c>
      <c r="I19" s="83">
        <f>G19/100*15*0.855*0.6*0.334*0.8*1</f>
        <v>33.0884704512</v>
      </c>
      <c r="J19" s="83"/>
      <c r="K19" s="83"/>
      <c r="L19" s="83">
        <f>G19/100*15*0.855*0.6*0.334*0.08*1</f>
        <v>3.30884704512</v>
      </c>
      <c r="M19" s="102">
        <f>G19/100*15*0.855*0.6*0.388*0.8</f>
        <v>38.4381033984</v>
      </c>
      <c r="N19" s="102">
        <f>G19/100*15*0.855*0.6*0.388*0.08</f>
        <v>3.84381033984</v>
      </c>
      <c r="O19" s="102">
        <f t="shared" si="8"/>
        <v>3.84381033984</v>
      </c>
      <c r="P19" s="83">
        <f t="shared" ref="P19:P21" si="10">G19/100*15*0.855*0.6*0.13*0.82</f>
        <v>13.2007146336</v>
      </c>
      <c r="Q19" s="83">
        <f t="shared" ref="Q19:Q21" si="11">G19/100*15*0.855*0.6*0.13*0.08</f>
        <v>1.2878745984</v>
      </c>
      <c r="R19" s="83">
        <f t="shared" si="9"/>
        <v>1.2878745984</v>
      </c>
      <c r="S19" s="83">
        <f>G19/100*15*0.855*0.6*0.147*0.82</f>
        <v>14.92696193184</v>
      </c>
      <c r="T19" s="83"/>
      <c r="U19" s="82"/>
      <c r="V19" s="108"/>
    </row>
    <row r="20" ht="16.5" spans="1:22">
      <c r="A20" s="79">
        <v>16</v>
      </c>
      <c r="B20" s="88"/>
      <c r="C20" s="88"/>
      <c r="D20" s="89"/>
      <c r="E20" s="90"/>
      <c r="F20" s="83" t="s">
        <v>134</v>
      </c>
      <c r="G20" s="83">
        <v>3290.24</v>
      </c>
      <c r="H20" s="83">
        <f>G20/100*15*0.855*0.6*0.334*0.08*1</f>
        <v>6.76507562496</v>
      </c>
      <c r="I20" s="83">
        <f>G20/100*15*0.855*0.6*0.334*0.8*1</f>
        <v>67.6507562496</v>
      </c>
      <c r="J20" s="83"/>
      <c r="K20" s="83"/>
      <c r="L20" s="83">
        <f>G20/100*15*0.855*0.6*0.334*0.08*1</f>
        <v>6.76507562496</v>
      </c>
      <c r="M20" s="102">
        <f>G20/100*15*0.855*0.6*0.388*0.8</f>
        <v>78.5883036672</v>
      </c>
      <c r="N20" s="102">
        <f>G20/100*15*0.855*0.6*0.388*0.08</f>
        <v>7.85883036672</v>
      </c>
      <c r="O20" s="102">
        <f t="shared" si="8"/>
        <v>7.85883036672</v>
      </c>
      <c r="P20" s="83">
        <f t="shared" si="10"/>
        <v>26.9894109888</v>
      </c>
      <c r="Q20" s="83">
        <f t="shared" si="11"/>
        <v>2.6331132672</v>
      </c>
      <c r="R20" s="83">
        <f t="shared" si="9"/>
        <v>2.6331132672</v>
      </c>
      <c r="S20" s="83">
        <f>G20/100*15*0.855*0.6*0.147*0.08</f>
        <v>2.97744346368</v>
      </c>
      <c r="T20" s="83">
        <f>G20/100*15*0.855*0.6*0.147*0.82</f>
        <v>30.51879550272</v>
      </c>
      <c r="U20" s="82"/>
      <c r="V20" s="108"/>
    </row>
    <row r="21" ht="33" spans="1:22">
      <c r="A21" s="79">
        <v>17</v>
      </c>
      <c r="B21" s="88"/>
      <c r="C21" s="88"/>
      <c r="D21" s="89"/>
      <c r="E21" s="90"/>
      <c r="F21" s="83" t="s">
        <v>135</v>
      </c>
      <c r="G21" s="83">
        <v>204</v>
      </c>
      <c r="H21" s="83">
        <f>G21/100*15*0.855*0.6*0.334*0.08*0.2</f>
        <v>0.0838890432</v>
      </c>
      <c r="I21" s="83"/>
      <c r="J21" s="83"/>
      <c r="K21" s="83">
        <f>G12/100*15*0.855*0.6*0.334*0.8*0.2</f>
        <v>0.838890432</v>
      </c>
      <c r="L21" s="83">
        <f>G21/100*15*0.855*0.6*0.334*0.08*0.2</f>
        <v>0.0838890432</v>
      </c>
      <c r="M21" s="102">
        <f>G21/100*15*0.855*0.6*0.388*0.8*0.4</f>
        <v>1.949038848</v>
      </c>
      <c r="N21" s="102">
        <f>G21/100*15*0.855*0.6*0.388*0.08*0.4</f>
        <v>0.1949038848</v>
      </c>
      <c r="O21" s="102">
        <f>G21/100*15*0.855*0.6*0.388*0.08*0.4</f>
        <v>0.1949038848</v>
      </c>
      <c r="P21" s="83">
        <f t="shared" si="10"/>
        <v>1.67338548</v>
      </c>
      <c r="Q21" s="83">
        <f t="shared" si="11"/>
        <v>0.16325712</v>
      </c>
      <c r="R21" s="83">
        <f t="shared" si="9"/>
        <v>0.16325712</v>
      </c>
      <c r="S21" s="83">
        <f t="shared" ref="S21:S23" si="12">G21/100*15*0.855*0.6*0.147*0.82*0.2</f>
        <v>0.3784425624</v>
      </c>
      <c r="T21" s="83"/>
      <c r="U21" s="82"/>
      <c r="V21" s="108"/>
    </row>
    <row r="22" ht="33" spans="1:22">
      <c r="A22" s="79">
        <v>18</v>
      </c>
      <c r="B22" s="88"/>
      <c r="C22" s="88"/>
      <c r="D22" s="89"/>
      <c r="E22" s="90"/>
      <c r="F22" s="83" t="s">
        <v>128</v>
      </c>
      <c r="G22" s="83">
        <v>204</v>
      </c>
      <c r="H22" s="83">
        <f>G21/100*15*0.855*0.6*0.334*0.08*0.2</f>
        <v>0.0838890432</v>
      </c>
      <c r="I22" s="83"/>
      <c r="J22" s="83"/>
      <c r="K22" s="83">
        <f>G12/100*15*0.855*0.6*0.334*0.8*0.2</f>
        <v>0.838890432</v>
      </c>
      <c r="L22" s="83">
        <f>G21/100*15*0.855*0.6*0.334*0.08*0.2</f>
        <v>0.0838890432</v>
      </c>
      <c r="M22" s="102">
        <f t="shared" ref="M21:M23" si="13">G22/100*15*0.855*0.6*0.388*0.8*0.2</f>
        <v>0.974519424</v>
      </c>
      <c r="N22" s="102">
        <f t="shared" ref="N21:N23" si="14">G22/100*15*0.855*0.6*0.388*0.08*0.2</f>
        <v>0.0974519424</v>
      </c>
      <c r="O22" s="102">
        <f t="shared" ref="O21:O23" si="15">G22/100*15*0.855*0.6*0.388*0.08*0.2</f>
        <v>0.0974519424</v>
      </c>
      <c r="P22" s="83">
        <f>G22/100*15*0.855*0.6*0.13*0.82*0.2</f>
        <v>0.334677096</v>
      </c>
      <c r="Q22" s="83">
        <f>G22/100*15*0.855*0.6*0.13*0.08*0.2</f>
        <v>0.032651424</v>
      </c>
      <c r="R22" s="83">
        <f>G22/100*15*0.855*0.6*0.13*0.08*0.2</f>
        <v>0.032651424</v>
      </c>
      <c r="S22" s="83">
        <f t="shared" si="12"/>
        <v>0.3784425624</v>
      </c>
      <c r="T22" s="83"/>
      <c r="U22" s="82"/>
      <c r="V22" s="108"/>
    </row>
    <row r="23" ht="16.5" spans="1:22">
      <c r="A23" s="79">
        <v>19</v>
      </c>
      <c r="B23" s="88"/>
      <c r="C23" s="88"/>
      <c r="D23" s="89"/>
      <c r="E23" s="90"/>
      <c r="F23" s="83" t="s">
        <v>136</v>
      </c>
      <c r="G23" s="83">
        <v>118.8</v>
      </c>
      <c r="H23" s="83">
        <f>G14/100*15*0.855*0.6*0.334*0.08*0.2</f>
        <v>0.06513737472</v>
      </c>
      <c r="I23" s="83"/>
      <c r="J23" s="83"/>
      <c r="K23" s="83">
        <f>G14/100*15*0.855*0.6*0.334*0.8*0.2</f>
        <v>0.6513737472</v>
      </c>
      <c r="L23" s="83">
        <f>G14/100*15*0.855*0.6*0.334*0.08*0.2</f>
        <v>0.06513737472</v>
      </c>
      <c r="M23" s="102">
        <f>G23/100*15*0.855*0.6*0.388*0.8*0.4</f>
        <v>1.1350285056</v>
      </c>
      <c r="N23" s="102">
        <f>G23/100*15*0.855*0.6*0.388*0.08*0.4</f>
        <v>0.11350285056</v>
      </c>
      <c r="O23" s="102">
        <f>G23/100*15*0.855*0.6*0.388*0.08*0.4</f>
        <v>0.11350285056</v>
      </c>
      <c r="P23" s="83">
        <f>G23/100*15*0.855*0.6*0.13*0.82</f>
        <v>0.974500956</v>
      </c>
      <c r="Q23" s="83">
        <f>G23/100*15*0.855*0.6*0.13*0.08</f>
        <v>0.095073264</v>
      </c>
      <c r="R23" s="83">
        <f>G23/100*15*0.855*0.6*0.13*0.08</f>
        <v>0.095073264</v>
      </c>
      <c r="S23" s="83">
        <f t="shared" si="12"/>
        <v>0.22038713928</v>
      </c>
      <c r="T23" s="83"/>
      <c r="U23" s="82"/>
      <c r="V23" s="108"/>
    </row>
    <row r="24" ht="16.5" spans="1:22">
      <c r="A24" s="79">
        <v>20</v>
      </c>
      <c r="B24" s="88"/>
      <c r="C24" s="88"/>
      <c r="D24" s="89"/>
      <c r="E24" s="90"/>
      <c r="F24" s="83" t="s">
        <v>130</v>
      </c>
      <c r="G24" s="83">
        <v>40</v>
      </c>
      <c r="H24" s="83">
        <f>G24/100*15*0.7*0.6*0.334*0.1*1*1.3</f>
        <v>0.1094184</v>
      </c>
      <c r="I24" s="83"/>
      <c r="J24" s="83"/>
      <c r="K24" s="83">
        <f>G24/100*15*0.7*0.6*0.334*0.8*1*1.3</f>
        <v>0.8753472</v>
      </c>
      <c r="L24" s="83">
        <f>G24/100*15*0.7*0.6*0.334*0.1*1*1.3</f>
        <v>0.1094184</v>
      </c>
      <c r="M24" s="83">
        <f>G24/100*15*0.855*0.6*0.388*0.08*1.3</f>
        <v>0.124203456</v>
      </c>
      <c r="N24" s="83">
        <f>G24/100*15*0.855*0.6*0.388*0.8*1.3</f>
        <v>1.24203456</v>
      </c>
      <c r="O24" s="83">
        <f>G24/100*15*0.855*0.6*0.388*0.08*1.3</f>
        <v>0.124203456</v>
      </c>
      <c r="P24" s="83">
        <f>G24/100*15*0.7*0.6*0.13*0.82*1.3</f>
        <v>0.3492216</v>
      </c>
      <c r="Q24" s="83">
        <f>G24/100*15*0.7*0.6*0.13*0.08*1.3</f>
        <v>0.0340704</v>
      </c>
      <c r="R24" s="83">
        <f>G24/100*15*0.7*0.6*0.13*0.08*1.3</f>
        <v>0.0340704</v>
      </c>
      <c r="S24" s="83">
        <f>G24/100*15*0.855*0.6*0.147*0.82*1.3</f>
        <v>0.482328756</v>
      </c>
      <c r="T24" s="83"/>
      <c r="U24" s="82"/>
      <c r="V24" s="108"/>
    </row>
    <row r="25" ht="16.5" spans="1:22">
      <c r="A25" s="79">
        <v>21</v>
      </c>
      <c r="B25" s="88"/>
      <c r="C25" s="88"/>
      <c r="D25" s="89"/>
      <c r="E25" s="90"/>
      <c r="F25" s="83" t="s">
        <v>131</v>
      </c>
      <c r="G25" s="83">
        <v>232.32</v>
      </c>
      <c r="H25" s="83">
        <f>G25/100*15*0.855*0.6*0.334*0.08*1.3*0.2</f>
        <v>0.1241952611328</v>
      </c>
      <c r="I25" s="83"/>
      <c r="J25" s="83"/>
      <c r="K25" s="83">
        <f>G16/100*15*0.855*0.6*0.334*0.8*1.3*0.2</f>
        <v>1.241952611328</v>
      </c>
      <c r="L25" s="83">
        <f>G25/100*15*0.855*0.6*0.334*0.08*1.3*0.2</f>
        <v>0.1241952611328</v>
      </c>
      <c r="M25" s="83">
        <f>G25/100*15*0.855*0.6*0.388*0.08*1.3*0.4</f>
        <v>0.2885494689792</v>
      </c>
      <c r="N25" s="83">
        <f>G25/100*15*0.855*0.6*0.388*0.8*1.3*0.2</f>
        <v>1.442747344896</v>
      </c>
      <c r="O25" s="83">
        <f>G25/100*15*0.855*0.6*0.388*0.08*1.3*0.4</f>
        <v>0.2885494689792</v>
      </c>
      <c r="P25" s="83">
        <f>G25/100*15*0.7*0.6*0.13*0.82*1.3</f>
        <v>2.0282790528</v>
      </c>
      <c r="Q25" s="83">
        <f>G25/100*15*0.7*0.6*0.13*0.08*1.3</f>
        <v>0.1978808832</v>
      </c>
      <c r="R25" s="83">
        <f>G25/100*15*0.7*0.6*0.13*0.08*1.3</f>
        <v>0.1978808832</v>
      </c>
      <c r="S25" s="83">
        <f>G25/100*15*0.855*0.6*0.147*0.82*1.3*0.2</f>
        <v>0.5602730829696</v>
      </c>
      <c r="T25" s="83"/>
      <c r="U25" s="82"/>
      <c r="V25" s="108"/>
    </row>
    <row r="26" ht="16.5" spans="1:22">
      <c r="A26" s="79">
        <v>22</v>
      </c>
      <c r="B26" s="88"/>
      <c r="C26" s="88"/>
      <c r="D26" s="89"/>
      <c r="E26" s="90"/>
      <c r="F26" s="83" t="s">
        <v>137</v>
      </c>
      <c r="G26" s="83">
        <v>1182.1</v>
      </c>
      <c r="H26" s="83">
        <f>G26/100*15*0.855*0.6*0.334*0.08*1*0.2</f>
        <v>0.48610410768</v>
      </c>
      <c r="I26" s="83"/>
      <c r="J26" s="83">
        <f>G26/100*15*0.855*0.6*0.334*0.8*1*0.2</f>
        <v>4.8610410768</v>
      </c>
      <c r="K26" s="83"/>
      <c r="L26" s="83">
        <f>G26/100*15*0.855*0.6*0.334*0.08*1*0.2</f>
        <v>0.48610410768</v>
      </c>
      <c r="M26" s="83">
        <f>G26/100*15*0.855*0.6*0.388*0.08*0.2</f>
        <v>0.56469578976</v>
      </c>
      <c r="N26" s="83">
        <f>G26/100*15*0.855*0.6*0.388*0.8*0.4</f>
        <v>11.2939157952</v>
      </c>
      <c r="O26" s="83">
        <f>G26/100*15*0.855*0.6*0.388*0.08*0.4</f>
        <v>1.12939157952</v>
      </c>
      <c r="P26" s="83">
        <f t="shared" ref="P26:P31" si="16">G26/100*15*0.855*0.6*0.13*0.82</f>
        <v>9.696612627</v>
      </c>
      <c r="Q26" s="83">
        <f t="shared" ref="Q26:Q31" si="17">G26/100*15*0.855*0.6*0.13*0.08</f>
        <v>0.946010988</v>
      </c>
      <c r="R26" s="83">
        <f t="shared" ref="R26:R31" si="18">G26/100*15*0.855*0.6*0.13*0.08</f>
        <v>0.946010988</v>
      </c>
      <c r="S26" s="83">
        <f>G26/100*15*0.855*0.6*0.147*0.82*0.2</f>
        <v>2.19292624026</v>
      </c>
      <c r="T26" s="83"/>
      <c r="U26" s="82"/>
      <c r="V26" s="108"/>
    </row>
    <row r="27" ht="33" spans="1:22">
      <c r="A27" s="79"/>
      <c r="B27" s="88"/>
      <c r="C27" s="88"/>
      <c r="D27" s="89"/>
      <c r="E27" s="90"/>
      <c r="F27" s="83" t="s">
        <v>138</v>
      </c>
      <c r="G27" s="83">
        <v>9876.55</v>
      </c>
      <c r="H27" s="83">
        <f>G27/100*15*0.145*0.7*0.43*0.08*0.3</f>
        <v>1.5518232891</v>
      </c>
      <c r="I27" s="83"/>
      <c r="J27" s="83">
        <f>G27/100*15*0.145*0.7*0.43*0.75*0.3</f>
        <v>14.5483433353125</v>
      </c>
      <c r="K27" s="83"/>
      <c r="L27" s="83">
        <f>G27/100*15*0.145*0.7*0.43*0.08*0.3</f>
        <v>1.5518232891</v>
      </c>
      <c r="M27" s="83"/>
      <c r="N27" s="83"/>
      <c r="O27" s="83"/>
      <c r="P27" s="83">
        <f>G27/100*15*0.145*0.7*0.36*0.82*0.3</f>
        <v>13.3168091553</v>
      </c>
      <c r="Q27" s="83">
        <f>G27/100*15*0.145*0.7*0.36*0.08*0.3</f>
        <v>1.2992008932</v>
      </c>
      <c r="R27" s="83">
        <f>G27/100*15*0.145*0.7*0.36*0.08*0.3</f>
        <v>1.2992008932</v>
      </c>
      <c r="S27" s="83"/>
      <c r="T27" s="83"/>
      <c r="U27" s="82"/>
      <c r="V27" s="108"/>
    </row>
    <row r="28" ht="16.5" spans="1:22">
      <c r="A28" s="79">
        <v>23</v>
      </c>
      <c r="B28" s="88"/>
      <c r="C28" s="88"/>
      <c r="D28" s="91"/>
      <c r="E28" s="92"/>
      <c r="F28" s="83" t="s">
        <v>7</v>
      </c>
      <c r="G28" s="83">
        <f>SUM(G19:G26)</f>
        <v>6880.74</v>
      </c>
      <c r="H28" s="83">
        <f>G28/100*15*0.145*0.7*0.43*0.08*1</f>
        <v>3.6037187676</v>
      </c>
      <c r="I28" s="83"/>
      <c r="J28" s="83">
        <f>G28/100*15*0.145*0.7*0.43*0.75*1</f>
        <v>33.78486344625</v>
      </c>
      <c r="K28" s="83"/>
      <c r="L28" s="83">
        <f>G28/100*15*0.145*0.7*0.43*0.08*1</f>
        <v>3.6037187676</v>
      </c>
      <c r="M28" s="83">
        <f>G28/100*15*0.145*0.7*0.04*0.8</f>
        <v>3.352296528</v>
      </c>
      <c r="N28" s="83"/>
      <c r="O28" s="83"/>
      <c r="P28" s="83">
        <f>G28/100*15*0.145*0.7*0.36*0.82</f>
        <v>30.9249354708</v>
      </c>
      <c r="Q28" s="83">
        <f>G28/100*15*0.145*0.7*0.36*0.08</f>
        <v>3.0170668752</v>
      </c>
      <c r="R28" s="83">
        <f>G28/100*15*0.145*0.7*0.36*0.08</f>
        <v>3.0170668752</v>
      </c>
      <c r="S28" s="83">
        <f>G28/100*15*0.145*0.7*0.17*0.82</f>
        <v>14.6034417501</v>
      </c>
      <c r="T28" s="83"/>
      <c r="U28" s="82"/>
      <c r="V28" s="109">
        <f>G28/100*15*0.145*0.7*0.43*0.05*1</f>
        <v>2.25232422975</v>
      </c>
    </row>
    <row r="29" ht="16.5" spans="1:22">
      <c r="A29" s="79">
        <v>24</v>
      </c>
      <c r="B29" s="88"/>
      <c r="C29" s="88"/>
      <c r="D29" s="89" t="s">
        <v>139</v>
      </c>
      <c r="E29" s="90"/>
      <c r="F29" s="83" t="s">
        <v>7</v>
      </c>
      <c r="G29" s="83">
        <f>SUM(G30:G33)</f>
        <v>1774.12</v>
      </c>
      <c r="H29" s="83">
        <f>G29/100*15*0.145*0.7*0.43*0.08*1</f>
        <v>0.9291776088</v>
      </c>
      <c r="I29" s="83">
        <f>G29/100*15*0.145*0.7*0.43*0.82*1</f>
        <v>9.5240704902</v>
      </c>
      <c r="J29" s="83"/>
      <c r="K29" s="83"/>
      <c r="L29" s="83">
        <f>G29/100*15*0.145*0.7*0.43*0.08*1</f>
        <v>0.9291776088</v>
      </c>
      <c r="M29" s="83">
        <f>G29/100*15*0.145*0.7*0.04*0.8</f>
        <v>0.864351264</v>
      </c>
      <c r="N29" s="83"/>
      <c r="O29" s="83"/>
      <c r="P29" s="83">
        <f>G29/100*15*0.145*0.7*0.36*0.82</f>
        <v>7.9736404104</v>
      </c>
      <c r="Q29" s="83">
        <f>G29/100*15*0.145*0.7*0.36*0.08</f>
        <v>0.7779161376</v>
      </c>
      <c r="R29" s="83">
        <f>G29/100*15*0.145*0.7*0.36*0.08</f>
        <v>0.7779161376</v>
      </c>
      <c r="S29" s="83">
        <f>G29/100*15*0.145*0.7*0.17*0.82</f>
        <v>3.7653301938</v>
      </c>
      <c r="T29" s="83"/>
      <c r="U29" s="82"/>
      <c r="V29" s="108"/>
    </row>
    <row r="30" ht="16.5" spans="1:22">
      <c r="A30" s="79">
        <v>25</v>
      </c>
      <c r="B30" s="88"/>
      <c r="C30" s="88"/>
      <c r="D30" s="89"/>
      <c r="E30" s="90"/>
      <c r="F30" s="83" t="s">
        <v>140</v>
      </c>
      <c r="G30" s="83">
        <v>754.29</v>
      </c>
      <c r="H30" s="83">
        <f t="shared" ref="H30:H33" si="19">G30/100*15*0.855*0.6*0.334*0.08*1</f>
        <v>1.55089868616</v>
      </c>
      <c r="I30" s="83"/>
      <c r="J30" s="83">
        <f>G30/100*15*0.855*0.6*0.334*0.8*1</f>
        <v>15.5089868616</v>
      </c>
      <c r="K30" s="83"/>
      <c r="L30" s="83">
        <f t="shared" ref="L30:L33" si="20">G30/100*15*0.855*0.6*0.334*0.08*1</f>
        <v>1.55089868616</v>
      </c>
      <c r="M30" s="102">
        <f>G30/100*15*0.855*0.6*0.388*0.8</f>
        <v>18.0164278512</v>
      </c>
      <c r="N30" s="102">
        <f>G30/100*15*0.855*0.6*0.388*0.08</f>
        <v>1.80164278512</v>
      </c>
      <c r="O30" s="102">
        <f t="shared" ref="O30:O33" si="21">G30/100*15*0.855*0.6*0.388*0.08</f>
        <v>1.80164278512</v>
      </c>
      <c r="P30" s="83">
        <f t="shared" si="16"/>
        <v>6.1873428123</v>
      </c>
      <c r="Q30" s="83">
        <f t="shared" si="17"/>
        <v>0.6036432012</v>
      </c>
      <c r="R30" s="83">
        <f t="shared" si="18"/>
        <v>0.6036432012</v>
      </c>
      <c r="S30" s="83">
        <f t="shared" ref="S30:S33" si="22">G30/100*15*0.855*0.6*0.147*0.82</f>
        <v>6.99645687237</v>
      </c>
      <c r="T30" s="83"/>
      <c r="U30" s="82"/>
      <c r="V30" s="108"/>
    </row>
    <row r="31" ht="16.5" spans="1:22">
      <c r="A31" s="79">
        <v>26</v>
      </c>
      <c r="B31" s="88"/>
      <c r="C31" s="88"/>
      <c r="D31" s="89"/>
      <c r="E31" s="90"/>
      <c r="F31" s="83" t="s">
        <v>141</v>
      </c>
      <c r="G31" s="83">
        <v>754.38</v>
      </c>
      <c r="H31" s="83">
        <f t="shared" si="19"/>
        <v>1.55108373552</v>
      </c>
      <c r="I31" s="83"/>
      <c r="J31" s="83">
        <f>G31/100*15*0.855*0.6*0.334*0.8*1</f>
        <v>15.5108373552</v>
      </c>
      <c r="K31" s="83"/>
      <c r="L31" s="83">
        <f t="shared" si="20"/>
        <v>1.55108373552</v>
      </c>
      <c r="M31" s="83">
        <f>G31/100*15*0.855*0.6*0.388*0.08</f>
        <v>1.80185775264</v>
      </c>
      <c r="N31" s="83">
        <f>G31/100*15*0.855*0.6*0.388*0.8</f>
        <v>18.0185775264</v>
      </c>
      <c r="O31" s="83">
        <f t="shared" si="21"/>
        <v>1.80185775264</v>
      </c>
      <c r="P31" s="83">
        <f t="shared" si="16"/>
        <v>6.1880810706</v>
      </c>
      <c r="Q31" s="83">
        <f t="shared" si="17"/>
        <v>0.6037152264</v>
      </c>
      <c r="R31" s="83">
        <f t="shared" si="18"/>
        <v>0.6037152264</v>
      </c>
      <c r="S31" s="83">
        <f t="shared" si="22"/>
        <v>6.99729167214</v>
      </c>
      <c r="T31" s="83"/>
      <c r="U31" s="82"/>
      <c r="V31" s="108"/>
    </row>
    <row r="32" ht="16.5" spans="1:22">
      <c r="A32" s="79">
        <v>27</v>
      </c>
      <c r="B32" s="88"/>
      <c r="C32" s="88"/>
      <c r="D32" s="89"/>
      <c r="E32" s="90"/>
      <c r="F32" s="83" t="s">
        <v>142</v>
      </c>
      <c r="G32" s="83">
        <v>131.25</v>
      </c>
      <c r="H32" s="83">
        <f>G32/100*15*0.855*0.6*0.334*0.08*1.3</f>
        <v>0.350822745</v>
      </c>
      <c r="I32" s="83"/>
      <c r="J32" s="83"/>
      <c r="K32" s="83">
        <f>G32/100*15*0.855*0.6*0.334*0.8*1.3</f>
        <v>3.50822745</v>
      </c>
      <c r="L32" s="83">
        <f>G32/100*15*0.855*0.6*0.334*0.08*1.3</f>
        <v>0.350822745</v>
      </c>
      <c r="M32" s="83">
        <f>G32/100*15*0.855*0.6*0.388*0.08*1.3</f>
        <v>0.40754259</v>
      </c>
      <c r="N32" s="83">
        <f>G32/100*15*0.855*0.6*0.388*0.8*1.3</f>
        <v>4.0754259</v>
      </c>
      <c r="O32" s="83">
        <f>G32/100*15*0.855*0.6*0.388*0.08*1.3</f>
        <v>0.40754259</v>
      </c>
      <c r="P32" s="83">
        <f>G32/100*15*0.7*0.6*0.13*0.82*1.3</f>
        <v>1.145883375</v>
      </c>
      <c r="Q32" s="83">
        <f>G32/100*15*0.7*0.6*0.13*0.08*1.3</f>
        <v>0.1117935</v>
      </c>
      <c r="R32" s="83">
        <f>G32/100*15*0.7*0.6*0.13*0.08*1.3</f>
        <v>0.1117935</v>
      </c>
      <c r="S32" s="83">
        <f>G32/100*15*0.855*0.6*0.147*0.82*1.3</f>
        <v>1.582641230625</v>
      </c>
      <c r="T32" s="83"/>
      <c r="U32" s="82"/>
      <c r="V32" s="108"/>
    </row>
    <row r="33" ht="16.5" spans="1:22">
      <c r="A33" s="79">
        <v>28</v>
      </c>
      <c r="B33" s="88"/>
      <c r="C33" s="88"/>
      <c r="D33" s="91"/>
      <c r="E33" s="92"/>
      <c r="F33" s="83" t="s">
        <v>143</v>
      </c>
      <c r="G33" s="83">
        <v>134.2</v>
      </c>
      <c r="H33" s="83">
        <f t="shared" si="19"/>
        <v>0.2759291568</v>
      </c>
      <c r="I33" s="83"/>
      <c r="J33" s="83"/>
      <c r="K33" s="83">
        <f>G33/100*15*0.855*0.6*0.334*0.8*1</f>
        <v>2.759291568</v>
      </c>
      <c r="L33" s="83">
        <f t="shared" si="20"/>
        <v>0.2759291568</v>
      </c>
      <c r="M33" s="83">
        <f>G33/100*15*0.855*0.6*0.388*0.08</f>
        <v>0.3205404576</v>
      </c>
      <c r="N33" s="83">
        <f>G33/100*15*0.855*0.6*0.388*0.8</f>
        <v>3.205404576</v>
      </c>
      <c r="O33" s="83">
        <f t="shared" si="21"/>
        <v>0.3205404576</v>
      </c>
      <c r="P33" s="83">
        <f t="shared" ref="P33:P37" si="23">G33/100*15*0.855*0.6*0.13*0.82</f>
        <v>1.100825154</v>
      </c>
      <c r="Q33" s="83">
        <f t="shared" ref="Q33:Q37" si="24">G33/100*15*0.855*0.6*0.13*0.08</f>
        <v>0.107397576</v>
      </c>
      <c r="R33" s="83">
        <f t="shared" ref="R33:R37" si="25">G33/100*15*0.855*0.6*0.13*0.08</f>
        <v>0.107397576</v>
      </c>
      <c r="S33" s="83">
        <f t="shared" si="22"/>
        <v>1.2447792126</v>
      </c>
      <c r="T33" s="83"/>
      <c r="U33" s="82"/>
      <c r="V33" s="108"/>
    </row>
    <row r="34" ht="16.5" spans="1:22">
      <c r="A34" s="79">
        <v>29</v>
      </c>
      <c r="B34" s="88"/>
      <c r="C34" s="88"/>
      <c r="D34" s="84" t="s">
        <v>144</v>
      </c>
      <c r="E34" s="84" t="s">
        <v>145</v>
      </c>
      <c r="F34" s="83" t="s">
        <v>7</v>
      </c>
      <c r="G34" s="83">
        <f>SUM(G35:G53)</f>
        <v>10863.94</v>
      </c>
      <c r="H34" s="83">
        <f>G34/100*15*0.145*0.7*0.43*0.08*1</f>
        <v>5.6898799356</v>
      </c>
      <c r="I34" s="83"/>
      <c r="J34" s="83"/>
      <c r="K34" s="83">
        <f>G34/100*15*0.145*0.7*0.43*0.8*1</f>
        <v>56.898799356</v>
      </c>
      <c r="L34" s="83">
        <f>G34/100*15*0.145*0.7*0.43*0.08*1</f>
        <v>5.6898799356</v>
      </c>
      <c r="M34" s="83">
        <f>G34/100*15*0.145*0.7*0.04*0.8</f>
        <v>5.292911568</v>
      </c>
      <c r="N34" s="83"/>
      <c r="O34" s="83"/>
      <c r="P34" s="83">
        <f>G34/100*15*0.145*0.7*0.36*0.82</f>
        <v>48.8271092148</v>
      </c>
      <c r="Q34" s="83">
        <f>G34/100*15*0.145*0.7*0.36*0.08</f>
        <v>4.7636204112</v>
      </c>
      <c r="R34" s="83">
        <f>G34/100*15*0.145*0.7*0.36*0.08</f>
        <v>4.7636204112</v>
      </c>
      <c r="S34" s="83">
        <f>G34/100*15*0.145*0.7*0.17*0.82</f>
        <v>23.0572460181</v>
      </c>
      <c r="T34" s="83"/>
      <c r="U34" s="82"/>
      <c r="V34" s="108"/>
    </row>
    <row r="35" ht="16.5" spans="1:22">
      <c r="A35" s="79">
        <v>30</v>
      </c>
      <c r="B35" s="88"/>
      <c r="C35" s="88"/>
      <c r="D35" s="93"/>
      <c r="E35" s="93"/>
      <c r="F35" s="83" t="s">
        <v>146</v>
      </c>
      <c r="G35" s="83">
        <v>239.9</v>
      </c>
      <c r="H35" s="83">
        <f t="shared" ref="H35:H37" si="26">G35/100*15*0.855*0.6*0.334*0.08*1</f>
        <v>0.4932593496</v>
      </c>
      <c r="I35" s="83"/>
      <c r="J35" s="83"/>
      <c r="K35" s="83">
        <f>G35/100*15*0.855*0.6*0.334*0.8*1</f>
        <v>4.932593496</v>
      </c>
      <c r="L35" s="83">
        <f t="shared" ref="L35:L37" si="27">G35/100*15*0.855*0.6*0.334*0.08*1</f>
        <v>0.4932593496</v>
      </c>
      <c r="M35" s="102">
        <f t="shared" ref="M35:M42" si="28">G35/100*15*0.855*0.6*0.388*0.8</f>
        <v>5.730078672</v>
      </c>
      <c r="N35" s="102">
        <f t="shared" ref="N35:N42" si="29">G35/100*15*0.855*0.6*0.388*0.08</f>
        <v>0.5730078672</v>
      </c>
      <c r="O35" s="102">
        <f t="shared" ref="O35:O37" si="30">G35/100*15*0.855*0.6*0.388*0.08</f>
        <v>0.5730078672</v>
      </c>
      <c r="P35" s="83">
        <f t="shared" si="23"/>
        <v>1.967868513</v>
      </c>
      <c r="Q35" s="83">
        <f t="shared" si="24"/>
        <v>0.191987172</v>
      </c>
      <c r="R35" s="83">
        <f t="shared" si="25"/>
        <v>0.191987172</v>
      </c>
      <c r="S35" s="83">
        <f t="shared" ref="S35:S37" si="31">G35/100*15*0.855*0.6*0.147*0.82</f>
        <v>2.2252051647</v>
      </c>
      <c r="T35" s="83"/>
      <c r="U35" s="82"/>
      <c r="V35" s="108"/>
    </row>
    <row r="36" ht="16.5" spans="1:22">
      <c r="A36" s="79">
        <v>31</v>
      </c>
      <c r="B36" s="88"/>
      <c r="C36" s="88"/>
      <c r="D36" s="93"/>
      <c r="E36" s="93"/>
      <c r="F36" s="83" t="s">
        <v>147</v>
      </c>
      <c r="G36" s="83">
        <v>876.54</v>
      </c>
      <c r="H36" s="83">
        <f t="shared" si="26"/>
        <v>1.80225740016</v>
      </c>
      <c r="I36" s="83"/>
      <c r="J36" s="83">
        <f>G36/100*15*0.855*0.6*0.334*0.8*1</f>
        <v>18.0225740016</v>
      </c>
      <c r="K36" s="83"/>
      <c r="L36" s="83">
        <f t="shared" si="27"/>
        <v>1.80225740016</v>
      </c>
      <c r="M36" s="102">
        <f t="shared" si="28"/>
        <v>20.9364033312</v>
      </c>
      <c r="N36" s="102">
        <f t="shared" si="29"/>
        <v>2.09364033312</v>
      </c>
      <c r="O36" s="102">
        <f t="shared" si="30"/>
        <v>2.09364033312</v>
      </c>
      <c r="P36" s="83">
        <f t="shared" si="23"/>
        <v>7.1901436698</v>
      </c>
      <c r="Q36" s="83">
        <f t="shared" si="24"/>
        <v>0.7014774312</v>
      </c>
      <c r="R36" s="83">
        <f t="shared" si="25"/>
        <v>0.7014774312</v>
      </c>
      <c r="S36" s="83">
        <f t="shared" si="31"/>
        <v>8.13039322662</v>
      </c>
      <c r="T36" s="83"/>
      <c r="U36" s="82"/>
      <c r="V36" s="108"/>
    </row>
    <row r="37" ht="16.5" spans="1:22">
      <c r="A37" s="79">
        <v>32</v>
      </c>
      <c r="B37" s="88"/>
      <c r="C37" s="88"/>
      <c r="D37" s="93"/>
      <c r="E37" s="93"/>
      <c r="F37" s="83" t="s">
        <v>148</v>
      </c>
      <c r="G37" s="83">
        <v>1095.68</v>
      </c>
      <c r="H37" s="83">
        <f t="shared" si="26"/>
        <v>2.25283203072</v>
      </c>
      <c r="I37" s="83"/>
      <c r="J37" s="83">
        <f>G37/100*15*0.855*0.6*0.334*0.8*1</f>
        <v>22.5283203072</v>
      </c>
      <c r="K37" s="83"/>
      <c r="L37" s="83">
        <f t="shared" si="27"/>
        <v>2.25283203072</v>
      </c>
      <c r="M37" s="83">
        <f>G37/100*15*0.855*0.6*0.388*0.08</f>
        <v>2.61706235904</v>
      </c>
      <c r="N37" s="83">
        <f>G37/100*15*0.855*0.6*0.388*0.8</f>
        <v>26.1706235904</v>
      </c>
      <c r="O37" s="83">
        <f t="shared" si="30"/>
        <v>2.61706235904</v>
      </c>
      <c r="P37" s="83">
        <f t="shared" si="23"/>
        <v>8.9877206016</v>
      </c>
      <c r="Q37" s="83">
        <f t="shared" si="24"/>
        <v>0.8768507904</v>
      </c>
      <c r="R37" s="83">
        <f t="shared" si="25"/>
        <v>0.8768507904</v>
      </c>
      <c r="S37" s="83">
        <f t="shared" si="31"/>
        <v>10.16303791104</v>
      </c>
      <c r="T37" s="83"/>
      <c r="U37" s="82"/>
      <c r="V37" s="108"/>
    </row>
    <row r="38" ht="16.5" spans="1:22">
      <c r="A38" s="79">
        <v>33</v>
      </c>
      <c r="B38" s="88"/>
      <c r="C38" s="88"/>
      <c r="D38" s="93"/>
      <c r="E38" s="93"/>
      <c r="F38" s="83" t="s">
        <v>149</v>
      </c>
      <c r="G38" s="83">
        <v>191.84</v>
      </c>
      <c r="H38" s="83">
        <f>G38/100*15*0.855*0.6*0.334*0.08*1.3</f>
        <v>0.512775888768</v>
      </c>
      <c r="I38" s="83"/>
      <c r="J38" s="83"/>
      <c r="K38" s="83">
        <f>G38/100*15*0.855*0.6*0.334*0.8*1.3</f>
        <v>5.12775888768</v>
      </c>
      <c r="L38" s="83">
        <f>G38/100*15*0.855*0.6*0.334*0.08*1.3</f>
        <v>0.512775888768</v>
      </c>
      <c r="M38" s="83">
        <f>G38/100*15*0.855*0.6*0.388*0.08*1.3</f>
        <v>0.595679774976</v>
      </c>
      <c r="N38" s="83">
        <f>G38/100*15*0.855*0.6*0.388*0.8*1.3</f>
        <v>5.95679774976</v>
      </c>
      <c r="O38" s="83">
        <f>G38/100*15*0.855*0.6*0.388*0.08*1.3</f>
        <v>0.595679774976</v>
      </c>
      <c r="P38" s="83">
        <f>G38/100*15*0.7*0.6*0.13*0.82*1.3</f>
        <v>1.6748667936</v>
      </c>
      <c r="Q38" s="83">
        <f>G38/100*15*0.7*0.6*0.13*0.08*1.3</f>
        <v>0.1634016384</v>
      </c>
      <c r="R38" s="83">
        <f>G38/100*15*0.7*0.6*0.13*0.08*1.3</f>
        <v>0.1634016384</v>
      </c>
      <c r="S38" s="83">
        <f>G38/100*15*0.855*0.6*0.147*0.82*1.3</f>
        <v>2.313248713776</v>
      </c>
      <c r="T38" s="83"/>
      <c r="U38" s="82"/>
      <c r="V38" s="108"/>
    </row>
    <row r="39" ht="16.5" spans="1:22">
      <c r="A39" s="79">
        <v>34</v>
      </c>
      <c r="B39" s="88"/>
      <c r="C39" s="88"/>
      <c r="D39" s="93"/>
      <c r="E39" s="94"/>
      <c r="F39" s="83" t="s">
        <v>150</v>
      </c>
      <c r="G39" s="83">
        <v>190.97</v>
      </c>
      <c r="H39" s="83">
        <f t="shared" ref="H39:H45" si="32">G39/100*15*0.855*0.6*0.334*0.08*1</f>
        <v>0.39265418088</v>
      </c>
      <c r="I39" s="83"/>
      <c r="J39" s="83"/>
      <c r="K39" s="83">
        <f t="shared" ref="K39:K44" si="33">G39/100*15*0.855*0.6*0.334*0.8*1</f>
        <v>3.9265418088</v>
      </c>
      <c r="L39" s="83">
        <f t="shared" ref="L39:L45" si="34">G39/100*15*0.855*0.6*0.334*0.08*1</f>
        <v>0.39265418088</v>
      </c>
      <c r="M39" s="83">
        <f>G39/100*15*0.855*0.6*0.388*0.08</f>
        <v>0.45613719216</v>
      </c>
      <c r="N39" s="83">
        <f>G39/100*15*0.855*0.6*0.388*0.8</f>
        <v>4.5613719216</v>
      </c>
      <c r="O39" s="83">
        <f t="shared" ref="O39:O45" si="35">G39/100*15*0.855*0.6*0.388*0.08</f>
        <v>0.45613719216</v>
      </c>
      <c r="P39" s="83">
        <f t="shared" ref="P39:P45" si="36">G39/100*15*0.855*0.6*0.13*0.82</f>
        <v>1.5665020839</v>
      </c>
      <c r="Q39" s="83">
        <f t="shared" ref="Q39:Q45" si="37">G39/100*15*0.855*0.6*0.13*0.08</f>
        <v>0.1528294716</v>
      </c>
      <c r="R39" s="83">
        <f t="shared" ref="R39:R45" si="38">G39/100*15*0.855*0.6*0.13*0.08</f>
        <v>0.1528294716</v>
      </c>
      <c r="S39" s="83">
        <f t="shared" ref="S39:S45" si="39">G39/100*15*0.855*0.6*0.147*0.82</f>
        <v>1.77135235641</v>
      </c>
      <c r="T39" s="83"/>
      <c r="U39" s="82"/>
      <c r="V39" s="108"/>
    </row>
    <row r="40" ht="16.5" spans="1:22">
      <c r="A40" s="79">
        <v>35</v>
      </c>
      <c r="B40" s="88"/>
      <c r="C40" s="88"/>
      <c r="D40" s="93"/>
      <c r="E40" s="84" t="s">
        <v>151</v>
      </c>
      <c r="F40" s="83" t="s">
        <v>152</v>
      </c>
      <c r="G40" s="83">
        <v>1126.98</v>
      </c>
      <c r="H40" s="83">
        <f>G40/100*15*0.7*0.7*0.43*0.08*1</f>
        <v>2.849456232</v>
      </c>
      <c r="I40" s="83"/>
      <c r="J40" s="83">
        <f>G40/100*15*0.7*0.7*0.43*0.8*1</f>
        <v>28.49456232</v>
      </c>
      <c r="K40" s="83"/>
      <c r="L40" s="83">
        <f t="shared" si="34"/>
        <v>2.31718808592</v>
      </c>
      <c r="M40" s="102">
        <f t="shared" si="28"/>
        <v>26.9182328544</v>
      </c>
      <c r="N40" s="102">
        <f t="shared" si="29"/>
        <v>2.69182328544</v>
      </c>
      <c r="O40" s="102">
        <f t="shared" si="35"/>
        <v>2.69182328544</v>
      </c>
      <c r="P40" s="83">
        <f t="shared" si="36"/>
        <v>9.2444704326</v>
      </c>
      <c r="Q40" s="83">
        <f t="shared" si="37"/>
        <v>0.9018995544</v>
      </c>
      <c r="R40" s="83">
        <f t="shared" si="38"/>
        <v>0.9018995544</v>
      </c>
      <c r="S40" s="83">
        <f t="shared" si="39"/>
        <v>10.45336271994</v>
      </c>
      <c r="T40" s="83"/>
      <c r="U40" s="82"/>
      <c r="V40" s="108"/>
    </row>
    <row r="41" ht="16.5" spans="1:22">
      <c r="A41" s="79">
        <v>36</v>
      </c>
      <c r="B41" s="88"/>
      <c r="C41" s="88"/>
      <c r="D41" s="93"/>
      <c r="E41" s="93"/>
      <c r="F41" s="83" t="s">
        <v>153</v>
      </c>
      <c r="G41" s="83">
        <v>33.24</v>
      </c>
      <c r="H41" s="83">
        <f t="shared" si="32"/>
        <v>0.06834489696</v>
      </c>
      <c r="I41" s="83"/>
      <c r="J41" s="83"/>
      <c r="K41" s="83">
        <f t="shared" si="33"/>
        <v>0.6834489696</v>
      </c>
      <c r="L41" s="83">
        <f t="shared" si="34"/>
        <v>0.06834489696</v>
      </c>
      <c r="M41" s="102">
        <f t="shared" si="28"/>
        <v>0.7939467072</v>
      </c>
      <c r="N41" s="102">
        <f t="shared" si="29"/>
        <v>0.07939467072</v>
      </c>
      <c r="O41" s="102">
        <f t="shared" si="35"/>
        <v>0.07939467072</v>
      </c>
      <c r="P41" s="83">
        <f t="shared" si="36"/>
        <v>0.2726633988</v>
      </c>
      <c r="Q41" s="83">
        <f t="shared" si="37"/>
        <v>0.0266013072</v>
      </c>
      <c r="R41" s="83">
        <f t="shared" si="38"/>
        <v>0.0266013072</v>
      </c>
      <c r="S41" s="83">
        <f t="shared" si="39"/>
        <v>0.30831938172</v>
      </c>
      <c r="T41" s="83"/>
      <c r="U41" s="82"/>
      <c r="V41" s="108"/>
    </row>
    <row r="42" ht="16.5" spans="1:22">
      <c r="A42" s="79">
        <v>37</v>
      </c>
      <c r="B42" s="88"/>
      <c r="C42" s="88"/>
      <c r="D42" s="93"/>
      <c r="E42" s="93"/>
      <c r="F42" s="83" t="s">
        <v>154</v>
      </c>
      <c r="G42" s="83">
        <v>896.66</v>
      </c>
      <c r="H42" s="83">
        <f>G42/100*15*0.7*0.7*0.43*0.08*1</f>
        <v>2.267115144</v>
      </c>
      <c r="I42" s="83"/>
      <c r="J42" s="83">
        <f>G42/100*15*0.7*0.7*0.43*0.8*1</f>
        <v>22.67115144</v>
      </c>
      <c r="K42" s="83"/>
      <c r="L42" s="83">
        <f t="shared" si="34"/>
        <v>1.84362621264</v>
      </c>
      <c r="M42" s="102">
        <f>G42/100*15*0.855*0.6*0.388*0.08</f>
        <v>2.14169751648</v>
      </c>
      <c r="N42" s="102">
        <f>G42/100*15*0.855*0.6*0.388*0.8</f>
        <v>21.4169751648</v>
      </c>
      <c r="O42" s="102">
        <f t="shared" si="35"/>
        <v>2.14169751648</v>
      </c>
      <c r="P42" s="83">
        <f t="shared" si="36"/>
        <v>7.3551854142</v>
      </c>
      <c r="Q42" s="83">
        <f t="shared" si="37"/>
        <v>0.7175790648</v>
      </c>
      <c r="R42" s="83">
        <f t="shared" si="38"/>
        <v>0.7175790648</v>
      </c>
      <c r="S42" s="83">
        <f t="shared" si="39"/>
        <v>8.31701735298</v>
      </c>
      <c r="T42" s="83"/>
      <c r="U42" s="82"/>
      <c r="V42" s="108"/>
    </row>
    <row r="43" ht="16.5" spans="1:22">
      <c r="A43" s="79">
        <v>38</v>
      </c>
      <c r="B43" s="88"/>
      <c r="C43" s="88"/>
      <c r="D43" s="93"/>
      <c r="E43" s="93"/>
      <c r="F43" s="83" t="s">
        <v>155</v>
      </c>
      <c r="G43" s="83">
        <v>180.83</v>
      </c>
      <c r="H43" s="83">
        <f t="shared" si="32"/>
        <v>0.37180528632</v>
      </c>
      <c r="I43" s="83"/>
      <c r="J43" s="83"/>
      <c r="K43" s="83">
        <f t="shared" si="33"/>
        <v>3.7180528632</v>
      </c>
      <c r="L43" s="83">
        <f t="shared" si="34"/>
        <v>0.37180528632</v>
      </c>
      <c r="M43" s="83">
        <f>G43/100*15*0.855*0.6*0.388*0.08</f>
        <v>0.43191751824</v>
      </c>
      <c r="N43" s="83">
        <f>G43/100*15*0.855*0.6*0.388*0.8</f>
        <v>4.3191751824</v>
      </c>
      <c r="O43" s="83">
        <f t="shared" si="35"/>
        <v>0.43191751824</v>
      </c>
      <c r="P43" s="83">
        <f t="shared" si="36"/>
        <v>1.4833249821</v>
      </c>
      <c r="Q43" s="83">
        <f t="shared" si="37"/>
        <v>0.1447146324</v>
      </c>
      <c r="R43" s="83">
        <f t="shared" si="38"/>
        <v>0.1447146324</v>
      </c>
      <c r="S43" s="83">
        <f t="shared" si="39"/>
        <v>1.67729824899</v>
      </c>
      <c r="T43" s="83"/>
      <c r="U43" s="82"/>
      <c r="V43" s="108"/>
    </row>
    <row r="44" ht="16.5" spans="1:22">
      <c r="A44" s="79">
        <v>39</v>
      </c>
      <c r="B44" s="88"/>
      <c r="C44" s="88"/>
      <c r="D44" s="93"/>
      <c r="E44" s="94"/>
      <c r="F44" s="83" t="s">
        <v>156</v>
      </c>
      <c r="G44" s="83">
        <v>598.87</v>
      </c>
      <c r="H44" s="83">
        <f t="shared" si="32"/>
        <v>1.23133900248</v>
      </c>
      <c r="I44" s="83"/>
      <c r="J44" s="83"/>
      <c r="K44" s="83">
        <f t="shared" si="33"/>
        <v>12.3133900248</v>
      </c>
      <c r="L44" s="83">
        <f t="shared" si="34"/>
        <v>1.23133900248</v>
      </c>
      <c r="M44" s="102">
        <f t="shared" ref="M44:M47" si="40">G44/100*15*0.855*0.6*0.388*0.8</f>
        <v>14.3041776336</v>
      </c>
      <c r="N44" s="102">
        <f t="shared" ref="N44:N47" si="41">G44/100*15*0.855*0.6*0.388*0.08</f>
        <v>1.43041776336</v>
      </c>
      <c r="O44" s="102">
        <f t="shared" si="35"/>
        <v>1.43041776336</v>
      </c>
      <c r="P44" s="83">
        <f t="shared" si="36"/>
        <v>4.9124527569</v>
      </c>
      <c r="Q44" s="83">
        <f t="shared" si="37"/>
        <v>0.4792636836</v>
      </c>
      <c r="R44" s="83">
        <f t="shared" si="38"/>
        <v>0.4792636836</v>
      </c>
      <c r="S44" s="83">
        <f t="shared" si="39"/>
        <v>5.55485042511</v>
      </c>
      <c r="T44" s="83"/>
      <c r="U44" s="82"/>
      <c r="V44" s="108"/>
    </row>
    <row r="45" ht="16.5" spans="1:22">
      <c r="A45" s="79">
        <v>40</v>
      </c>
      <c r="B45" s="88"/>
      <c r="C45" s="88"/>
      <c r="D45" s="93"/>
      <c r="E45" s="93" t="s">
        <v>157</v>
      </c>
      <c r="F45" s="83" t="s">
        <v>158</v>
      </c>
      <c r="G45" s="83">
        <v>1687.78</v>
      </c>
      <c r="H45" s="83">
        <f t="shared" si="32"/>
        <v>3.47025120912</v>
      </c>
      <c r="I45" s="83"/>
      <c r="J45" s="83">
        <f t="shared" ref="J45:J49" si="42">G45/100*15*0.855*0.6*0.334*0.8*1</f>
        <v>34.7025120912</v>
      </c>
      <c r="K45" s="83"/>
      <c r="L45" s="83">
        <f t="shared" si="34"/>
        <v>3.47025120912</v>
      </c>
      <c r="M45" s="102">
        <f t="shared" si="40"/>
        <v>40.3130978784</v>
      </c>
      <c r="N45" s="102">
        <f t="shared" si="41"/>
        <v>4.03130978784</v>
      </c>
      <c r="O45" s="102">
        <f t="shared" si="35"/>
        <v>4.03130978784</v>
      </c>
      <c r="P45" s="83">
        <f t="shared" si="36"/>
        <v>13.8446399286</v>
      </c>
      <c r="Q45" s="83">
        <f t="shared" si="37"/>
        <v>1.3506965784</v>
      </c>
      <c r="R45" s="83">
        <f t="shared" si="38"/>
        <v>1.3506965784</v>
      </c>
      <c r="S45" s="83">
        <f t="shared" si="39"/>
        <v>15.65509284234</v>
      </c>
      <c r="T45" s="83"/>
      <c r="U45" s="82"/>
      <c r="V45" s="108"/>
    </row>
    <row r="46" ht="16.5" spans="1:22">
      <c r="A46" s="79">
        <v>41</v>
      </c>
      <c r="B46" s="88"/>
      <c r="C46" s="88"/>
      <c r="D46" s="93"/>
      <c r="E46" s="94"/>
      <c r="F46" s="83" t="s">
        <v>159</v>
      </c>
      <c r="G46" s="83">
        <v>33.24</v>
      </c>
      <c r="H46" s="83">
        <f t="shared" ref="H46:H53" si="43">G46/100*15*0.855*0.6*0.334*0.08*0.2</f>
        <v>0.013668979392</v>
      </c>
      <c r="I46" s="83"/>
      <c r="J46" s="83"/>
      <c r="K46" s="83">
        <f t="shared" ref="K46:K50" si="44">G46/100*15*0.855*0.6*0.334*0.8*0.2</f>
        <v>0.13668979392</v>
      </c>
      <c r="L46" s="83">
        <f t="shared" ref="L46:L53" si="45">G46/100*15*0.855*0.6*0.334*0.08*0.2</f>
        <v>0.013668979392</v>
      </c>
      <c r="M46" s="102">
        <f>G46/100*15*0.855*0.6*0.388*0.8*0.4</f>
        <v>0.31757868288</v>
      </c>
      <c r="N46" s="102">
        <f>G46/100*15*0.855*0.6*0.388*0.08*0.4</f>
        <v>0.031757868288</v>
      </c>
      <c r="O46" s="102">
        <f>G46/100*15*0.855*0.6*0.388*0.08*0.4</f>
        <v>0.031757868288</v>
      </c>
      <c r="P46" s="83">
        <f>G46/100*5*0.7*0.6*0.13*0.82*0.2</f>
        <v>0.0148822128</v>
      </c>
      <c r="Q46" s="83">
        <f>G46/100*5*0.7*0.6*0.13*0.08*0.2</f>
        <v>0.0014519232</v>
      </c>
      <c r="R46" s="83">
        <f>G46/100*5*0.7*0.6*0.13*0.08*0.2</f>
        <v>0.0014519232</v>
      </c>
      <c r="S46" s="83">
        <f t="shared" ref="S46:S53" si="46">G46/100*15*0.855*0.6*0.147*0.82*0.2</f>
        <v>0.061663876344</v>
      </c>
      <c r="T46" s="83"/>
      <c r="U46" s="82"/>
      <c r="V46" s="108"/>
    </row>
    <row r="47" ht="16.5" spans="1:22">
      <c r="A47" s="79">
        <v>42</v>
      </c>
      <c r="B47" s="88"/>
      <c r="C47" s="88"/>
      <c r="D47" s="93"/>
      <c r="E47" s="93" t="s">
        <v>160</v>
      </c>
      <c r="F47" s="83" t="s">
        <v>158</v>
      </c>
      <c r="G47" s="83">
        <v>1191.9</v>
      </c>
      <c r="H47" s="83">
        <f>G47/100*15*0.855*0.6*0.334*0.08*1</f>
        <v>2.4506703576</v>
      </c>
      <c r="I47" s="83"/>
      <c r="J47" s="83">
        <f t="shared" si="42"/>
        <v>24.506703576</v>
      </c>
      <c r="K47" s="83"/>
      <c r="L47" s="83">
        <f>G47/100*15*0.855*0.6*0.334*0.08*1</f>
        <v>2.4506703576</v>
      </c>
      <c r="M47" s="102">
        <f t="shared" si="40"/>
        <v>28.468865232</v>
      </c>
      <c r="N47" s="102">
        <f t="shared" si="41"/>
        <v>2.8468865232</v>
      </c>
      <c r="O47" s="102">
        <f>G47/100*15*0.855*0.6*0.388*0.08</f>
        <v>2.8468865232</v>
      </c>
      <c r="P47" s="83">
        <f>G47/100*15*0.855*0.6*0.13*0.82</f>
        <v>9.777000753</v>
      </c>
      <c r="Q47" s="83">
        <f>G47/100*15*0.855*0.6*0.13*0.08</f>
        <v>0.953853732</v>
      </c>
      <c r="R47" s="83">
        <f>G47/100*15*0.855*0.6*0.13*0.08</f>
        <v>0.953853732</v>
      </c>
      <c r="S47" s="83">
        <f>G47/100*15*0.855*0.6*0.147*0.82</f>
        <v>11.0555316207</v>
      </c>
      <c r="T47" s="83"/>
      <c r="U47" s="82"/>
      <c r="V47" s="108"/>
    </row>
    <row r="48" ht="16.5" spans="1:22">
      <c r="A48" s="79">
        <v>43</v>
      </c>
      <c r="B48" s="88"/>
      <c r="C48" s="88"/>
      <c r="D48" s="93"/>
      <c r="E48" s="94"/>
      <c r="F48" s="83" t="s">
        <v>159</v>
      </c>
      <c r="G48" s="83">
        <v>33.24</v>
      </c>
      <c r="H48" s="83">
        <f t="shared" si="43"/>
        <v>0.013668979392</v>
      </c>
      <c r="I48" s="83"/>
      <c r="J48" s="83"/>
      <c r="K48" s="83">
        <f t="shared" si="44"/>
        <v>0.13668979392</v>
      </c>
      <c r="L48" s="83">
        <f t="shared" si="45"/>
        <v>0.013668979392</v>
      </c>
      <c r="M48" s="102">
        <f>G48/100*15*0.855*0.6*0.388*0.8*0.4</f>
        <v>0.31757868288</v>
      </c>
      <c r="N48" s="102">
        <f>G48/100*15*0.855*0.6*0.388*0.08*0.4</f>
        <v>0.031757868288</v>
      </c>
      <c r="O48" s="102">
        <f>G48/100*15*0.855*0.6*0.388*0.08*0.4</f>
        <v>0.031757868288</v>
      </c>
      <c r="P48" s="83">
        <f>G48/100*15*0.855*0.6*0.13*0.82*0.4</f>
        <v>0.10906535952</v>
      </c>
      <c r="Q48" s="83">
        <f t="shared" ref="Q48:Q53" si="47">G48/100*15*0.855*0.6*0.13*0.08*0.2</f>
        <v>0.00532026144</v>
      </c>
      <c r="R48" s="83">
        <f t="shared" ref="R48:R53" si="48">G48/100*15*0.855*0.6*0.13*0.08*0.2</f>
        <v>0.00532026144</v>
      </c>
      <c r="S48" s="83">
        <f t="shared" si="46"/>
        <v>0.061663876344</v>
      </c>
      <c r="T48" s="83"/>
      <c r="U48" s="82"/>
      <c r="V48" s="108"/>
    </row>
    <row r="49" ht="16.5" spans="1:22">
      <c r="A49" s="79">
        <v>44</v>
      </c>
      <c r="B49" s="88"/>
      <c r="C49" s="88"/>
      <c r="D49" s="93"/>
      <c r="E49" s="84" t="s">
        <v>161</v>
      </c>
      <c r="F49" s="83" t="s">
        <v>162</v>
      </c>
      <c r="G49" s="95">
        <v>965.58</v>
      </c>
      <c r="H49" s="83">
        <f>G49/100*15*0.855*0.6*0.334*0.08*1</f>
        <v>1.98533290032</v>
      </c>
      <c r="I49" s="83"/>
      <c r="J49" s="83">
        <f t="shared" si="42"/>
        <v>19.8533290032</v>
      </c>
      <c r="K49" s="83"/>
      <c r="L49" s="83">
        <f>G49/100*15*0.855*0.6*0.334*0.08*1</f>
        <v>1.98533290032</v>
      </c>
      <c r="M49" s="102">
        <f>G49/100*15*0.855*0.6*0.388*0.8</f>
        <v>23.0631486624</v>
      </c>
      <c r="N49" s="102">
        <f>G49/100*15*0.855*0.6*0.388*0.08</f>
        <v>2.30631486624</v>
      </c>
      <c r="O49" s="102">
        <f>G49/100*15*0.855*0.6*0.388*0.08</f>
        <v>2.30631486624</v>
      </c>
      <c r="P49" s="83">
        <f>G49/100*15*0.855*0.6*0.13*0.82</f>
        <v>7.9205272146</v>
      </c>
      <c r="Q49" s="83">
        <f>G49/100*15*0.855*0.6*0.13*0.08</f>
        <v>0.7727343624</v>
      </c>
      <c r="R49" s="83">
        <f>G49/100*15*0.855*0.6*0.13*0.08</f>
        <v>0.7727343624</v>
      </c>
      <c r="S49" s="83">
        <f>G49/100*15*0.855*0.6*0.147*0.82</f>
        <v>8.95628846574</v>
      </c>
      <c r="T49" s="83"/>
      <c r="U49" s="82"/>
      <c r="V49" s="108"/>
    </row>
    <row r="50" ht="16.5" spans="1:22">
      <c r="A50" s="79">
        <v>45</v>
      </c>
      <c r="B50" s="88"/>
      <c r="C50" s="88"/>
      <c r="D50" s="93"/>
      <c r="E50" s="93"/>
      <c r="F50" s="83" t="s">
        <v>159</v>
      </c>
      <c r="G50" s="83">
        <v>33.24</v>
      </c>
      <c r="H50" s="83">
        <f t="shared" si="43"/>
        <v>0.013668979392</v>
      </c>
      <c r="I50" s="83"/>
      <c r="J50" s="83"/>
      <c r="K50" s="83">
        <f t="shared" si="44"/>
        <v>0.13668979392</v>
      </c>
      <c r="L50" s="83">
        <f t="shared" si="45"/>
        <v>0.013668979392</v>
      </c>
      <c r="M50" s="102">
        <f>G50/100*15*0.855*0.6*0.388*0.8*0.4</f>
        <v>0.31757868288</v>
      </c>
      <c r="N50" s="102">
        <f>G50/100*15*0.855*0.6*0.388*0.08*0.4</f>
        <v>0.031757868288</v>
      </c>
      <c r="O50" s="102">
        <f>G50/100*15*0.855*0.6*0.388*0.08*0.4</f>
        <v>0.031757868288</v>
      </c>
      <c r="P50" s="83">
        <f t="shared" ref="P48:P53" si="49">G50/100*15*0.855*0.6*0.13*0.82*0.2</f>
        <v>0.05453267976</v>
      </c>
      <c r="Q50" s="83">
        <f t="shared" si="47"/>
        <v>0.00532026144</v>
      </c>
      <c r="R50" s="83">
        <f t="shared" si="48"/>
        <v>0.00532026144</v>
      </c>
      <c r="S50" s="83">
        <f t="shared" si="46"/>
        <v>0.061663876344</v>
      </c>
      <c r="T50" s="83"/>
      <c r="U50" s="82"/>
      <c r="V50" s="108"/>
    </row>
    <row r="51" ht="16.5" spans="1:22">
      <c r="A51" s="79">
        <v>46</v>
      </c>
      <c r="B51" s="88"/>
      <c r="C51" s="88"/>
      <c r="D51" s="93"/>
      <c r="E51" s="93"/>
      <c r="F51" s="83" t="s">
        <v>163</v>
      </c>
      <c r="G51" s="95">
        <v>754.38</v>
      </c>
      <c r="H51" s="83">
        <f t="shared" si="43"/>
        <v>0.310216747104</v>
      </c>
      <c r="I51" s="83"/>
      <c r="J51" s="83">
        <f t="shared" ref="J51:J56" si="50">G51/100*15*0.855*0.6*0.334*0.8*0.2</f>
        <v>3.10216747104</v>
      </c>
      <c r="K51" s="83"/>
      <c r="L51" s="83">
        <f t="shared" si="45"/>
        <v>0.310216747104</v>
      </c>
      <c r="M51" s="83">
        <f>G51/100*15*0.855*0.6*0.388*0.08*0.4</f>
        <v>0.720743101056</v>
      </c>
      <c r="N51" s="83">
        <f>G51/100*15*0.855*0.6*0.388*0.8*0.2</f>
        <v>3.60371550528</v>
      </c>
      <c r="O51" s="83">
        <f>G51/100*15*0.855*0.6*0.388*0.08*0.4</f>
        <v>0.720743101056</v>
      </c>
      <c r="P51" s="83">
        <f>G51/100*15*0.855*0.6*0.13*0.82*0.4</f>
        <v>2.47523242824</v>
      </c>
      <c r="Q51" s="83">
        <f t="shared" si="47"/>
        <v>0.12074304528</v>
      </c>
      <c r="R51" s="83">
        <f t="shared" si="48"/>
        <v>0.12074304528</v>
      </c>
      <c r="S51" s="83">
        <f t="shared" si="46"/>
        <v>1.399458334428</v>
      </c>
      <c r="T51" s="83"/>
      <c r="U51" s="82"/>
      <c r="V51" s="108"/>
    </row>
    <row r="52" ht="16.5" spans="1:22">
      <c r="A52" s="79">
        <v>47</v>
      </c>
      <c r="B52" s="88"/>
      <c r="C52" s="88"/>
      <c r="D52" s="93"/>
      <c r="E52" s="93"/>
      <c r="F52" s="83" t="s">
        <v>164</v>
      </c>
      <c r="G52" s="95">
        <v>134.2</v>
      </c>
      <c r="H52" s="83">
        <f t="shared" si="43"/>
        <v>0.05518583136</v>
      </c>
      <c r="I52" s="83"/>
      <c r="J52" s="83"/>
      <c r="K52" s="83">
        <f>G52/100*15*0.855*0.6*0.334*0.8*0.2</f>
        <v>0.5518583136</v>
      </c>
      <c r="L52" s="83">
        <f t="shared" si="45"/>
        <v>0.05518583136</v>
      </c>
      <c r="M52" s="83">
        <f>G52/100*15*0.855*0.6*0.388*0.08*0.2</f>
        <v>0.06410809152</v>
      </c>
      <c r="N52" s="83">
        <f>G52/100*15*0.855*0.6*0.388*0.8*0.4</f>
        <v>1.2821618304</v>
      </c>
      <c r="O52" s="83">
        <f>G52/100*15*0.855*0.6*0.388*0.08*0.2</f>
        <v>0.06410809152</v>
      </c>
      <c r="P52" s="83">
        <f t="shared" si="49"/>
        <v>0.2201650308</v>
      </c>
      <c r="Q52" s="83">
        <f t="shared" si="47"/>
        <v>0.0214795152</v>
      </c>
      <c r="R52" s="83">
        <f t="shared" si="48"/>
        <v>0.0214795152</v>
      </c>
      <c r="S52" s="83">
        <f t="shared" si="46"/>
        <v>0.24895584252</v>
      </c>
      <c r="T52" s="83"/>
      <c r="U52" s="82"/>
      <c r="V52" s="108"/>
    </row>
    <row r="53" ht="16.5" spans="1:22">
      <c r="A53" s="79">
        <v>48</v>
      </c>
      <c r="B53" s="88"/>
      <c r="C53" s="88"/>
      <c r="D53" s="94"/>
      <c r="E53" s="94"/>
      <c r="F53" s="83" t="s">
        <v>165</v>
      </c>
      <c r="G53" s="95">
        <v>598.87</v>
      </c>
      <c r="H53" s="95">
        <f t="shared" si="43"/>
        <v>0.246267800496</v>
      </c>
      <c r="I53" s="95"/>
      <c r="J53" s="95"/>
      <c r="K53" s="83">
        <f>G53/100*15*0.855*0.6*0.334*0.8*0.2</f>
        <v>2.46267800496</v>
      </c>
      <c r="L53" s="83">
        <f t="shared" si="45"/>
        <v>0.246267800496</v>
      </c>
      <c r="M53" s="102">
        <f>G53/100*15*0.855*0.6*0.388*0.8*0.4</f>
        <v>5.72167105344</v>
      </c>
      <c r="N53" s="102">
        <f>G53/100*15*0.855*0.6*0.388*0.08*0.4</f>
        <v>0.572167105344</v>
      </c>
      <c r="O53" s="102">
        <f>G53/100*15*0.855*0.6*0.388*0.08*0.4</f>
        <v>0.572167105344</v>
      </c>
      <c r="P53" s="83">
        <f t="shared" si="49"/>
        <v>0.98249055138</v>
      </c>
      <c r="Q53" s="83">
        <f t="shared" si="47"/>
        <v>0.09585273672</v>
      </c>
      <c r="R53" s="83">
        <f t="shared" si="48"/>
        <v>0.09585273672</v>
      </c>
      <c r="S53" s="83">
        <f t="shared" si="46"/>
        <v>1.110970085022</v>
      </c>
      <c r="T53" s="83"/>
      <c r="U53" s="82"/>
      <c r="V53" s="108"/>
    </row>
    <row r="54" ht="16.5" spans="1:22">
      <c r="A54" s="79">
        <v>49</v>
      </c>
      <c r="B54" s="88"/>
      <c r="C54" s="88"/>
      <c r="D54" s="85" t="s">
        <v>166</v>
      </c>
      <c r="E54" s="96" t="s">
        <v>145</v>
      </c>
      <c r="F54" s="83" t="s">
        <v>7</v>
      </c>
      <c r="G54" s="83">
        <f>SUM(G55:G70)</f>
        <v>8032.39</v>
      </c>
      <c r="H54" s="83">
        <f>G54/100*15*0.145*0.7*0.43*0.08*1</f>
        <v>4.2068839386</v>
      </c>
      <c r="I54" s="95"/>
      <c r="J54" s="95">
        <f>G54/100*15*0.145*0.7*0.43*0.8*1</f>
        <v>42.068839386</v>
      </c>
      <c r="K54" s="83"/>
      <c r="L54" s="83">
        <f>G54/100*15*0.145*0.7*0.43*0.08*1</f>
        <v>4.2068839386</v>
      </c>
      <c r="M54" s="83">
        <f>G54/100*15*0.145*0.7*0.04*0.8</f>
        <v>3.913380408</v>
      </c>
      <c r="N54" s="83"/>
      <c r="O54" s="83"/>
      <c r="P54" s="83">
        <f>G54/100*15*0.145*0.7*0.36*0.82</f>
        <v>36.1009342638</v>
      </c>
      <c r="Q54" s="83">
        <f>G54/100*15*0.145*0.7*0.36*0.08</f>
        <v>3.5220423672</v>
      </c>
      <c r="R54" s="83">
        <f>G54/100*15*0.145*0.7*0.36*0.08</f>
        <v>3.5220423672</v>
      </c>
      <c r="S54" s="83">
        <f>G54/100*15*0.145*0.7*0.17*0.82</f>
        <v>17.04766340235</v>
      </c>
      <c r="T54" s="83"/>
      <c r="U54" s="82"/>
      <c r="V54" s="108"/>
    </row>
    <row r="55" ht="16.5" spans="1:22">
      <c r="A55" s="79">
        <v>50</v>
      </c>
      <c r="B55" s="88"/>
      <c r="C55" s="88"/>
      <c r="D55" s="88"/>
      <c r="E55" s="96"/>
      <c r="F55" s="83" t="s">
        <v>167</v>
      </c>
      <c r="G55" s="83">
        <v>754.29</v>
      </c>
      <c r="H55" s="83">
        <f>G55/100*15*0.855*0.6*0.334*0.08*1</f>
        <v>1.55089868616</v>
      </c>
      <c r="I55" s="83"/>
      <c r="J55" s="83">
        <f t="shared" si="50"/>
        <v>3.10179737232</v>
      </c>
      <c r="K55" s="83"/>
      <c r="L55" s="83">
        <f>G55/100*15*0.855*0.6*0.334*0.08*1</f>
        <v>1.55089868616</v>
      </c>
      <c r="M55" s="102">
        <f>G55/100*15*0.855*0.6*0.388*0.8*0.4</f>
        <v>7.20657114048</v>
      </c>
      <c r="N55" s="102">
        <f>G55/100*15*0.855*0.6*0.388*0.08*0.4</f>
        <v>0.720657114048</v>
      </c>
      <c r="O55" s="102">
        <f>G55/100*15*0.855*0.6*0.388*0.08*0.4</f>
        <v>0.720657114048</v>
      </c>
      <c r="P55" s="83">
        <f t="shared" ref="P55:P70" si="51">G55/100*15*0.855*0.6*0.13*0.82*0.2</f>
        <v>1.23746856246</v>
      </c>
      <c r="Q55" s="83">
        <f t="shared" ref="Q55:Q70" si="52">G55/100*15*0.855*0.6*0.13*0.08*0.2</f>
        <v>0.12072864024</v>
      </c>
      <c r="R55" s="83">
        <f t="shared" ref="R55:R70" si="53">G55/100*15*0.855*0.6*0.13*0.08*0.2</f>
        <v>0.12072864024</v>
      </c>
      <c r="S55" s="83">
        <f t="shared" ref="S55:S70" si="54">G55/100*15*0.855*0.6*0.147*0.82*0.2</f>
        <v>1.399291374474</v>
      </c>
      <c r="T55" s="83"/>
      <c r="U55" s="82"/>
      <c r="V55" s="108"/>
    </row>
    <row r="56" ht="16.5" spans="1:22">
      <c r="A56" s="79">
        <v>51</v>
      </c>
      <c r="B56" s="88"/>
      <c r="C56" s="88"/>
      <c r="D56" s="88"/>
      <c r="E56" s="96"/>
      <c r="F56" s="83" t="s">
        <v>163</v>
      </c>
      <c r="G56" s="83">
        <v>754.38</v>
      </c>
      <c r="H56" s="83">
        <f t="shared" ref="H56:H70" si="55">G56/100*15*0.855*0.6*0.334*0.08*0.2</f>
        <v>0.310216747104</v>
      </c>
      <c r="I56" s="83"/>
      <c r="J56" s="83">
        <f t="shared" si="50"/>
        <v>3.10216747104</v>
      </c>
      <c r="K56" s="83"/>
      <c r="L56" s="83">
        <f t="shared" ref="L56:L70" si="56">G56/100*15*0.855*0.6*0.334*0.08*0.2</f>
        <v>0.310216747104</v>
      </c>
      <c r="M56" s="83">
        <f>G56/100*15*0.855*0.6*0.388*0.08*0.2</f>
        <v>0.360371550528</v>
      </c>
      <c r="N56" s="83">
        <f>G56/100*15*0.855*0.6*0.388*0.8*0.4</f>
        <v>7.20743101056</v>
      </c>
      <c r="O56" s="83">
        <f t="shared" ref="O55:O70" si="57">G56/100*15*0.855*0.6*0.388*0.08*0.2</f>
        <v>0.360371550528</v>
      </c>
      <c r="P56" s="83">
        <f t="shared" si="51"/>
        <v>1.23761621412</v>
      </c>
      <c r="Q56" s="83">
        <f t="shared" si="52"/>
        <v>0.12074304528</v>
      </c>
      <c r="R56" s="83">
        <f t="shared" si="53"/>
        <v>0.12074304528</v>
      </c>
      <c r="S56" s="83">
        <f t="shared" si="54"/>
        <v>1.399458334428</v>
      </c>
      <c r="T56" s="83"/>
      <c r="U56" s="82"/>
      <c r="V56" s="108"/>
    </row>
    <row r="57" ht="16.5" spans="1:22">
      <c r="A57" s="79">
        <v>52</v>
      </c>
      <c r="B57" s="88"/>
      <c r="C57" s="88"/>
      <c r="D57" s="88"/>
      <c r="E57" s="96"/>
      <c r="F57" s="83" t="s">
        <v>168</v>
      </c>
      <c r="G57" s="83">
        <v>191.84</v>
      </c>
      <c r="H57" s="83">
        <f>G57/100*15*0.855*0.6*0.334*0.08*1.3</f>
        <v>0.512775888768</v>
      </c>
      <c r="I57" s="83"/>
      <c r="J57" s="83"/>
      <c r="K57" s="83">
        <f>G57/100*15*0.855*0.6*0.334*0.8*1.3</f>
        <v>5.12775888768</v>
      </c>
      <c r="L57" s="83">
        <f>G57/100*15*0.855*0.6*0.334*0.08*1.3</f>
        <v>0.512775888768</v>
      </c>
      <c r="M57" s="83">
        <f>G57/100*15*0.855*0.6*0.388*0.08*1.3*0.4</f>
        <v>0.2382719099904</v>
      </c>
      <c r="N57" s="83">
        <f>G57/100*15*0.855*0.6*0.388*0.8*1.3*0.3</f>
        <v>1.787039324928</v>
      </c>
      <c r="O57" s="83">
        <f>G57/100*15*0.855*0.6*0.388*0.08*1.3*0.4</f>
        <v>0.2382719099904</v>
      </c>
      <c r="P57" s="83">
        <f>G57/100*15*0.7*0.6*0.13*0.82*1.3*0.2</f>
        <v>0.33497335872</v>
      </c>
      <c r="Q57" s="83">
        <f>G57/100*15*0.7*0.6*0.13*0.08*1.3*0.2</f>
        <v>0.03268032768</v>
      </c>
      <c r="R57" s="83">
        <f>G57/100*15*0.7*0.6*0.13*0.08*1.3*0.2</f>
        <v>0.03268032768</v>
      </c>
      <c r="S57" s="83">
        <f>G57/100*15*0.855*0.6*0.147*0.82*1.3*0.2</f>
        <v>0.4626497427552</v>
      </c>
      <c r="T57" s="83"/>
      <c r="U57" s="82"/>
      <c r="V57" s="108"/>
    </row>
    <row r="58" ht="16.5" spans="1:22">
      <c r="A58" s="79">
        <v>53</v>
      </c>
      <c r="B58" s="88"/>
      <c r="C58" s="88"/>
      <c r="D58" s="88"/>
      <c r="E58" s="96"/>
      <c r="F58" s="83" t="s">
        <v>164</v>
      </c>
      <c r="G58" s="83">
        <v>134.2</v>
      </c>
      <c r="H58" s="83">
        <f t="shared" si="55"/>
        <v>0.05518583136</v>
      </c>
      <c r="I58" s="83"/>
      <c r="J58" s="83"/>
      <c r="K58" s="83">
        <f t="shared" ref="K58:K63" si="58">G58/100*15*0.855*0.6*0.334*0.8*0.2</f>
        <v>0.5518583136</v>
      </c>
      <c r="L58" s="83">
        <f t="shared" si="56"/>
        <v>0.05518583136</v>
      </c>
      <c r="M58" s="83">
        <f t="shared" ref="M58:M62" si="59">G58/100*15*0.855*0.6*0.388*0.08*0.2</f>
        <v>0.06410809152</v>
      </c>
      <c r="N58" s="83">
        <f>G58/100*15*0.855*0.6*0.388*0.8*0.4</f>
        <v>1.2821618304</v>
      </c>
      <c r="O58" s="83">
        <f t="shared" si="57"/>
        <v>0.06410809152</v>
      </c>
      <c r="P58" s="83">
        <f t="shared" si="51"/>
        <v>0.2201650308</v>
      </c>
      <c r="Q58" s="83">
        <f t="shared" si="52"/>
        <v>0.0214795152</v>
      </c>
      <c r="R58" s="83">
        <f t="shared" si="53"/>
        <v>0.0214795152</v>
      </c>
      <c r="S58" s="83">
        <f t="shared" si="54"/>
        <v>0.24895584252</v>
      </c>
      <c r="T58" s="83"/>
      <c r="U58" s="82"/>
      <c r="V58" s="108"/>
    </row>
    <row r="59" ht="16.5" spans="1:22">
      <c r="A59" s="79">
        <v>54</v>
      </c>
      <c r="B59" s="88"/>
      <c r="C59" s="88"/>
      <c r="D59" s="88"/>
      <c r="E59" s="84" t="s">
        <v>169</v>
      </c>
      <c r="F59" s="83" t="s">
        <v>170</v>
      </c>
      <c r="G59" s="83">
        <v>965.58</v>
      </c>
      <c r="H59" s="83">
        <f t="shared" si="55"/>
        <v>0.397066580064</v>
      </c>
      <c r="I59" s="83"/>
      <c r="J59" s="83">
        <f t="shared" ref="J59:J64" si="60">G59/100*15*0.855*0.6*0.334*0.8*0.2</f>
        <v>3.97066580064</v>
      </c>
      <c r="K59" s="83"/>
      <c r="L59" s="83">
        <f t="shared" si="56"/>
        <v>0.397066580064</v>
      </c>
      <c r="M59" s="102">
        <f>G59/100*15*0.855*0.6*0.388*0.8*0.4</f>
        <v>9.22525946496</v>
      </c>
      <c r="N59" s="102">
        <f>G59/100*15*0.855*0.6*0.388*0.08*0.4</f>
        <v>0.922525946496</v>
      </c>
      <c r="O59" s="102">
        <f>G59/100*15*0.855*0.6*0.388*0.08*0.4</f>
        <v>0.922525946496</v>
      </c>
      <c r="P59" s="83">
        <f t="shared" si="51"/>
        <v>1.58410544292</v>
      </c>
      <c r="Q59" s="83">
        <f t="shared" si="52"/>
        <v>0.15454687248</v>
      </c>
      <c r="R59" s="83">
        <f t="shared" si="53"/>
        <v>0.15454687248</v>
      </c>
      <c r="S59" s="83">
        <f t="shared" si="54"/>
        <v>1.791257693148</v>
      </c>
      <c r="T59" s="83"/>
      <c r="U59" s="82"/>
      <c r="V59" s="108"/>
    </row>
    <row r="60" ht="16.5" spans="1:22">
      <c r="A60" s="79">
        <v>55</v>
      </c>
      <c r="B60" s="88"/>
      <c r="C60" s="88"/>
      <c r="D60" s="88"/>
      <c r="E60" s="93"/>
      <c r="F60" s="83" t="s">
        <v>159</v>
      </c>
      <c r="G60" s="83">
        <v>33.24</v>
      </c>
      <c r="H60" s="83">
        <f t="shared" si="55"/>
        <v>0.013668979392</v>
      </c>
      <c r="I60" s="83"/>
      <c r="J60" s="83"/>
      <c r="K60" s="83">
        <f t="shared" si="58"/>
        <v>0.13668979392</v>
      </c>
      <c r="L60" s="83">
        <f t="shared" si="56"/>
        <v>0.013668979392</v>
      </c>
      <c r="M60" s="102">
        <f>G60/100*15*0.855*0.6*0.388*0.8*0.2</f>
        <v>0.15878934144</v>
      </c>
      <c r="N60" s="102">
        <f>G60/100*15*0.855*0.6*0.388*0.08*0.4</f>
        <v>0.031757868288</v>
      </c>
      <c r="O60" s="102">
        <f t="shared" si="57"/>
        <v>0.015878934144</v>
      </c>
      <c r="P60" s="83">
        <f t="shared" si="51"/>
        <v>0.05453267976</v>
      </c>
      <c r="Q60" s="83">
        <f t="shared" si="52"/>
        <v>0.00532026144</v>
      </c>
      <c r="R60" s="83">
        <f t="shared" si="53"/>
        <v>0.00532026144</v>
      </c>
      <c r="S60" s="83">
        <f t="shared" si="54"/>
        <v>0.061663876344</v>
      </c>
      <c r="T60" s="83"/>
      <c r="U60" s="82"/>
      <c r="V60" s="108"/>
    </row>
    <row r="61" ht="16.5" spans="1:22">
      <c r="A61" s="79">
        <v>56</v>
      </c>
      <c r="B61" s="88"/>
      <c r="C61" s="88"/>
      <c r="D61" s="88"/>
      <c r="E61" s="93"/>
      <c r="F61" s="83" t="s">
        <v>163</v>
      </c>
      <c r="G61" s="83">
        <v>754.38</v>
      </c>
      <c r="H61" s="83">
        <f t="shared" si="55"/>
        <v>0.310216747104</v>
      </c>
      <c r="I61" s="83"/>
      <c r="J61" s="83">
        <f t="shared" si="60"/>
        <v>3.10216747104</v>
      </c>
      <c r="K61" s="83"/>
      <c r="L61" s="83">
        <f t="shared" si="56"/>
        <v>0.310216747104</v>
      </c>
      <c r="M61" s="83">
        <f>G61/100*15*0.855*0.6*0.388*0.08*0.4</f>
        <v>0.720743101056</v>
      </c>
      <c r="N61" s="83">
        <f>G61/100*15*0.855*0.6*0.388*0.8*0.4</f>
        <v>7.20743101056</v>
      </c>
      <c r="O61" s="83">
        <f>G61/100*15*0.855*0.6*0.388*0.08*0.4</f>
        <v>0.720743101056</v>
      </c>
      <c r="P61" s="83">
        <f t="shared" si="51"/>
        <v>1.23761621412</v>
      </c>
      <c r="Q61" s="83">
        <f t="shared" si="52"/>
        <v>0.12074304528</v>
      </c>
      <c r="R61" s="83">
        <f t="shared" si="53"/>
        <v>0.12074304528</v>
      </c>
      <c r="S61" s="83">
        <f t="shared" si="54"/>
        <v>1.399458334428</v>
      </c>
      <c r="T61" s="83"/>
      <c r="U61" s="82"/>
      <c r="V61" s="108"/>
    </row>
    <row r="62" ht="16.5" spans="1:22">
      <c r="A62" s="79">
        <v>57</v>
      </c>
      <c r="B62" s="88"/>
      <c r="C62" s="88"/>
      <c r="D62" s="88"/>
      <c r="E62" s="93"/>
      <c r="F62" s="83" t="s">
        <v>164</v>
      </c>
      <c r="G62" s="83">
        <v>134.2</v>
      </c>
      <c r="H62" s="83">
        <f t="shared" si="55"/>
        <v>0.05518583136</v>
      </c>
      <c r="I62" s="83"/>
      <c r="J62" s="83"/>
      <c r="K62" s="83">
        <f t="shared" si="58"/>
        <v>0.5518583136</v>
      </c>
      <c r="L62" s="83">
        <f t="shared" si="56"/>
        <v>0.05518583136</v>
      </c>
      <c r="M62" s="83">
        <f t="shared" si="59"/>
        <v>0.06410809152</v>
      </c>
      <c r="N62" s="83">
        <f>G62/100*15*0.855*0.6*0.388*0.8*0.4</f>
        <v>1.2821618304</v>
      </c>
      <c r="O62" s="83">
        <f t="shared" si="57"/>
        <v>0.06410809152</v>
      </c>
      <c r="P62" s="83">
        <f t="shared" si="51"/>
        <v>0.2201650308</v>
      </c>
      <c r="Q62" s="83">
        <f t="shared" si="52"/>
        <v>0.0214795152</v>
      </c>
      <c r="R62" s="83">
        <f t="shared" si="53"/>
        <v>0.0214795152</v>
      </c>
      <c r="S62" s="83">
        <f t="shared" si="54"/>
        <v>0.24895584252</v>
      </c>
      <c r="T62" s="83"/>
      <c r="U62" s="82"/>
      <c r="V62" s="108"/>
    </row>
    <row r="63" ht="16.5" spans="1:22">
      <c r="A63" s="79">
        <v>58</v>
      </c>
      <c r="B63" s="88"/>
      <c r="C63" s="88"/>
      <c r="D63" s="88"/>
      <c r="E63" s="94"/>
      <c r="F63" s="83" t="s">
        <v>165</v>
      </c>
      <c r="G63" s="83">
        <v>598.87</v>
      </c>
      <c r="H63" s="95">
        <f t="shared" si="55"/>
        <v>0.246267800496</v>
      </c>
      <c r="I63" s="95"/>
      <c r="J63" s="95"/>
      <c r="K63" s="83">
        <f t="shared" si="58"/>
        <v>2.46267800496</v>
      </c>
      <c r="L63" s="83">
        <f t="shared" si="56"/>
        <v>0.246267800496</v>
      </c>
      <c r="M63" s="102">
        <f>G63/100*15*0.855*0.6*0.388*0.8*0.4</f>
        <v>5.72167105344</v>
      </c>
      <c r="N63" s="102">
        <f>G63/100*15*0.855*0.6*0.388*0.08*0.4</f>
        <v>0.572167105344</v>
      </c>
      <c r="O63" s="102">
        <f>G63/100*15*0.855*0.6*0.388*0.08*0.4</f>
        <v>0.572167105344</v>
      </c>
      <c r="P63" s="83">
        <f t="shared" si="51"/>
        <v>0.98249055138</v>
      </c>
      <c r="Q63" s="83">
        <f t="shared" si="52"/>
        <v>0.09585273672</v>
      </c>
      <c r="R63" s="83">
        <f t="shared" si="53"/>
        <v>0.09585273672</v>
      </c>
      <c r="S63" s="83">
        <f t="shared" si="54"/>
        <v>1.110970085022</v>
      </c>
      <c r="T63" s="83"/>
      <c r="U63" s="82"/>
      <c r="V63" s="108"/>
    </row>
    <row r="64" ht="16.5" spans="1:22">
      <c r="A64" s="79">
        <v>59</v>
      </c>
      <c r="B64" s="88"/>
      <c r="C64" s="88"/>
      <c r="D64" s="88"/>
      <c r="E64" s="93" t="s">
        <v>171</v>
      </c>
      <c r="F64" s="83" t="s">
        <v>172</v>
      </c>
      <c r="G64" s="83">
        <v>1191.9</v>
      </c>
      <c r="H64" s="83">
        <f t="shared" si="55"/>
        <v>0.49013407152</v>
      </c>
      <c r="I64" s="83"/>
      <c r="J64" s="83">
        <f t="shared" si="60"/>
        <v>4.9013407152</v>
      </c>
      <c r="K64" s="83"/>
      <c r="L64" s="83">
        <f t="shared" si="56"/>
        <v>0.49013407152</v>
      </c>
      <c r="M64" s="102">
        <f t="shared" ref="M63:M67" si="61">G64/100*15*0.855*0.6*0.388*0.8*0.2</f>
        <v>5.6937730464</v>
      </c>
      <c r="N64" s="102">
        <f>G64/100*15*0.855*0.6*0.388*0.08*0.4</f>
        <v>1.13875460928</v>
      </c>
      <c r="O64" s="102">
        <f t="shared" si="57"/>
        <v>0.56937730464</v>
      </c>
      <c r="P64" s="83">
        <f t="shared" si="51"/>
        <v>1.9554001506</v>
      </c>
      <c r="Q64" s="83">
        <f t="shared" si="52"/>
        <v>0.1907707464</v>
      </c>
      <c r="R64" s="83">
        <f t="shared" si="53"/>
        <v>0.1907707464</v>
      </c>
      <c r="S64" s="83">
        <f t="shared" si="54"/>
        <v>2.21110632414</v>
      </c>
      <c r="T64" s="83"/>
      <c r="U64" s="82"/>
      <c r="V64" s="108"/>
    </row>
    <row r="65" ht="16.5" spans="1:22">
      <c r="A65" s="79">
        <v>60</v>
      </c>
      <c r="B65" s="88"/>
      <c r="C65" s="88"/>
      <c r="D65" s="88"/>
      <c r="E65" s="94"/>
      <c r="F65" s="83" t="s">
        <v>159</v>
      </c>
      <c r="G65" s="83">
        <v>33.24</v>
      </c>
      <c r="H65" s="83">
        <f t="shared" si="55"/>
        <v>0.013668979392</v>
      </c>
      <c r="I65" s="83"/>
      <c r="J65" s="83"/>
      <c r="K65" s="83">
        <f t="shared" ref="K65:K70" si="62">G65/100*15*0.855*0.6*0.334*0.8*0.2</f>
        <v>0.13668979392</v>
      </c>
      <c r="L65" s="83">
        <f t="shared" si="56"/>
        <v>0.013668979392</v>
      </c>
      <c r="M65" s="102">
        <f>G65/100*15*0.855*0.6*0.388*0.8*0.4</f>
        <v>0.31757868288</v>
      </c>
      <c r="N65" s="102">
        <f>G65/100*15*0.855*0.6*0.388*0.08*0.4</f>
        <v>0.031757868288</v>
      </c>
      <c r="O65" s="102">
        <f>G65/100*15*0.855*0.6*0.388*0.08*0.4</f>
        <v>0.031757868288</v>
      </c>
      <c r="P65" s="83">
        <f t="shared" si="51"/>
        <v>0.05453267976</v>
      </c>
      <c r="Q65" s="83">
        <f t="shared" si="52"/>
        <v>0.00532026144</v>
      </c>
      <c r="R65" s="83">
        <f t="shared" si="53"/>
        <v>0.00532026144</v>
      </c>
      <c r="S65" s="83">
        <f t="shared" si="54"/>
        <v>0.061663876344</v>
      </c>
      <c r="T65" s="83"/>
      <c r="U65" s="82"/>
      <c r="V65" s="108"/>
    </row>
    <row r="66" ht="16.5" spans="1:22">
      <c r="A66" s="79">
        <v>61</v>
      </c>
      <c r="B66" s="88"/>
      <c r="C66" s="88"/>
      <c r="D66" s="88"/>
      <c r="E66" s="93" t="s">
        <v>173</v>
      </c>
      <c r="F66" s="83" t="s">
        <v>170</v>
      </c>
      <c r="G66" s="95">
        <v>965.58</v>
      </c>
      <c r="H66" s="83">
        <f t="shared" si="55"/>
        <v>0.397066580064</v>
      </c>
      <c r="I66" s="83"/>
      <c r="J66" s="83">
        <f>G66/100*15*0.855*0.6*0.334*0.8*0.2</f>
        <v>3.97066580064</v>
      </c>
      <c r="K66" s="83"/>
      <c r="L66" s="83">
        <f t="shared" si="56"/>
        <v>0.397066580064</v>
      </c>
      <c r="M66" s="102">
        <f t="shared" si="61"/>
        <v>4.61262973248</v>
      </c>
      <c r="N66" s="102">
        <f>G66/100*15*0.855*0.6*0.388*0.08*0.4</f>
        <v>0.922525946496</v>
      </c>
      <c r="O66" s="102">
        <f t="shared" si="57"/>
        <v>0.461262973248</v>
      </c>
      <c r="P66" s="83">
        <f t="shared" si="51"/>
        <v>1.58410544292</v>
      </c>
      <c r="Q66" s="83">
        <f t="shared" si="52"/>
        <v>0.15454687248</v>
      </c>
      <c r="R66" s="83">
        <f t="shared" si="53"/>
        <v>0.15454687248</v>
      </c>
      <c r="S66" s="83">
        <f t="shared" si="54"/>
        <v>1.791257693148</v>
      </c>
      <c r="T66" s="83"/>
      <c r="U66" s="82"/>
      <c r="V66" s="108"/>
    </row>
    <row r="67" ht="16.5" spans="1:22">
      <c r="A67" s="79">
        <v>62</v>
      </c>
      <c r="B67" s="88"/>
      <c r="C67" s="88"/>
      <c r="D67" s="88"/>
      <c r="E67" s="93"/>
      <c r="F67" s="83" t="s">
        <v>159</v>
      </c>
      <c r="G67" s="83">
        <v>33.24</v>
      </c>
      <c r="H67" s="83">
        <f t="shared" si="55"/>
        <v>0.013668979392</v>
      </c>
      <c r="I67" s="83"/>
      <c r="J67" s="83"/>
      <c r="K67" s="83">
        <f t="shared" si="62"/>
        <v>0.13668979392</v>
      </c>
      <c r="L67" s="83">
        <f t="shared" si="56"/>
        <v>0.013668979392</v>
      </c>
      <c r="M67" s="102">
        <f>G67/100*15*0.855*0.6*0.388*0.8*0.4</f>
        <v>0.31757868288</v>
      </c>
      <c r="N67" s="102">
        <f>G67/100*15*0.855*0.6*0.388*0.08*0.2</f>
        <v>0.015878934144</v>
      </c>
      <c r="O67" s="102">
        <f>G67/100*15*0.855*0.6*0.388*0.08*0.4</f>
        <v>0.031757868288</v>
      </c>
      <c r="P67" s="83">
        <f t="shared" si="51"/>
        <v>0.05453267976</v>
      </c>
      <c r="Q67" s="83">
        <f t="shared" si="52"/>
        <v>0.00532026144</v>
      </c>
      <c r="R67" s="83">
        <f t="shared" si="53"/>
        <v>0.00532026144</v>
      </c>
      <c r="S67" s="83">
        <f t="shared" si="54"/>
        <v>0.061663876344</v>
      </c>
      <c r="T67" s="83"/>
      <c r="U67" s="82"/>
      <c r="V67" s="108"/>
    </row>
    <row r="68" ht="16.5" spans="1:22">
      <c r="A68" s="79">
        <v>63</v>
      </c>
      <c r="B68" s="88"/>
      <c r="C68" s="88"/>
      <c r="D68" s="88"/>
      <c r="E68" s="93"/>
      <c r="F68" s="83" t="s">
        <v>163</v>
      </c>
      <c r="G68" s="95">
        <v>754.38</v>
      </c>
      <c r="H68" s="83">
        <f t="shared" si="55"/>
        <v>0.310216747104</v>
      </c>
      <c r="I68" s="83"/>
      <c r="J68" s="83">
        <f>G68/100*15*0.855*0.6*0.334*0.8*0.2</f>
        <v>3.10216747104</v>
      </c>
      <c r="K68" s="83"/>
      <c r="L68" s="83">
        <f t="shared" si="56"/>
        <v>0.310216747104</v>
      </c>
      <c r="M68" s="83">
        <f>G68/100*15*0.855*0.6*0.388*0.08*0.2</f>
        <v>0.360371550528</v>
      </c>
      <c r="N68" s="83">
        <f>G68/100*15*0.855*0.6*0.388*0.8*0.4</f>
        <v>7.20743101056</v>
      </c>
      <c r="O68" s="83">
        <f t="shared" si="57"/>
        <v>0.360371550528</v>
      </c>
      <c r="P68" s="83">
        <f t="shared" si="51"/>
        <v>1.23761621412</v>
      </c>
      <c r="Q68" s="83">
        <f t="shared" si="52"/>
        <v>0.12074304528</v>
      </c>
      <c r="R68" s="83">
        <f t="shared" si="53"/>
        <v>0.12074304528</v>
      </c>
      <c r="S68" s="83">
        <f t="shared" si="54"/>
        <v>1.399458334428</v>
      </c>
      <c r="T68" s="83"/>
      <c r="U68" s="82"/>
      <c r="V68" s="108"/>
    </row>
    <row r="69" ht="16.5" spans="1:22">
      <c r="A69" s="79">
        <v>64</v>
      </c>
      <c r="B69" s="88"/>
      <c r="C69" s="88"/>
      <c r="D69" s="88"/>
      <c r="E69" s="93"/>
      <c r="F69" s="83" t="s">
        <v>164</v>
      </c>
      <c r="G69" s="95">
        <v>134.2</v>
      </c>
      <c r="H69" s="83">
        <f t="shared" si="55"/>
        <v>0.05518583136</v>
      </c>
      <c r="I69" s="83"/>
      <c r="J69" s="83"/>
      <c r="K69" s="83">
        <f t="shared" si="62"/>
        <v>0.5518583136</v>
      </c>
      <c r="L69" s="83">
        <f t="shared" si="56"/>
        <v>0.05518583136</v>
      </c>
      <c r="M69" s="83">
        <f>G69/100*15*0.855*0.6*0.388*0.08*0.4</f>
        <v>0.12821618304</v>
      </c>
      <c r="N69" s="83">
        <f>G69/100*15*0.855*0.6*0.388*0.8*0.4</f>
        <v>1.2821618304</v>
      </c>
      <c r="O69" s="83">
        <f>G69/100*15*0.855*0.6*0.388*0.08*0.24</f>
        <v>0.076929709824</v>
      </c>
      <c r="P69" s="83">
        <f t="shared" si="51"/>
        <v>0.2201650308</v>
      </c>
      <c r="Q69" s="83">
        <f t="shared" si="52"/>
        <v>0.0214795152</v>
      </c>
      <c r="R69" s="83">
        <f t="shared" si="53"/>
        <v>0.0214795152</v>
      </c>
      <c r="S69" s="83">
        <f t="shared" si="54"/>
        <v>0.24895584252</v>
      </c>
      <c r="T69" s="83"/>
      <c r="U69" s="82"/>
      <c r="V69" s="108"/>
    </row>
    <row r="70" ht="16.5" spans="1:22">
      <c r="A70" s="79">
        <v>65</v>
      </c>
      <c r="B70" s="88"/>
      <c r="C70" s="88"/>
      <c r="D70" s="80"/>
      <c r="E70" s="94"/>
      <c r="F70" s="83" t="s">
        <v>165</v>
      </c>
      <c r="G70" s="95">
        <v>598.87</v>
      </c>
      <c r="H70" s="95">
        <f t="shared" si="55"/>
        <v>0.246267800496</v>
      </c>
      <c r="I70" s="95"/>
      <c r="J70" s="95"/>
      <c r="K70" s="83">
        <f t="shared" si="62"/>
        <v>2.46267800496</v>
      </c>
      <c r="L70" s="83">
        <f t="shared" si="56"/>
        <v>0.246267800496</v>
      </c>
      <c r="M70" s="102">
        <f>G70/100*15*0.855*0.6*0.388*0.8*0.2</f>
        <v>2.86083552672</v>
      </c>
      <c r="N70" s="102">
        <f>G70/100*15*0.855*0.6*0.388*0.08*0.4</f>
        <v>0.572167105344</v>
      </c>
      <c r="O70" s="102">
        <f t="shared" si="57"/>
        <v>0.286083552672</v>
      </c>
      <c r="P70" s="83">
        <f t="shared" si="51"/>
        <v>0.98249055138</v>
      </c>
      <c r="Q70" s="83">
        <f t="shared" si="52"/>
        <v>0.09585273672</v>
      </c>
      <c r="R70" s="83">
        <f t="shared" si="53"/>
        <v>0.09585273672</v>
      </c>
      <c r="S70" s="83">
        <f t="shared" si="54"/>
        <v>1.110970085022</v>
      </c>
      <c r="T70" s="83"/>
      <c r="U70" s="82"/>
      <c r="V70" s="108"/>
    </row>
    <row r="71" ht="16.5" spans="1:22">
      <c r="A71" s="79">
        <v>66</v>
      </c>
      <c r="B71" s="88"/>
      <c r="C71" s="88"/>
      <c r="D71" s="88" t="s">
        <v>174</v>
      </c>
      <c r="E71" s="93" t="s">
        <v>175</v>
      </c>
      <c r="F71" s="83" t="s">
        <v>7</v>
      </c>
      <c r="G71" s="95">
        <f>SUM(G72:G75)</f>
        <v>1631.84</v>
      </c>
      <c r="H71" s="110">
        <f>G71/100*15*0.145*0.7*0.43*0.08*1</f>
        <v>0.8546598816</v>
      </c>
      <c r="I71" s="95"/>
      <c r="J71" s="95">
        <f>G71/100*15*0.145*0.7*0.43*0.8*1</f>
        <v>8.546598816</v>
      </c>
      <c r="K71" s="83"/>
      <c r="L71" s="83">
        <f>G71/100*15*0.145*0.7*0.43*0.08*1</f>
        <v>0.8546598816</v>
      </c>
      <c r="M71" s="83">
        <f>G71/100*15*0.145*0.7*0.04*0.8</f>
        <v>0.795032448</v>
      </c>
      <c r="N71" s="83"/>
      <c r="O71" s="83"/>
      <c r="P71" s="83">
        <f>G71/100*15*0.145*0.7*0.36*0.82</f>
        <v>7.3341743328</v>
      </c>
      <c r="Q71" s="83">
        <f>G71/100*15*0.145*0.7*0.36*0.08</f>
        <v>0.7155292032</v>
      </c>
      <c r="R71" s="83">
        <f>G71/100*15*0.145*0.7*0.36*0.08</f>
        <v>0.7155292032</v>
      </c>
      <c r="S71" s="83">
        <f>G71/100*15*0.145*0.7*0.17*0.82</f>
        <v>3.4633601016</v>
      </c>
      <c r="T71" s="83"/>
      <c r="U71" s="82"/>
      <c r="V71" s="108"/>
    </row>
    <row r="72" ht="16.5" spans="1:22">
      <c r="A72" s="79">
        <v>67</v>
      </c>
      <c r="B72" s="88"/>
      <c r="C72" s="88"/>
      <c r="D72" s="88"/>
      <c r="E72" s="93"/>
      <c r="F72" s="83" t="s">
        <v>167</v>
      </c>
      <c r="G72" s="83">
        <v>754.29</v>
      </c>
      <c r="H72" s="83">
        <f>G72/100*15*0.855*0.6*0.334*0.08*0.2</f>
        <v>0.310179737232</v>
      </c>
      <c r="I72" s="83"/>
      <c r="J72" s="83">
        <f>G72/100*15*0.855*0.6*0.334*0.8*0.2</f>
        <v>3.10179737232</v>
      </c>
      <c r="K72" s="83"/>
      <c r="L72" s="83">
        <f>G72/100*15*0.855*0.6*0.334*0.08*0.2</f>
        <v>0.310179737232</v>
      </c>
      <c r="M72" s="102">
        <f>G72/100*15*0.855*0.6*0.388*0.8*0.4</f>
        <v>7.20657114048</v>
      </c>
      <c r="N72" s="102">
        <f>G72/100*15*0.855*0.6*0.388*0.08*0.4</f>
        <v>0.720657114048</v>
      </c>
      <c r="O72" s="102">
        <f>G72/100*15*0.855*0.6*0.388*0.08*0.4</f>
        <v>0.720657114048</v>
      </c>
      <c r="P72" s="83">
        <f>G72/100*15*0.855*0.6*0.13*0.82*0.2</f>
        <v>1.23746856246</v>
      </c>
      <c r="Q72" s="83">
        <f>G72/100*15*0.855*0.6*0.13*0.08*0.2</f>
        <v>0.12072864024</v>
      </c>
      <c r="R72" s="83">
        <f>G72/100*15*0.855*0.6*0.13*0.08*0.2</f>
        <v>0.12072864024</v>
      </c>
      <c r="S72" s="83">
        <f>G72/100*15*0.855*0.6*0.147*0.82*0.2</f>
        <v>1.399291374474</v>
      </c>
      <c r="T72" s="83"/>
      <c r="U72" s="82"/>
      <c r="V72" s="108"/>
    </row>
    <row r="73" ht="16.5" spans="1:22">
      <c r="A73" s="79">
        <v>68</v>
      </c>
      <c r="B73" s="88"/>
      <c r="C73" s="88"/>
      <c r="D73" s="88"/>
      <c r="E73" s="93"/>
      <c r="F73" s="83" t="s">
        <v>176</v>
      </c>
      <c r="G73" s="95">
        <v>612.1</v>
      </c>
      <c r="H73" s="83">
        <f>G73/100*15*0.855*0.6*0.334*0.08*1</f>
        <v>1.2585412584</v>
      </c>
      <c r="I73" s="83"/>
      <c r="J73" s="83">
        <f>G73/100*15*0.855*0.6*0.334*0.8*1</f>
        <v>12.585412584</v>
      </c>
      <c r="K73" s="83"/>
      <c r="L73" s="83">
        <f>G73/100*15*0.855*0.6*0.334*0.08*1</f>
        <v>1.2585412584</v>
      </c>
      <c r="M73" s="83">
        <f>G73/100*15*0.855*0.6*0.388*0.08</f>
        <v>1.4620179888</v>
      </c>
      <c r="N73" s="83">
        <f>G73/100*15*0.855*0.6*0.388*0.8</f>
        <v>14.620179888</v>
      </c>
      <c r="O73" s="83">
        <f>G73/100*15*0.855*0.6*0.388*0.08</f>
        <v>1.4620179888</v>
      </c>
      <c r="P73" s="83">
        <f>G73/100*15*0.855*0.6*0.13*0.82</f>
        <v>5.020976727</v>
      </c>
      <c r="Q73" s="83">
        <f>G73/100*15*0.855*0.6*0.13*0.08</f>
        <v>0.489851388</v>
      </c>
      <c r="R73" s="83">
        <f>G73/100*15*0.855*0.6*0.13*0.08</f>
        <v>0.489851388</v>
      </c>
      <c r="S73" s="83">
        <f>G73/100*15*0.855*0.6*0.147*0.82</f>
        <v>5.6775659913</v>
      </c>
      <c r="T73" s="83"/>
      <c r="U73" s="82"/>
      <c r="V73" s="108"/>
    </row>
    <row r="74" ht="16.5" spans="1:22">
      <c r="A74" s="79">
        <v>69</v>
      </c>
      <c r="B74" s="88"/>
      <c r="C74" s="88"/>
      <c r="D74" s="88"/>
      <c r="E74" s="93"/>
      <c r="F74" s="83" t="s">
        <v>177</v>
      </c>
      <c r="G74" s="95">
        <v>134.2</v>
      </c>
      <c r="H74" s="83">
        <f>G74/100*15*0.855*0.6*0.334*0.08*0.2</f>
        <v>0.05518583136</v>
      </c>
      <c r="I74" s="83"/>
      <c r="J74" s="83"/>
      <c r="K74" s="83">
        <f>G74/100*15*0.855*0.6*0.334*0.8*0.2</f>
        <v>0.5518583136</v>
      </c>
      <c r="L74" s="83">
        <f>G74/100*15*0.855*0.6*0.334*0.08*0.2</f>
        <v>0.05518583136</v>
      </c>
      <c r="M74" s="83">
        <f>G74/100*15*0.855*0.6*0.388*0.08*1.3*0.4</f>
        <v>0.166681037952</v>
      </c>
      <c r="N74" s="83">
        <f>G74/100*15*0.855*0.6*0.388*0.8*1.3*0.4</f>
        <v>1.66681037952</v>
      </c>
      <c r="O74" s="83">
        <f>G74/100*15*0.855*0.6*0.388*0.08*1.3*0.4</f>
        <v>0.166681037952</v>
      </c>
      <c r="P74" s="83">
        <f>G74/100*15*0.7*0.6*0.13*0.82*1.3*0.2</f>
        <v>0.2343276936</v>
      </c>
      <c r="Q74" s="83">
        <f>G74/100*15*0.7*0.6*0.13*0.08*1.3*0.2</f>
        <v>0.0228612384</v>
      </c>
      <c r="R74" s="83">
        <f>G74/100*15*0.7*0.6*0.13*0.08*1.3*0.2</f>
        <v>0.0228612384</v>
      </c>
      <c r="S74" s="83">
        <f>G74/100*15*0.855*0.6*0.147*0.82*0.2</f>
        <v>0.24895584252</v>
      </c>
      <c r="T74" s="83"/>
      <c r="U74" s="82"/>
      <c r="V74" s="108"/>
    </row>
    <row r="75" ht="16.5" spans="1:22">
      <c r="A75" s="79">
        <v>70</v>
      </c>
      <c r="B75" s="88"/>
      <c r="C75" s="88"/>
      <c r="D75" s="80"/>
      <c r="E75" s="94"/>
      <c r="F75" s="83" t="s">
        <v>178</v>
      </c>
      <c r="G75" s="95">
        <v>131.25</v>
      </c>
      <c r="H75" s="83">
        <f>G75/100*15*0.855*0.6*0.334*0.08*1</f>
        <v>0.26986365</v>
      </c>
      <c r="I75" s="83"/>
      <c r="J75" s="83"/>
      <c r="K75" s="83">
        <f>G75/100*15*0.855*0.6*0.334*0.8*1</f>
        <v>2.6986365</v>
      </c>
      <c r="L75" s="83">
        <f>G75/100*15*0.855*0.6*0.334*0.08*1</f>
        <v>0.26986365</v>
      </c>
      <c r="M75" s="83">
        <f>G75/100*15*0.855*0.6*0.388*0.08</f>
        <v>0.3134943</v>
      </c>
      <c r="N75" s="83">
        <f>G75/100*15*0.855*0.6*0.388*0.8</f>
        <v>3.134943</v>
      </c>
      <c r="O75" s="83">
        <f>G75/100*15*0.855*0.6*0.388*0.08</f>
        <v>0.3134943</v>
      </c>
      <c r="P75" s="83">
        <f>G75/100*15*0.855*0.6*0.13*0.82</f>
        <v>1.0766266875</v>
      </c>
      <c r="Q75" s="83">
        <f>G75/100*15*0.855*0.6*0.13*0.08</f>
        <v>0.10503675</v>
      </c>
      <c r="R75" s="83">
        <f>G75/100*15*0.855*0.6*0.13*0.08</f>
        <v>0.10503675</v>
      </c>
      <c r="S75" s="83">
        <f>G75/100*15*0.855*0.6*0.147*0.82</f>
        <v>1.21741633125</v>
      </c>
      <c r="T75" s="83"/>
      <c r="U75" s="82"/>
      <c r="V75" s="108"/>
    </row>
    <row r="76" ht="33" spans="1:22">
      <c r="A76" s="79">
        <v>71</v>
      </c>
      <c r="B76" s="88"/>
      <c r="C76" s="88"/>
      <c r="D76" s="82" t="s">
        <v>179</v>
      </c>
      <c r="E76" s="82">
        <v>1191.9</v>
      </c>
      <c r="F76" s="83" t="s">
        <v>7</v>
      </c>
      <c r="G76" s="95">
        <v>1191.9</v>
      </c>
      <c r="H76" s="110">
        <f>G76/100*15*0.145*0.7*0.43*0.08*1</f>
        <v>0.624245706</v>
      </c>
      <c r="I76" s="95">
        <f>G76/100*15*0.145*0.7*0.43*0.8*1</f>
        <v>6.24245706</v>
      </c>
      <c r="J76" s="95">
        <f>G76/100*15*0.145*0.7*0.43*0.8*1</f>
        <v>6.24245706</v>
      </c>
      <c r="K76" s="83"/>
      <c r="L76" s="83">
        <f>G76/100*15*0.145*0.7*0.43*0.08*1</f>
        <v>0.624245706</v>
      </c>
      <c r="M76" s="83">
        <f>G76/100*15*0.145*0.7*0.04*0.8</f>
        <v>0.58069368</v>
      </c>
      <c r="N76" s="83"/>
      <c r="O76" s="83"/>
      <c r="P76" s="83">
        <f>G76/100*15*0.145*0.7*0.36*0.82</f>
        <v>5.356899198</v>
      </c>
      <c r="Q76" s="83">
        <f>G76/100*15*0.145*0.7*0.36*0.08</f>
        <v>0.522624312</v>
      </c>
      <c r="R76" s="83">
        <f>G76/100*15*0.145*0.7*0.36*0.08</f>
        <v>0.522624312</v>
      </c>
      <c r="S76" s="83">
        <f>G76/100*15*0.145*0.7*0.17*0.82</f>
        <v>2.5296468435</v>
      </c>
      <c r="T76" s="83"/>
      <c r="U76" s="82"/>
      <c r="V76" s="108"/>
    </row>
    <row r="77" ht="16.5" spans="1:22">
      <c r="A77" s="79">
        <v>72</v>
      </c>
      <c r="B77" s="88"/>
      <c r="C77" s="88"/>
      <c r="D77" s="82" t="s">
        <v>122</v>
      </c>
      <c r="E77" s="96"/>
      <c r="F77" s="83"/>
      <c r="G77" s="95"/>
      <c r="H77" s="95"/>
      <c r="I77" s="95"/>
      <c r="J77" s="95">
        <f>(579.8+863.4)/100*5*0.7*0.6*0.334*0.8*1</f>
        <v>8.09808384</v>
      </c>
      <c r="K77" s="83">
        <f>(391.41+712.4)/100*5*0.7*0.6*0.334*0.8*1</f>
        <v>6.193698672</v>
      </c>
      <c r="L77" s="83">
        <f>(391.41+712.4)/100*5*0.7*0.6*0.334*0.1*1</f>
        <v>0.774212334</v>
      </c>
      <c r="M77" s="83">
        <f>2547.01/100*5*0.7*0.6*0.388*0.8</f>
        <v>16.602429984</v>
      </c>
      <c r="N77" s="83">
        <f>2547.01/100*5*0.7*0.6*0.388*0.08</f>
        <v>1.6602429984</v>
      </c>
      <c r="O77" s="83">
        <f>2547.01/100*5*0.7*0.6*0.388*0.08</f>
        <v>1.6602429984</v>
      </c>
      <c r="P77" s="83">
        <f>2547.01/100*5*0.855*0.6*0.13*0.82</f>
        <v>6.9642639729</v>
      </c>
      <c r="Q77" s="83">
        <f>2547.01/100*5*0.855*0.6*0.13*0.08</f>
        <v>0.6794403876</v>
      </c>
      <c r="R77" s="83">
        <f>2547.01/100*5*0.855*0.6*0.13*0.08</f>
        <v>0.6794403876</v>
      </c>
      <c r="S77" s="83">
        <f>2547.01/100*5*0.855*0.6*0.147*0.82</f>
        <v>7.87497541551</v>
      </c>
      <c r="T77" s="83"/>
      <c r="U77" s="82"/>
      <c r="V77" s="108"/>
    </row>
    <row r="78" ht="16.5" spans="1:22">
      <c r="A78" s="79">
        <v>73</v>
      </c>
      <c r="B78" s="88"/>
      <c r="C78" s="88"/>
      <c r="D78" s="82" t="s">
        <v>180</v>
      </c>
      <c r="E78" s="111"/>
      <c r="F78" s="83">
        <v>11</v>
      </c>
      <c r="G78" s="83">
        <v>249</v>
      </c>
      <c r="H78" s="101">
        <f>G78/100*5*0.3*0.6*0.334*0.08*3</f>
        <v>0.17963856</v>
      </c>
      <c r="I78" s="101">
        <f>G78/100*5*0.3*0.6*0.334*0.8*3</f>
        <v>1.7963856</v>
      </c>
      <c r="J78" s="101"/>
      <c r="K78" s="102"/>
      <c r="L78" s="83">
        <f>G78/100*5*0.3*0.6*0.334*0.08*3</f>
        <v>0.17963856</v>
      </c>
      <c r="M78" s="117">
        <f>G78/100*5*0.3*0.6*0.388*0.8*3</f>
        <v>2.0868192</v>
      </c>
      <c r="N78" s="117">
        <f>G78/100*5*0.3*0.6*0.388*0.08*3</f>
        <v>0.20868192</v>
      </c>
      <c r="O78" s="117">
        <f>G78/100*5*0.3*0.6*0.388*0.08*3</f>
        <v>0.20868192</v>
      </c>
      <c r="P78" s="117">
        <f>G78/100*5*0.3*0.6*0.13*0.82*3</f>
        <v>0.7166718</v>
      </c>
      <c r="Q78" s="117">
        <f>G78/100*5*0.3*0.6*0.13*0.08*3</f>
        <v>0.0699192</v>
      </c>
      <c r="R78" s="117">
        <f>G78/100*5*0.3*0.6*0.13*0.08*3</f>
        <v>0.0699192</v>
      </c>
      <c r="S78" s="117">
        <f>G78/100*5*0.3*0.6*0.147*0.8*3</f>
        <v>0.7906248</v>
      </c>
      <c r="T78" s="83"/>
      <c r="U78" s="82"/>
      <c r="V78" s="108"/>
    </row>
    <row r="79" ht="16.5" spans="1:22">
      <c r="A79" s="79">
        <v>74</v>
      </c>
      <c r="B79" s="88"/>
      <c r="C79" s="88"/>
      <c r="D79" s="82" t="s">
        <v>180</v>
      </c>
      <c r="E79" s="111"/>
      <c r="F79" s="83">
        <v>1</v>
      </c>
      <c r="G79" s="83">
        <v>167.44</v>
      </c>
      <c r="H79" s="101">
        <f>G79/100*15*0.3*0.6*0.334*0.8*1</f>
        <v>1.207979136</v>
      </c>
      <c r="I79" s="101">
        <f>G79/100*15*0.3*0.6*0.334*0.08*1</f>
        <v>0.1207979136</v>
      </c>
      <c r="J79" s="101"/>
      <c r="K79" s="102"/>
      <c r="L79" s="101">
        <f>G79/100*15*0.3*0.6*0.334*0.08*1</f>
        <v>0.1207979136</v>
      </c>
      <c r="M79" s="117">
        <f>G79/100*5*0.3*0.6*0.388*0.8</f>
        <v>0.467760384</v>
      </c>
      <c r="N79" s="117">
        <f>G79/100*5*0.3*0.6*0.388*0.08</f>
        <v>0.0467760384</v>
      </c>
      <c r="O79" s="117">
        <f>G79/100*5*0.3*0.6*0.388*0.08</f>
        <v>0.0467760384</v>
      </c>
      <c r="P79" s="117">
        <f>G79/100*5*0.3*0.6*0.13*0.82*1</f>
        <v>0.160641936</v>
      </c>
      <c r="Q79" s="117">
        <f>G79/100*5*0.3*0.6*0.13*0.08*1</f>
        <v>0.015672384</v>
      </c>
      <c r="R79" s="117">
        <f>G79/100*5*0.3*0.6*0.13*0.08*1</f>
        <v>0.015672384</v>
      </c>
      <c r="S79" s="117">
        <f>G79/100*5*0.3*0.6*0.147*0.8*1</f>
        <v>0.177218496</v>
      </c>
      <c r="T79" s="83"/>
      <c r="U79" s="82"/>
      <c r="V79" s="108"/>
    </row>
    <row r="80" ht="16.5" spans="1:22">
      <c r="A80" s="79">
        <v>75</v>
      </c>
      <c r="B80" s="88"/>
      <c r="C80" s="88"/>
      <c r="D80" s="82" t="s">
        <v>181</v>
      </c>
      <c r="E80" s="111"/>
      <c r="F80" s="83">
        <v>8</v>
      </c>
      <c r="G80" s="83">
        <v>34</v>
      </c>
      <c r="H80" s="101">
        <f>G80/100*5*0.3*0.6*0.334*0.08*2.4</f>
        <v>0.019623168</v>
      </c>
      <c r="I80" s="101">
        <f>G80/100*5*0.3*0.6*0.334*0.8*2.4</f>
        <v>0.19623168</v>
      </c>
      <c r="J80" s="101"/>
      <c r="K80" s="102"/>
      <c r="L80" s="83">
        <f>G80/100*5*0.3*0.6*0.334*0.8*2.4</f>
        <v>0.19623168</v>
      </c>
      <c r="M80" s="117">
        <f>G80/100*5*0.3*0.6*0.388*0.8*2.4</f>
        <v>0.22795776</v>
      </c>
      <c r="N80" s="117">
        <f>G80/100*5*0.3*0.6*0.388*0.08*2.4</f>
        <v>0.022795776</v>
      </c>
      <c r="O80" s="117">
        <f>G80/100*5*0.3*0.6*0.388*0.08*2.4</f>
        <v>0.022795776</v>
      </c>
      <c r="P80" s="117">
        <f>G80/100*5*0.3*0.6*0.13*0.82*2.4</f>
        <v>0.07828704</v>
      </c>
      <c r="Q80" s="117">
        <f>G80/100*5*0.3*0.6*0.13*0.08*2.4</f>
        <v>0.00763776</v>
      </c>
      <c r="R80" s="117">
        <f>G80/100*5*0.3*0.6*0.13*0.08*2.4</f>
        <v>0.00763776</v>
      </c>
      <c r="S80" s="117">
        <f>G80/100*5*0.3*0.6*0.147*0.8*2.4</f>
        <v>0.08636544</v>
      </c>
      <c r="T80" s="83"/>
      <c r="U80" s="82"/>
      <c r="V80" s="108"/>
    </row>
    <row r="81" ht="16.5" spans="1:22">
      <c r="A81" s="79">
        <v>76</v>
      </c>
      <c r="B81" s="80"/>
      <c r="C81" s="80"/>
      <c r="D81" s="96" t="s">
        <v>88</v>
      </c>
      <c r="E81" s="96"/>
      <c r="F81" s="83"/>
      <c r="G81" s="81"/>
      <c r="H81" s="81"/>
      <c r="I81" s="81">
        <f>SUM(H5:L80)*0.02</f>
        <v>26.4865543583172</v>
      </c>
      <c r="J81" s="81"/>
      <c r="K81" s="83"/>
      <c r="L81" s="83"/>
      <c r="M81" s="81">
        <f>SUM(M5:O80)*0.02</f>
        <v>15.8968375308568</v>
      </c>
      <c r="N81" s="83"/>
      <c r="O81" s="83"/>
      <c r="P81" s="83"/>
      <c r="Q81" s="83"/>
      <c r="R81" s="83"/>
      <c r="S81" s="83"/>
      <c r="T81" s="83"/>
      <c r="U81" s="82"/>
      <c r="V81" s="108"/>
    </row>
    <row r="82" ht="33" spans="1:22">
      <c r="A82" s="112">
        <v>77</v>
      </c>
      <c r="B82" s="83"/>
      <c r="C82" s="83" t="s">
        <v>100</v>
      </c>
      <c r="D82" s="83"/>
      <c r="E82" s="83"/>
      <c r="F82" s="83"/>
      <c r="G82" s="83"/>
      <c r="H82" s="83"/>
      <c r="I82" s="83">
        <f>SUM(H5:L81)*0.075</f>
        <v>101.311070420563</v>
      </c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118"/>
    </row>
    <row r="83" ht="33" spans="1:22">
      <c r="A83" s="112">
        <v>78</v>
      </c>
      <c r="B83" s="83"/>
      <c r="C83" s="83" t="s">
        <v>101</v>
      </c>
      <c r="D83" s="83"/>
      <c r="E83" s="83"/>
      <c r="F83" s="83"/>
      <c r="G83" s="83"/>
      <c r="H83" s="83"/>
      <c r="I83" s="83"/>
      <c r="J83" s="83"/>
      <c r="K83" s="83"/>
      <c r="L83" s="83"/>
      <c r="M83" s="83">
        <f>SUM(M5:O81)*0.075</f>
        <v>60.8054035555273</v>
      </c>
      <c r="N83" s="83"/>
      <c r="O83" s="83"/>
      <c r="P83" s="83"/>
      <c r="Q83" s="83"/>
      <c r="R83" s="83"/>
      <c r="S83" s="83"/>
      <c r="T83" s="83"/>
      <c r="U83" s="83"/>
      <c r="V83" s="118"/>
    </row>
    <row r="84" ht="33" spans="1:22">
      <c r="A84" s="112">
        <v>79</v>
      </c>
      <c r="B84" s="83"/>
      <c r="C84" s="83" t="s">
        <v>102</v>
      </c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>
        <f>SUM(P6:R82)*0.075</f>
        <v>35.5846715238492</v>
      </c>
      <c r="Q84" s="83"/>
      <c r="R84" s="83"/>
      <c r="S84" s="83"/>
      <c r="T84" s="83"/>
      <c r="U84" s="83"/>
      <c r="V84" s="118"/>
    </row>
    <row r="85" ht="33" spans="1:22">
      <c r="A85" s="112">
        <v>80</v>
      </c>
      <c r="B85" s="83"/>
      <c r="C85" s="83" t="s">
        <v>103</v>
      </c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>
        <f>SUM(S7:U83)*0.075</f>
        <v>23.5252828246329</v>
      </c>
      <c r="T85" s="83"/>
      <c r="U85" s="83"/>
      <c r="V85" s="118"/>
    </row>
    <row r="86" ht="16.5" spans="1:22">
      <c r="A86" s="112">
        <v>81</v>
      </c>
      <c r="B86" s="83"/>
      <c r="C86" s="83" t="s">
        <v>57</v>
      </c>
      <c r="D86" s="83"/>
      <c r="E86" s="83"/>
      <c r="F86" s="83"/>
      <c r="G86" s="83"/>
      <c r="H86" s="83">
        <f>SUM(H5:S81)*0.06*0.5</f>
        <v>87.5750074647477</v>
      </c>
      <c r="I86" s="83">
        <f>SUM(H5:T81)*0.06*0.5</f>
        <v>88.4905713298294</v>
      </c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118"/>
    </row>
    <row r="87" ht="16.5" spans="1:22">
      <c r="A87" s="112" t="s">
        <v>182</v>
      </c>
      <c r="B87" s="83"/>
      <c r="C87" s="83"/>
      <c r="D87" s="83"/>
      <c r="E87" s="83"/>
      <c r="F87" s="83"/>
      <c r="G87" s="83"/>
      <c r="H87" s="83">
        <f>H7+SUM(H10:H86)*0.4</f>
        <v>124.268129262836</v>
      </c>
      <c r="I87" s="83">
        <f>I9+SUM(I10:I86)*0.4</f>
        <v>155.36862883493</v>
      </c>
      <c r="J87" s="83">
        <f>J6+J9+SUM(J10:J86)*0.4</f>
        <v>365.600227147857</v>
      </c>
      <c r="K87" s="83">
        <f>+K5+K9+SUM(K10:K86)*0.4</f>
        <v>241.423753125962</v>
      </c>
      <c r="L87" s="83">
        <f t="shared" ref="L87:T87" si="63">SUM(L5:L86)*0.4</f>
        <v>29.345103772943</v>
      </c>
      <c r="M87" s="83">
        <f t="shared" si="63"/>
        <v>227.491745071391</v>
      </c>
      <c r="N87" s="83">
        <f t="shared" si="63"/>
        <v>95.3944494331776</v>
      </c>
      <c r="O87" s="83">
        <f t="shared" si="63"/>
        <v>25.7314525471219</v>
      </c>
      <c r="P87" s="83">
        <f t="shared" si="63"/>
        <v>148.29516929593</v>
      </c>
      <c r="Q87" s="83">
        <f t="shared" si="63"/>
        <v>40.2731606187936</v>
      </c>
      <c r="R87" s="83">
        <f t="shared" si="63"/>
        <v>15.4504534886784</v>
      </c>
      <c r="S87" s="83">
        <f t="shared" si="63"/>
        <v>122.670769993474</v>
      </c>
      <c r="T87" s="83">
        <f t="shared" si="63"/>
        <v>12.207518201088</v>
      </c>
      <c r="U87" s="83">
        <f>SUM(H87:T87)</f>
        <v>1603.52056079418</v>
      </c>
      <c r="V87" s="118"/>
    </row>
    <row r="88" ht="16.5" spans="1:22">
      <c r="A88" s="112" t="s">
        <v>58</v>
      </c>
      <c r="B88" s="83"/>
      <c r="C88" s="83">
        <f>SUM(H5:L81)</f>
        <v>1350.81427227418</v>
      </c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119"/>
    </row>
    <row r="89" ht="16.5" spans="1:22">
      <c r="A89" s="112" t="s">
        <v>59</v>
      </c>
      <c r="B89" s="83"/>
      <c r="C89" s="83">
        <f>SUM(M5:O81)</f>
        <v>810.738714073698</v>
      </c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119"/>
    </row>
    <row r="90" ht="16.5" spans="1:22">
      <c r="A90" s="112" t="s">
        <v>60</v>
      </c>
      <c r="B90" s="83"/>
      <c r="C90" s="83">
        <f>SUM(P5:R81)</f>
        <v>474.462286984656</v>
      </c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119"/>
    </row>
    <row r="91" ht="16.5" spans="1:22">
      <c r="A91" s="112" t="s">
        <v>61</v>
      </c>
      <c r="B91" s="83"/>
      <c r="C91" s="83">
        <f>SUM(S5:T80)</f>
        <v>313.670437661772</v>
      </c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119"/>
    </row>
    <row r="92" ht="17.25" spans="1:22">
      <c r="A92" s="113" t="s">
        <v>63</v>
      </c>
      <c r="B92" s="114"/>
      <c r="C92" s="114">
        <f>SUM(H5:V86)</f>
        <v>3351.44381930896</v>
      </c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83"/>
      <c r="V92" s="120"/>
    </row>
    <row r="93" ht="33" customHeight="1" spans="1:22">
      <c r="A93" s="115" t="s">
        <v>183</v>
      </c>
      <c r="B93" s="116"/>
      <c r="C93" s="116"/>
      <c r="D93" s="116"/>
      <c r="E93" s="116"/>
      <c r="F93" s="116"/>
      <c r="G93" s="116"/>
      <c r="H93" s="116">
        <f>SUM(H10:H86)*0.6</f>
        <v>127.527949894254</v>
      </c>
      <c r="I93" s="116">
        <f t="shared" ref="I93:U93" si="64">SUM(I10:I86)*0.6</f>
        <v>204.312199252395</v>
      </c>
      <c r="J93" s="116">
        <f t="shared" si="64"/>
        <v>232.976855297785</v>
      </c>
      <c r="K93" s="116">
        <f t="shared" si="64"/>
        <v>103.350419240944</v>
      </c>
      <c r="L93" s="116">
        <f t="shared" si="64"/>
        <v>44.0176556594146</v>
      </c>
      <c r="M93" s="116">
        <f t="shared" si="64"/>
        <v>341.237617607086</v>
      </c>
      <c r="N93" s="116">
        <f t="shared" si="64"/>
        <v>143.091674149766</v>
      </c>
      <c r="O93" s="116">
        <f t="shared" si="64"/>
        <v>38.5971788206829</v>
      </c>
      <c r="P93" s="116">
        <f t="shared" si="64"/>
        <v>222.442753943895</v>
      </c>
      <c r="Q93" s="116">
        <f t="shared" si="64"/>
        <v>60.4097409281904</v>
      </c>
      <c r="R93" s="116">
        <f t="shared" si="64"/>
        <v>23.1756802330176</v>
      </c>
      <c r="S93" s="116">
        <f t="shared" si="64"/>
        <v>184.006154990211</v>
      </c>
      <c r="T93" s="116">
        <f t="shared" si="64"/>
        <v>18.311277301632</v>
      </c>
      <c r="U93" s="116">
        <f>SUM(H93:T93)</f>
        <v>1743.45715731927</v>
      </c>
      <c r="V93" s="121"/>
    </row>
  </sheetData>
  <mergeCells count="41">
    <mergeCell ref="A1:V1"/>
    <mergeCell ref="H2:T2"/>
    <mergeCell ref="H3:L3"/>
    <mergeCell ref="M3:O3"/>
    <mergeCell ref="P3:R3"/>
    <mergeCell ref="S3:T3"/>
    <mergeCell ref="A87:B87"/>
    <mergeCell ref="A88:B88"/>
    <mergeCell ref="A89:B89"/>
    <mergeCell ref="A90:B90"/>
    <mergeCell ref="A91:B91"/>
    <mergeCell ref="A92:B92"/>
    <mergeCell ref="A93:B93"/>
    <mergeCell ref="A2:A4"/>
    <mergeCell ref="B2:B4"/>
    <mergeCell ref="B5:B9"/>
    <mergeCell ref="B10:B81"/>
    <mergeCell ref="C2:C4"/>
    <mergeCell ref="C5:C9"/>
    <mergeCell ref="C10:C81"/>
    <mergeCell ref="D2:D4"/>
    <mergeCell ref="D34:D53"/>
    <mergeCell ref="D54:D70"/>
    <mergeCell ref="D71:D75"/>
    <mergeCell ref="E34:E39"/>
    <mergeCell ref="E40:E44"/>
    <mergeCell ref="E45:E46"/>
    <mergeCell ref="E47:E48"/>
    <mergeCell ref="E49:E53"/>
    <mergeCell ref="E54:E58"/>
    <mergeCell ref="E59:E63"/>
    <mergeCell ref="E64:E65"/>
    <mergeCell ref="E66:E70"/>
    <mergeCell ref="E71:E75"/>
    <mergeCell ref="F2:F4"/>
    <mergeCell ref="G2:G4"/>
    <mergeCell ref="U2:U4"/>
    <mergeCell ref="V2:V4"/>
    <mergeCell ref="D10:E18"/>
    <mergeCell ref="D19:E28"/>
    <mergeCell ref="D29:E3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8"/>
  <sheetViews>
    <sheetView zoomScale="70" zoomScaleNormal="70" workbookViewId="0">
      <pane ySplit="4" topLeftCell="A5" activePane="bottomLeft" state="frozen"/>
      <selection/>
      <selection pane="bottomLeft" activeCell="W16" sqref="W16"/>
    </sheetView>
  </sheetViews>
  <sheetFormatPr defaultColWidth="9" defaultRowHeight="13.5"/>
  <cols>
    <col min="1" max="1" width="7.875" customWidth="1"/>
    <col min="2" max="2" width="9.625" customWidth="1"/>
    <col min="3" max="3" width="15.875" customWidth="1"/>
    <col min="4" max="4" width="16.75" customWidth="1"/>
    <col min="5" max="5" width="19.1083333333333" customWidth="1"/>
    <col min="6" max="6" width="9.025" customWidth="1"/>
    <col min="7" max="7" width="11.4666666666667" customWidth="1"/>
    <col min="8" max="15" width="9.025" customWidth="1"/>
    <col min="16" max="16" width="12.875"/>
    <col min="17" max="19" width="10.125" customWidth="1"/>
    <col min="20" max="20" width="9.25" customWidth="1"/>
    <col min="21" max="21" width="9.125" customWidth="1"/>
    <col min="22" max="22" width="14.125" hidden="1" customWidth="1"/>
    <col min="23" max="23" width="35.25" customWidth="1"/>
    <col min="24" max="24" width="12.625"/>
    <col min="26" max="26" width="20.8916666666667" customWidth="1"/>
    <col min="27" max="27" width="29.6333333333333" customWidth="1"/>
    <col min="28" max="28" width="21.7583333333333" customWidth="1"/>
    <col min="29" max="29" width="22.35" customWidth="1"/>
  </cols>
  <sheetData>
    <row r="1" ht="30" customHeight="1" spans="1:23">
      <c r="A1" s="2" t="s">
        <v>184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9"/>
      <c r="S1" s="30"/>
      <c r="T1" s="30"/>
      <c r="U1" s="30"/>
      <c r="V1" s="30"/>
      <c r="W1" s="30"/>
    </row>
    <row r="2" ht="30" customHeight="1" spans="1:29">
      <c r="A2" s="4" t="s">
        <v>19</v>
      </c>
      <c r="B2" s="5" t="s">
        <v>20</v>
      </c>
      <c r="C2" s="6" t="s">
        <v>21</v>
      </c>
      <c r="D2" s="7" t="s">
        <v>91</v>
      </c>
      <c r="E2" s="8" t="s">
        <v>22</v>
      </c>
      <c r="F2" s="9"/>
      <c r="G2" s="9"/>
      <c r="H2" s="9"/>
      <c r="I2" s="9"/>
      <c r="J2" s="9"/>
      <c r="K2" s="9"/>
      <c r="L2" s="9"/>
      <c r="M2" s="9"/>
      <c r="N2" s="23"/>
      <c r="O2" s="23"/>
      <c r="P2" s="23"/>
      <c r="Q2" s="31" t="s">
        <v>24</v>
      </c>
      <c r="R2" s="8" t="s">
        <v>14</v>
      </c>
      <c r="S2" s="32"/>
      <c r="T2" s="32"/>
      <c r="U2" s="32"/>
      <c r="V2" s="32"/>
      <c r="W2" s="32"/>
      <c r="Y2" s="38"/>
      <c r="Z2" s="38"/>
      <c r="AA2" s="38" t="s">
        <v>0</v>
      </c>
      <c r="AB2" s="38" t="s">
        <v>2</v>
      </c>
      <c r="AC2" s="38" t="s">
        <v>3</v>
      </c>
    </row>
    <row r="3" ht="30" customHeight="1" spans="1:29">
      <c r="A3" s="10"/>
      <c r="B3" s="5"/>
      <c r="C3" s="6"/>
      <c r="D3" s="11"/>
      <c r="E3" s="8"/>
      <c r="F3" s="8" t="s">
        <v>26</v>
      </c>
      <c r="G3" s="8"/>
      <c r="H3" s="8"/>
      <c r="I3" s="8" t="s">
        <v>27</v>
      </c>
      <c r="J3" s="8"/>
      <c r="K3" s="8"/>
      <c r="L3" s="24" t="s">
        <v>28</v>
      </c>
      <c r="M3" s="25"/>
      <c r="N3" s="26"/>
      <c r="O3" s="24" t="s">
        <v>92</v>
      </c>
      <c r="P3" s="24" t="s">
        <v>29</v>
      </c>
      <c r="Q3" s="8"/>
      <c r="R3" s="8"/>
      <c r="S3" s="32"/>
      <c r="T3" s="32"/>
      <c r="U3" s="32"/>
      <c r="V3" s="32"/>
      <c r="W3" s="32"/>
      <c r="Y3" s="39" t="s">
        <v>8</v>
      </c>
      <c r="Z3" s="38" t="s">
        <v>6</v>
      </c>
      <c r="AA3" s="38">
        <f>10*0.91*0.2*0.334</f>
        <v>0.60788</v>
      </c>
      <c r="AB3" s="38">
        <f>10*0.91*0.2*0.13</f>
        <v>0.2366</v>
      </c>
      <c r="AC3" s="38">
        <f>10*0.91*0.2*0.147</f>
        <v>0.26754</v>
      </c>
    </row>
    <row r="4" ht="30" customHeight="1" spans="1:29">
      <c r="A4" s="12"/>
      <c r="B4" s="5"/>
      <c r="C4" s="13"/>
      <c r="D4" s="11"/>
      <c r="E4" s="7"/>
      <c r="F4" s="14" t="s">
        <v>33</v>
      </c>
      <c r="G4" s="14" t="s">
        <v>93</v>
      </c>
      <c r="H4" s="14" t="s">
        <v>94</v>
      </c>
      <c r="I4" s="7" t="s">
        <v>38</v>
      </c>
      <c r="J4" s="14" t="s">
        <v>40</v>
      </c>
      <c r="K4" s="7" t="s">
        <v>95</v>
      </c>
      <c r="L4" s="7" t="s">
        <v>42</v>
      </c>
      <c r="M4" s="7" t="s">
        <v>43</v>
      </c>
      <c r="N4" s="7" t="s">
        <v>96</v>
      </c>
      <c r="O4" s="7" t="s">
        <v>34</v>
      </c>
      <c r="P4" s="7" t="s">
        <v>44</v>
      </c>
      <c r="Q4" s="7"/>
      <c r="R4" s="7"/>
      <c r="S4" s="32"/>
      <c r="T4" s="32"/>
      <c r="U4" s="32"/>
      <c r="V4" s="32"/>
      <c r="W4" s="32"/>
      <c r="Y4" s="40"/>
      <c r="Z4" s="38" t="s">
        <v>7</v>
      </c>
      <c r="AA4" s="38">
        <f>10*0.09*0.3*0.43</f>
        <v>0.1161</v>
      </c>
      <c r="AB4" s="38">
        <f>10*0.09*0.3*0.35</f>
        <v>0.0945</v>
      </c>
      <c r="AC4" s="38">
        <f>10*0.09*0.3*0.17</f>
        <v>0.0459</v>
      </c>
    </row>
    <row r="5" ht="30" customHeight="1" spans="1:29">
      <c r="A5" s="15"/>
      <c r="B5" s="16"/>
      <c r="C5" s="16"/>
      <c r="D5" s="16"/>
      <c r="E5" s="16"/>
      <c r="F5" s="17"/>
      <c r="G5" s="17"/>
      <c r="H5" s="17"/>
      <c r="I5" s="17"/>
      <c r="J5" s="17"/>
      <c r="K5" s="27"/>
      <c r="L5" s="17"/>
      <c r="M5" s="17"/>
      <c r="N5" s="17"/>
      <c r="O5" s="17"/>
      <c r="P5" s="17"/>
      <c r="Q5" s="17"/>
      <c r="R5" s="33"/>
      <c r="S5" s="34"/>
      <c r="T5" s="34"/>
      <c r="U5" s="34"/>
      <c r="V5" s="32"/>
      <c r="W5" s="35"/>
      <c r="Y5" s="39" t="s">
        <v>9</v>
      </c>
      <c r="Z5" s="38" t="s">
        <v>6</v>
      </c>
      <c r="AA5" s="38">
        <f>10*0.91*0.6*0.334</f>
        <v>1.82364</v>
      </c>
      <c r="AB5" s="38">
        <f>10*0.91*0.6*0.13</f>
        <v>0.7098</v>
      </c>
      <c r="AC5" s="38">
        <f>10*0.91*0.6*0.147</f>
        <v>0.80262</v>
      </c>
    </row>
    <row r="6" ht="30" customHeight="1" spans="1:29">
      <c r="A6" s="15"/>
      <c r="B6" s="16"/>
      <c r="C6" s="16"/>
      <c r="D6" s="16"/>
      <c r="E6" s="1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33"/>
      <c r="S6" s="34"/>
      <c r="T6" s="34"/>
      <c r="U6" s="34"/>
      <c r="V6" s="32"/>
      <c r="W6" s="35"/>
      <c r="Y6" s="40"/>
      <c r="Z6" s="38" t="s">
        <v>7</v>
      </c>
      <c r="AA6" s="38">
        <f>10*0.09*0.6*0.43</f>
        <v>0.2322</v>
      </c>
      <c r="AB6" s="38">
        <f>10*0.09*0.6*0.35</f>
        <v>0.189</v>
      </c>
      <c r="AC6" s="38">
        <f>10*0.09*0.6*0.17</f>
        <v>0.0918</v>
      </c>
    </row>
    <row r="7" ht="30" customHeight="1" spans="1:23">
      <c r="A7" s="15"/>
      <c r="B7" s="16"/>
      <c r="C7" s="18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/>
      <c r="Q7" s="17"/>
      <c r="R7" s="33"/>
      <c r="S7" s="34"/>
      <c r="T7" s="34"/>
      <c r="U7" s="34"/>
      <c r="V7" s="32"/>
      <c r="W7" s="35"/>
    </row>
    <row r="8" ht="30" customHeight="1" spans="1:23">
      <c r="A8" s="15"/>
      <c r="B8" s="16"/>
      <c r="C8" s="18"/>
      <c r="D8" s="18"/>
      <c r="E8" s="18"/>
      <c r="F8" s="18"/>
      <c r="G8" s="17"/>
      <c r="H8" s="17"/>
      <c r="I8" s="17"/>
      <c r="J8" s="17"/>
      <c r="K8" s="17"/>
      <c r="L8" s="17"/>
      <c r="M8" s="17"/>
      <c r="N8" s="18"/>
      <c r="O8" s="18"/>
      <c r="P8" s="18"/>
      <c r="Q8" s="17"/>
      <c r="R8" s="33"/>
      <c r="S8" s="34"/>
      <c r="T8" s="34"/>
      <c r="U8" s="34"/>
      <c r="V8" s="32"/>
      <c r="W8" s="35"/>
    </row>
    <row r="9" ht="30" customHeight="1" spans="1:23">
      <c r="A9" s="15"/>
      <c r="B9" s="16"/>
      <c r="C9" s="18"/>
      <c r="D9" s="18"/>
      <c r="E9" s="18"/>
      <c r="F9" s="18"/>
      <c r="G9" s="18"/>
      <c r="H9" s="18"/>
      <c r="I9" s="18"/>
      <c r="J9" s="18"/>
      <c r="K9" s="18"/>
      <c r="L9" s="17"/>
      <c r="M9" s="18"/>
      <c r="N9" s="17"/>
      <c r="O9" s="17"/>
      <c r="P9" s="18"/>
      <c r="Q9" s="17"/>
      <c r="R9" s="33"/>
      <c r="S9" s="34"/>
      <c r="T9" s="34"/>
      <c r="U9" s="34"/>
      <c r="V9" s="32"/>
      <c r="W9" s="35"/>
    </row>
    <row r="10" ht="30" customHeight="1" spans="1:34">
      <c r="A10" s="15"/>
      <c r="B10" s="16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7"/>
      <c r="O10" s="17"/>
      <c r="P10" s="17"/>
      <c r="Q10" s="17"/>
      <c r="R10" s="33"/>
      <c r="S10" s="34"/>
      <c r="T10" s="34"/>
      <c r="U10" s="34"/>
      <c r="V10" s="32"/>
      <c r="W10" s="35"/>
      <c r="AA10" s="41" t="s">
        <v>83</v>
      </c>
      <c r="AB10" s="42">
        <v>0.09</v>
      </c>
      <c r="AC10" s="43"/>
      <c r="AD10" s="43"/>
      <c r="AE10" s="43"/>
      <c r="AF10" s="43"/>
      <c r="AG10" s="43"/>
      <c r="AH10" s="43"/>
    </row>
    <row r="11" ht="30" customHeight="1" spans="1:38">
      <c r="A11" s="15"/>
      <c r="B11" s="16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7"/>
      <c r="P11" s="18"/>
      <c r="Q11" s="17"/>
      <c r="R11" s="33"/>
      <c r="S11" s="34"/>
      <c r="T11" s="34"/>
      <c r="U11" s="34"/>
      <c r="V11" s="32"/>
      <c r="W11" s="35"/>
      <c r="Z11" s="44"/>
      <c r="AA11" s="45"/>
      <c r="AB11" s="46" t="s">
        <v>11</v>
      </c>
      <c r="AC11" s="46" t="s">
        <v>0</v>
      </c>
      <c r="AD11" s="46" t="s">
        <v>1</v>
      </c>
      <c r="AE11" s="46" t="s">
        <v>2</v>
      </c>
      <c r="AF11" s="46" t="s">
        <v>4</v>
      </c>
      <c r="AG11" s="46" t="s">
        <v>12</v>
      </c>
      <c r="AH11" s="46" t="s">
        <v>13</v>
      </c>
      <c r="AI11" t="s">
        <v>84</v>
      </c>
      <c r="AJ11" t="s">
        <v>85</v>
      </c>
      <c r="AK11" t="s">
        <v>86</v>
      </c>
      <c r="AL11" t="s">
        <v>56</v>
      </c>
    </row>
    <row r="12" ht="30" customHeight="1" spans="1:34">
      <c r="A12" s="15"/>
      <c r="B12" s="16"/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7"/>
      <c r="P12" s="17"/>
      <c r="Q12" s="17"/>
      <c r="R12" s="33"/>
      <c r="S12" s="34"/>
      <c r="T12" s="34"/>
      <c r="U12" s="34"/>
      <c r="V12" s="32"/>
      <c r="W12" s="35"/>
      <c r="Z12" s="44"/>
      <c r="AA12" s="47"/>
      <c r="AB12" s="48"/>
      <c r="AC12" s="48"/>
      <c r="AD12" s="48"/>
      <c r="AE12" s="48"/>
      <c r="AF12" s="48"/>
      <c r="AG12" s="48"/>
      <c r="AH12" s="48"/>
    </row>
    <row r="13" ht="30" customHeight="1" spans="1:38">
      <c r="A13" s="15"/>
      <c r="B13" s="16"/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7"/>
      <c r="P13" s="17"/>
      <c r="Q13" s="17"/>
      <c r="R13" s="33"/>
      <c r="S13" s="34"/>
      <c r="T13" s="34"/>
      <c r="U13" s="34"/>
      <c r="V13" s="32"/>
      <c r="W13" s="35"/>
      <c r="AA13" s="49" t="s">
        <v>5</v>
      </c>
      <c r="AB13" s="50">
        <v>0.1</v>
      </c>
      <c r="AC13" s="51">
        <v>0.87</v>
      </c>
      <c r="AD13" s="51">
        <v>0.04</v>
      </c>
      <c r="AE13" s="51">
        <v>0.04</v>
      </c>
      <c r="AF13" s="51">
        <v>0.01</v>
      </c>
      <c r="AG13" s="51">
        <v>0.04</v>
      </c>
      <c r="AH13" s="51">
        <v>1</v>
      </c>
      <c r="AI13">
        <v>0.08</v>
      </c>
      <c r="AJ13">
        <v>0.08</v>
      </c>
      <c r="AK13">
        <v>0.02</v>
      </c>
      <c r="AL13">
        <v>0.06</v>
      </c>
    </row>
    <row r="14" ht="30" customHeight="1" spans="1:34">
      <c r="A14" s="18"/>
      <c r="B14" s="15"/>
      <c r="C14" s="15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33"/>
      <c r="S14" s="34"/>
      <c r="T14" s="34"/>
      <c r="U14" s="34"/>
      <c r="V14" s="32"/>
      <c r="W14" s="35"/>
      <c r="AA14" s="49" t="s">
        <v>8</v>
      </c>
      <c r="AB14" s="50">
        <v>0.3</v>
      </c>
      <c r="AC14" s="51">
        <v>0.5</v>
      </c>
      <c r="AD14" s="51">
        <v>0.04</v>
      </c>
      <c r="AE14" s="51">
        <v>0.3</v>
      </c>
      <c r="AF14" s="51">
        <v>0.01</v>
      </c>
      <c r="AG14" s="51">
        <v>0.15</v>
      </c>
      <c r="AH14" s="51">
        <v>1</v>
      </c>
    </row>
    <row r="15" ht="31" customHeight="1" spans="1:34">
      <c r="A15" s="18"/>
      <c r="B15" s="15"/>
      <c r="C15" s="17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33"/>
      <c r="S15" s="34"/>
      <c r="T15" s="34"/>
      <c r="U15" s="34"/>
      <c r="V15" s="32"/>
      <c r="W15" s="35"/>
      <c r="AA15" s="49" t="s">
        <v>9</v>
      </c>
      <c r="AB15" s="50">
        <v>0.6</v>
      </c>
      <c r="AC15" s="51">
        <v>0.43</v>
      </c>
      <c r="AD15" s="51">
        <v>0.04</v>
      </c>
      <c r="AE15" s="51">
        <v>0.35</v>
      </c>
      <c r="AF15" s="51">
        <v>0.01</v>
      </c>
      <c r="AG15" s="51">
        <v>0.17</v>
      </c>
      <c r="AH15" s="51">
        <v>1</v>
      </c>
    </row>
    <row r="16" ht="31" customHeight="1" spans="1:34">
      <c r="A16" s="15"/>
      <c r="B16" s="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34"/>
      <c r="T16" s="34"/>
      <c r="U16" s="34"/>
      <c r="V16" s="32"/>
      <c r="W16" s="35"/>
      <c r="AA16" s="49" t="s">
        <v>13</v>
      </c>
      <c r="AB16" s="51">
        <v>1</v>
      </c>
      <c r="AC16" s="51">
        <v>0.495</v>
      </c>
      <c r="AD16" s="51">
        <v>0.04</v>
      </c>
      <c r="AE16" s="51">
        <v>0.304</v>
      </c>
      <c r="AF16" s="51">
        <v>0.01</v>
      </c>
      <c r="AG16" s="51">
        <v>0.151</v>
      </c>
      <c r="AH16" s="61"/>
    </row>
    <row r="17" ht="25" customHeight="1" spans="1:34">
      <c r="A17" s="15"/>
      <c r="B17" s="15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22"/>
      <c r="T17" s="22"/>
      <c r="U17" s="22"/>
      <c r="V17" s="22"/>
      <c r="W17" s="35"/>
      <c r="AA17" s="43"/>
      <c r="AB17" s="43"/>
      <c r="AC17" s="43"/>
      <c r="AD17" s="43"/>
      <c r="AE17" s="43"/>
      <c r="AF17" s="43"/>
      <c r="AG17" s="43"/>
      <c r="AH17" s="43"/>
    </row>
    <row r="18" ht="25" customHeight="1" spans="1:34">
      <c r="A18" s="15"/>
      <c r="B18" s="15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22"/>
      <c r="T18" s="22"/>
      <c r="U18" s="22"/>
      <c r="V18" s="22"/>
      <c r="W18" s="22"/>
      <c r="AA18" s="52">
        <v>0.91</v>
      </c>
      <c r="AB18" s="53"/>
      <c r="AC18" s="53"/>
      <c r="AD18" s="53"/>
      <c r="AE18" s="53"/>
      <c r="AF18" s="53"/>
      <c r="AG18" s="53"/>
      <c r="AH18" s="62"/>
    </row>
    <row r="19" ht="25" customHeight="1" spans="1:34">
      <c r="A19" s="15"/>
      <c r="B19" s="15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36"/>
      <c r="T19" s="36"/>
      <c r="U19" s="36"/>
      <c r="V19" s="22"/>
      <c r="W19" s="22"/>
      <c r="AA19" s="54"/>
      <c r="AB19" s="55"/>
      <c r="AC19" s="55"/>
      <c r="AD19" s="55"/>
      <c r="AE19" s="55"/>
      <c r="AF19" s="55"/>
      <c r="AG19" s="55"/>
      <c r="AH19" s="55"/>
    </row>
    <row r="20" ht="25" customHeight="1" spans="1:34">
      <c r="A20" s="15"/>
      <c r="B20" s="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37"/>
      <c r="T20" s="37"/>
      <c r="U20" s="37"/>
      <c r="V20" s="37"/>
      <c r="W20" s="22"/>
      <c r="AA20" s="56" t="s">
        <v>6</v>
      </c>
      <c r="AB20" s="57" t="s">
        <v>11</v>
      </c>
      <c r="AC20" s="57" t="s">
        <v>0</v>
      </c>
      <c r="AD20" s="57" t="s">
        <v>1</v>
      </c>
      <c r="AE20" s="57" t="s">
        <v>2</v>
      </c>
      <c r="AF20" s="57" t="s">
        <v>4</v>
      </c>
      <c r="AG20" s="57" t="s">
        <v>12</v>
      </c>
      <c r="AH20" s="57" t="s">
        <v>13</v>
      </c>
    </row>
    <row r="21" ht="25" customHeight="1" spans="1:34">
      <c r="A21" s="15"/>
      <c r="B21" s="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22"/>
      <c r="T21" s="22"/>
      <c r="U21" s="22"/>
      <c r="V21" s="22"/>
      <c r="W21" s="22"/>
      <c r="AA21" s="58" t="s">
        <v>5</v>
      </c>
      <c r="AB21" s="59">
        <v>0.2</v>
      </c>
      <c r="AC21" s="60">
        <v>0.88</v>
      </c>
      <c r="AD21" s="60">
        <v>0.04</v>
      </c>
      <c r="AE21" s="60">
        <v>0.03</v>
      </c>
      <c r="AF21" s="60">
        <v>0.016</v>
      </c>
      <c r="AG21" s="60">
        <v>0.025</v>
      </c>
      <c r="AH21" s="60">
        <v>1</v>
      </c>
    </row>
    <row r="22" ht="25" customHeight="1" spans="1:34">
      <c r="A22" s="21"/>
      <c r="B22" s="21"/>
      <c r="C22" s="2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AA22" s="58" t="s">
        <v>8</v>
      </c>
      <c r="AB22" s="59">
        <v>0.2</v>
      </c>
      <c r="AC22" s="60">
        <v>0.4</v>
      </c>
      <c r="AD22" s="60">
        <v>0.29</v>
      </c>
      <c r="AE22" s="60">
        <v>0.14</v>
      </c>
      <c r="AF22" s="60">
        <v>0.025</v>
      </c>
      <c r="AG22" s="60">
        <v>0.145</v>
      </c>
      <c r="AH22" s="60">
        <v>1</v>
      </c>
    </row>
    <row r="23" ht="25" customHeight="1" spans="1:34">
      <c r="A23" s="21"/>
      <c r="B23" s="21"/>
      <c r="C23" s="2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AA23" s="58" t="s">
        <v>9</v>
      </c>
      <c r="AB23" s="59">
        <v>0.6</v>
      </c>
      <c r="AC23" s="60">
        <v>0.334</v>
      </c>
      <c r="AD23" s="60">
        <v>0.388</v>
      </c>
      <c r="AE23" s="60">
        <v>0.13</v>
      </c>
      <c r="AF23" s="60">
        <v>0.01</v>
      </c>
      <c r="AG23" s="60">
        <v>0.147</v>
      </c>
      <c r="AH23" s="60">
        <v>1</v>
      </c>
    </row>
    <row r="24" ht="25" customHeight="1" spans="1:34">
      <c r="A24" s="21"/>
      <c r="B24" s="21"/>
      <c r="C24" s="2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AA24" s="58" t="s">
        <v>13</v>
      </c>
      <c r="AB24" s="60">
        <v>1</v>
      </c>
      <c r="AC24" s="60">
        <v>0.4564</v>
      </c>
      <c r="AD24" s="60">
        <v>0.2988</v>
      </c>
      <c r="AE24" s="60">
        <v>0.112</v>
      </c>
      <c r="AF24" s="60">
        <v>0.0142</v>
      </c>
      <c r="AG24" s="60">
        <v>0.1222</v>
      </c>
      <c r="AH24" s="63"/>
    </row>
    <row r="25" s="1" customFormat="1" ht="25" customHeight="1" spans="1:34">
      <c r="A25" s="21"/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AA25" s="49"/>
      <c r="AB25" s="50"/>
      <c r="AC25" s="51"/>
      <c r="AD25" s="51"/>
      <c r="AE25" s="51"/>
      <c r="AF25" s="51"/>
      <c r="AG25" s="51"/>
      <c r="AH25" s="51"/>
    </row>
    <row r="26" spans="1:23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8" ht="17" customHeight="1" spans="10:11">
      <c r="J28" s="17"/>
      <c r="K28" s="28"/>
    </row>
  </sheetData>
  <mergeCells count="31">
    <mergeCell ref="A1:R1"/>
    <mergeCell ref="F2:P2"/>
    <mergeCell ref="F3:H3"/>
    <mergeCell ref="I3:K3"/>
    <mergeCell ref="L3:N3"/>
    <mergeCell ref="A14:B14"/>
    <mergeCell ref="A15:B15"/>
    <mergeCell ref="A16:B16"/>
    <mergeCell ref="F16:R16"/>
    <mergeCell ref="A17:B17"/>
    <mergeCell ref="F17:R17"/>
    <mergeCell ref="A18:B18"/>
    <mergeCell ref="F18:R18"/>
    <mergeCell ref="A19:B19"/>
    <mergeCell ref="F19:R19"/>
    <mergeCell ref="A20:B20"/>
    <mergeCell ref="A21:B21"/>
    <mergeCell ref="F21:R21"/>
    <mergeCell ref="A2:A4"/>
    <mergeCell ref="B2:B4"/>
    <mergeCell ref="B5:B12"/>
    <mergeCell ref="C2:C4"/>
    <mergeCell ref="C5:C6"/>
    <mergeCell ref="D2:D4"/>
    <mergeCell ref="D5:D6"/>
    <mergeCell ref="E2:E4"/>
    <mergeCell ref="Q2:Q4"/>
    <mergeCell ref="R2:R4"/>
    <mergeCell ref="R5:R15"/>
    <mergeCell ref="Y3:Y4"/>
    <mergeCell ref="Y5:Y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吉安天福服务区提质升级改造工程</vt:lpstr>
      <vt:lpstr>2024老旧小区算工日</vt:lpstr>
      <vt:lpstr>2024年度市中心城区青云街办老旧小区抚州市荆公路等6个片区</vt:lpstr>
      <vt:lpstr>东埠高岭古遗址修复配套设施提质工程（2025年）</vt:lpstr>
      <vt:lpstr>通铜项目</vt:lpstr>
      <vt:lpstr>四川交通职工俱乐部维修加固工程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降落伞</cp:lastModifiedBy>
  <cp:revision>1</cp:revision>
  <dcterms:created xsi:type="dcterms:W3CDTF">2014-04-18T07:33:00Z</dcterms:created>
  <cp:lastPrinted>2020-06-12T06:50:00Z</cp:lastPrinted>
  <dcterms:modified xsi:type="dcterms:W3CDTF">2025-05-29T01:34:12Z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6DCA19DD46104CB6AA0CA33142185702</vt:lpwstr>
  </property>
</Properties>
</file>