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730"/>
  </bookViews>
  <sheets>
    <sheet name="铜鼓养护基地项目" sheetId="15" r:id="rId1"/>
    <sheet name="黄陂养护基地项目" sheetId="22" r:id="rId2"/>
    <sheet name="江西交工装配式厂房" sheetId="2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<sst xmlns="http://schemas.openxmlformats.org/spreadsheetml/2006/main" count="276" uniqueCount="67">
  <si>
    <t>建筑</t>
  </si>
  <si>
    <t>结构</t>
  </si>
  <si>
    <t>给排水</t>
  </si>
  <si>
    <t>电</t>
  </si>
  <si>
    <t>暖通</t>
  </si>
  <si>
    <t>方案</t>
  </si>
  <si>
    <t>厂房</t>
  </si>
  <si>
    <t>其他单体</t>
  </si>
  <si>
    <t>总图1</t>
  </si>
  <si>
    <t>总图2</t>
  </si>
  <si>
    <t>初步设计</t>
  </si>
  <si>
    <t>单体</t>
  </si>
  <si>
    <t>总图</t>
  </si>
  <si>
    <t>施工图</t>
  </si>
  <si>
    <t>总图（交通口项目）：</t>
  </si>
  <si>
    <t>全专业</t>
  </si>
  <si>
    <t>电气</t>
  </si>
  <si>
    <t>合计</t>
  </si>
  <si>
    <t>备注</t>
  </si>
  <si>
    <r>
      <rPr>
        <b/>
        <sz val="11"/>
        <color indexed="8"/>
        <rFont val="宋体"/>
        <charset val="134"/>
      </rPr>
      <t>无暖通专业时，暖通比例按照</t>
    </r>
    <r>
      <rPr>
        <b/>
        <sz val="11"/>
        <color indexed="8"/>
        <rFont val="Times New Roman"/>
        <charset val="134"/>
      </rPr>
      <t>1:1</t>
    </r>
    <r>
      <rPr>
        <b/>
        <sz val="11"/>
        <color indexed="8"/>
        <rFont val="宋体"/>
        <charset val="134"/>
      </rPr>
      <t>分配给水、电专业</t>
    </r>
  </si>
  <si>
    <t>无暖通专业时，暖通比例全部分配给电专业</t>
  </si>
  <si>
    <r>
      <rPr>
        <b/>
        <sz val="11"/>
        <color indexed="8"/>
        <rFont val="宋体"/>
        <charset val="134"/>
      </rPr>
      <t>无暖通专业时，暖通比例按照</t>
    </r>
    <r>
      <rPr>
        <b/>
        <sz val="11"/>
        <color indexed="8"/>
        <rFont val="Times New Roman"/>
        <charset val="134"/>
      </rPr>
      <t>2:1</t>
    </r>
    <r>
      <rPr>
        <b/>
        <sz val="11"/>
        <color indexed="8"/>
        <rFont val="宋体"/>
        <charset val="134"/>
      </rPr>
      <t>分配给水、电专业</t>
    </r>
  </si>
  <si>
    <t>铜鼓养护基地计算表</t>
  </si>
  <si>
    <t>序号</t>
  </si>
  <si>
    <t>设计阶段</t>
  </si>
  <si>
    <t>子项名称</t>
  </si>
  <si>
    <t>单体名称</t>
  </si>
  <si>
    <t>总图占地或建筑面积</t>
  </si>
  <si>
    <t>总工日</t>
  </si>
  <si>
    <t>备注（初步设计与施工图合并）</t>
  </si>
  <si>
    <t>建筑专业</t>
  </si>
  <si>
    <t>结构专业</t>
  </si>
  <si>
    <t>给排水专业</t>
  </si>
  <si>
    <t>电气专业</t>
  </si>
  <si>
    <t>亮化</t>
  </si>
  <si>
    <t>土方防护</t>
  </si>
  <si>
    <t>叶于钧</t>
  </si>
  <si>
    <t>刘慧彬</t>
  </si>
  <si>
    <t>刘国印</t>
  </si>
  <si>
    <t>张瑞琪</t>
  </si>
  <si>
    <t>魏强</t>
  </si>
  <si>
    <t>沙子滔</t>
  </si>
  <si>
    <t>胡志雄</t>
  </si>
  <si>
    <t>朱凤琪</t>
  </si>
  <si>
    <t>梁翾翾</t>
  </si>
  <si>
    <t>温春辉</t>
  </si>
  <si>
    <t>周金民</t>
  </si>
  <si>
    <t>刘扬</t>
  </si>
  <si>
    <t>外委</t>
  </si>
  <si>
    <t>余洋</t>
  </si>
  <si>
    <t>谢信忠</t>
  </si>
  <si>
    <t>办公综合楼</t>
  </si>
  <si>
    <t>料仓</t>
  </si>
  <si>
    <t>专业负责人</t>
  </si>
  <si>
    <t>项目负责人</t>
  </si>
  <si>
    <t>建筑专业总工日：</t>
  </si>
  <si>
    <t>结构专业总工日：</t>
  </si>
  <si>
    <t>给排水专业总工日：</t>
  </si>
  <si>
    <t>电气专业总工日：</t>
  </si>
  <si>
    <t>暖通专业总工日：</t>
  </si>
  <si>
    <t>项目总工日：</t>
  </si>
  <si>
    <t>设计代表驻场工日</t>
  </si>
  <si>
    <t>黄陂养护基地计算表</t>
  </si>
  <si>
    <t>办公、宿舍。试验楼等</t>
  </si>
  <si>
    <t>料仓、厂房</t>
  </si>
  <si>
    <t>厂房总图</t>
  </si>
  <si>
    <t>江西交工装配式厂房计算表（结算30%）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</si>
</sst>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</numFmts>
  <fonts count="38">
    <font>
      <sz val="11"/>
      <color indexed="8"/>
      <name val="宋体"/>
      <charset val="134"/>
    </font>
    <font>
      <b/>
      <sz val="12"/>
      <color rgb="FFFF0000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Times New Roman"/>
      <charset val="134"/>
    </font>
    <font>
      <b/>
      <sz val="11"/>
      <color rgb="FFFF0000"/>
      <name val="Times New Roman"/>
      <charset val="134"/>
    </font>
    <font>
      <sz val="16"/>
      <color indexed="8"/>
      <name val="宋体"/>
      <charset val="134"/>
    </font>
    <font>
      <b/>
      <sz val="16"/>
      <color indexed="8"/>
      <name val="宋体"/>
      <charset val="134"/>
    </font>
    <font>
      <b/>
      <sz val="16"/>
      <color rgb="FFFF0000"/>
      <name val="Times New Roman"/>
      <charset val="134"/>
    </font>
    <font>
      <b/>
      <sz val="16"/>
      <color indexed="8"/>
      <name val="Times New Roman"/>
      <charset val="134"/>
    </font>
    <font>
      <b/>
      <sz val="12"/>
      <color indexed="8"/>
      <name val="Times New Roman"/>
      <charset val="134"/>
    </font>
    <font>
      <b/>
      <sz val="12"/>
      <color indexed="8"/>
      <name val="宋体"/>
      <charset val="134"/>
    </font>
    <font>
      <b/>
      <sz val="12"/>
      <color rgb="FFFF0000"/>
      <name val="Times New Roman"/>
      <charset val="134"/>
    </font>
    <font>
      <b/>
      <sz val="9"/>
      <color indexed="8"/>
      <name val="宋体"/>
      <charset val="134"/>
    </font>
    <font>
      <b/>
      <sz val="9"/>
      <color rgb="FFFF0000"/>
      <name val="Times New Roman"/>
      <charset val="134"/>
    </font>
    <font>
      <b/>
      <sz val="9"/>
      <color indexed="8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2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23" applyNumberFormat="0" applyAlignment="0" applyProtection="0">
      <alignment vertical="center"/>
    </xf>
    <xf numFmtId="0" fontId="28" fillId="5" borderId="24" applyNumberFormat="0" applyAlignment="0" applyProtection="0">
      <alignment vertical="center"/>
    </xf>
    <xf numFmtId="0" fontId="29" fillId="5" borderId="23" applyNumberFormat="0" applyAlignment="0" applyProtection="0">
      <alignment vertical="center"/>
    </xf>
    <xf numFmtId="0" fontId="30" fillId="6" borderId="25" applyNumberFormat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4" xfId="0" applyFont="1" applyBorder="1">
      <alignment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8" fillId="0" borderId="1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H41"/>
  <sheetViews>
    <sheetView tabSelected="1" zoomScale="115" zoomScaleNormal="115" topLeftCell="A19" workbookViewId="0">
      <selection activeCell="AA7" sqref="AA7"/>
    </sheetView>
  </sheetViews>
  <sheetFormatPr defaultColWidth="9" defaultRowHeight="13.5"/>
  <cols>
    <col min="4" max="4" width="12.75" customWidth="1"/>
    <col min="5" max="5" width="20.375" customWidth="1"/>
    <col min="6" max="6" width="12.625"/>
    <col min="7" max="7" width="9.75" customWidth="1"/>
    <col min="24" max="24" width="31.5" customWidth="1"/>
    <col min="27" max="27" width="23.375" customWidth="1"/>
    <col min="28" max="28" width="16.75" customWidth="1"/>
    <col min="29" max="29" width="20.25" customWidth="1"/>
    <col min="30" max="30" width="18.625" customWidth="1"/>
    <col min="31" max="31" width="10.625" customWidth="1"/>
    <col min="32" max="33" width="9.875"/>
  </cols>
  <sheetData>
    <row r="4" spans="25:31">
      <c r="Y4" s="25"/>
      <c r="Z4" s="25"/>
      <c r="AA4" s="25" t="s">
        <v>0</v>
      </c>
      <c r="AB4" s="25" t="s">
        <v>1</v>
      </c>
      <c r="AC4" s="25" t="s">
        <v>2</v>
      </c>
      <c r="AD4" s="25" t="s">
        <v>3</v>
      </c>
      <c r="AE4" s="25" t="s">
        <v>4</v>
      </c>
    </row>
    <row r="5" spans="25:31">
      <c r="Y5" s="15" t="s">
        <v>5</v>
      </c>
      <c r="Z5" s="25" t="s">
        <v>6</v>
      </c>
      <c r="AA5" s="25">
        <f>8*0.91*0.2*0.88</f>
        <v>1.28128</v>
      </c>
      <c r="AB5" s="25"/>
      <c r="AC5" s="25"/>
      <c r="AD5" s="25"/>
      <c r="AE5" s="25"/>
    </row>
    <row r="6" spans="25:31">
      <c r="Y6" s="19"/>
      <c r="Z6" s="25" t="s">
        <v>7</v>
      </c>
      <c r="AA6" s="25">
        <f>15*0.855*0.2*0.88</f>
        <v>2.2572</v>
      </c>
      <c r="AB6" s="25"/>
      <c r="AC6" s="25"/>
      <c r="AD6" s="25"/>
      <c r="AE6" s="25"/>
    </row>
    <row r="7" spans="25:31">
      <c r="Y7" s="33"/>
      <c r="Z7" s="25" t="s">
        <v>8</v>
      </c>
      <c r="AA7" s="25">
        <f>8*0.09*0.15*0.8</f>
        <v>0.0864</v>
      </c>
      <c r="AB7" s="25"/>
      <c r="AC7" s="25"/>
      <c r="AD7" s="25"/>
      <c r="AE7" s="25"/>
    </row>
    <row r="8" ht="17.1" customHeight="1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4"/>
      <c r="Z8" s="25" t="s">
        <v>9</v>
      </c>
      <c r="AA8" s="25">
        <f>15*0.145*0.15*0.8</f>
        <v>0.261</v>
      </c>
      <c r="AB8" s="25"/>
      <c r="AC8" s="25"/>
      <c r="AD8" s="25"/>
      <c r="AE8" s="25"/>
    </row>
    <row r="9" ht="21" customHeight="1" spans="1:31">
      <c r="A9" s="2"/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5" t="s">
        <v>10</v>
      </c>
      <c r="Z9" s="25" t="s">
        <v>11</v>
      </c>
      <c r="AA9" s="25">
        <f>15*0.855*0.2*0.4</f>
        <v>1.026</v>
      </c>
      <c r="AB9" s="25">
        <f>15*0.855*0.2*0.29</f>
        <v>0.74385</v>
      </c>
      <c r="AC9" s="25">
        <f>15*0.855*0.2*0.14</f>
        <v>0.3591</v>
      </c>
      <c r="AD9" s="25">
        <f>15*0.855*0.2*0.145</f>
        <v>0.371925</v>
      </c>
      <c r="AE9" s="25">
        <f>15*0.855*0.2*0.025</f>
        <v>0.064125</v>
      </c>
    </row>
    <row r="10" ht="23.1" customHeight="1" spans="1:31">
      <c r="A10" s="2"/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5"/>
      <c r="Z10" s="25" t="s">
        <v>12</v>
      </c>
      <c r="AA10" s="25">
        <f>15*0.145*0.15*0.55</f>
        <v>0.1794375</v>
      </c>
      <c r="AB10" s="25">
        <f>15*0.145*0.15*0.05</f>
        <v>0.0163125</v>
      </c>
      <c r="AC10" s="25">
        <f>15*0.145*0.15*0.27</f>
        <v>0.0880875</v>
      </c>
      <c r="AD10" s="25">
        <f>15*0.145*0.15*0.08</f>
        <v>0.0261</v>
      </c>
      <c r="AE10" s="25">
        <f>15*0.145*0.15*0.05</f>
        <v>0.0163125</v>
      </c>
    </row>
    <row r="11" spans="1:31">
      <c r="A11" s="2"/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5" t="s">
        <v>13</v>
      </c>
      <c r="Z11" s="25" t="s">
        <v>11</v>
      </c>
      <c r="AA11" s="25">
        <f>15*0.855*0.6*0.334</f>
        <v>2.57013</v>
      </c>
      <c r="AB11" s="25">
        <f>15*0.855*0.6*0.388</f>
        <v>2.98566</v>
      </c>
      <c r="AC11" s="25">
        <f>15*0.855*0.6*0.13</f>
        <v>1.00035</v>
      </c>
      <c r="AD11" s="25">
        <f>15*0.855*0.6*0.147</f>
        <v>1.131165</v>
      </c>
      <c r="AE11" s="25">
        <f>15*0.855*0.6*0.01</f>
        <v>0.07695</v>
      </c>
    </row>
    <row r="12" spans="1:31">
      <c r="A12" s="4"/>
      <c r="B12" s="5"/>
      <c r="C12" s="5"/>
      <c r="D12" s="5"/>
      <c r="E12" s="6"/>
      <c r="F12" s="6"/>
      <c r="G12" s="2"/>
      <c r="H12" s="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"/>
      <c r="W12" s="2"/>
      <c r="X12" s="5"/>
      <c r="Y12" s="25"/>
      <c r="Z12" s="25" t="s">
        <v>12</v>
      </c>
      <c r="AA12" s="25">
        <f>15*0.145*0.7*0.43</f>
        <v>0.654675</v>
      </c>
      <c r="AB12" s="25">
        <f>15*0.145*0.7*0.04</f>
        <v>0.0609</v>
      </c>
      <c r="AC12" s="25">
        <f>15*0.145*0.7*0.34</f>
        <v>0.51765</v>
      </c>
      <c r="AD12" s="25">
        <f>15*0.145*0.7*0.16</f>
        <v>0.2436</v>
      </c>
      <c r="AE12" s="25">
        <f>15*0.145*0.7*0.03</f>
        <v>0.045675</v>
      </c>
    </row>
    <row r="13" ht="14.25" spans="1:34">
      <c r="A13" s="4"/>
      <c r="B13" s="5"/>
      <c r="C13" s="5"/>
      <c r="D13" s="5"/>
      <c r="E13" s="6"/>
      <c r="F13" s="6"/>
      <c r="G13" s="6"/>
      <c r="H13" s="6"/>
      <c r="I13" s="6"/>
      <c r="J13" s="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"/>
      <c r="W13" s="2"/>
      <c r="X13" s="5"/>
      <c r="Z13" s="35" t="s">
        <v>14</v>
      </c>
      <c r="AA13" s="36"/>
      <c r="AB13" s="36">
        <v>0.145</v>
      </c>
      <c r="AC13" s="36"/>
      <c r="AD13" s="36"/>
      <c r="AE13" s="36"/>
      <c r="AF13" s="36"/>
      <c r="AG13" s="36"/>
      <c r="AH13" s="36"/>
    </row>
    <row r="14" ht="15" spans="1:34">
      <c r="A14" s="4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"/>
      <c r="W14" s="2"/>
      <c r="X14" s="5"/>
      <c r="Z14" s="37"/>
      <c r="AA14" s="38" t="s">
        <v>15</v>
      </c>
      <c r="AB14" s="38" t="s">
        <v>0</v>
      </c>
      <c r="AC14" s="38" t="s">
        <v>1</v>
      </c>
      <c r="AD14" s="38" t="s">
        <v>2</v>
      </c>
      <c r="AE14" s="38" t="s">
        <v>4</v>
      </c>
      <c r="AF14" s="38" t="s">
        <v>16</v>
      </c>
      <c r="AG14" s="38" t="s">
        <v>17</v>
      </c>
      <c r="AH14" s="56" t="s">
        <v>18</v>
      </c>
    </row>
    <row r="15" ht="82.5" spans="1:34">
      <c r="A15" s="4"/>
      <c r="B15" s="5"/>
      <c r="C15" s="5"/>
      <c r="D15" s="5"/>
      <c r="E15" s="6"/>
      <c r="F15" s="6"/>
      <c r="G15" s="2"/>
      <c r="H15" s="2"/>
      <c r="I15" s="2"/>
      <c r="J15" s="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"/>
      <c r="W15" s="2"/>
      <c r="X15" s="5"/>
      <c r="Z15" s="39" t="s">
        <v>5</v>
      </c>
      <c r="AA15" s="40">
        <v>0.15</v>
      </c>
      <c r="AB15" s="41">
        <v>0.8</v>
      </c>
      <c r="AC15" s="41">
        <v>0.05</v>
      </c>
      <c r="AD15" s="41">
        <v>0.05</v>
      </c>
      <c r="AE15" s="41">
        <v>0.05</v>
      </c>
      <c r="AF15" s="41">
        <v>0.05</v>
      </c>
      <c r="AG15" s="41">
        <v>1</v>
      </c>
      <c r="AH15" s="57" t="s">
        <v>19</v>
      </c>
    </row>
    <row r="16" ht="68.25" spans="1:34">
      <c r="A16" s="4"/>
      <c r="B16" s="5"/>
      <c r="C16" s="5"/>
      <c r="D16" s="5"/>
      <c r="E16" s="6"/>
      <c r="F16" s="6"/>
      <c r="G16" s="2"/>
      <c r="H16" s="2"/>
      <c r="I16" s="2"/>
      <c r="J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"/>
      <c r="W16" s="2"/>
      <c r="X16" s="5"/>
      <c r="Z16" s="39" t="s">
        <v>10</v>
      </c>
      <c r="AA16" s="40">
        <v>0.15</v>
      </c>
      <c r="AB16" s="41">
        <v>0.55</v>
      </c>
      <c r="AC16" s="41">
        <v>0.05</v>
      </c>
      <c r="AD16" s="41">
        <v>0.27</v>
      </c>
      <c r="AE16" s="41">
        <v>0.05</v>
      </c>
      <c r="AF16" s="41">
        <v>0.08</v>
      </c>
      <c r="AG16" s="41">
        <v>1</v>
      </c>
      <c r="AH16" s="57" t="s">
        <v>20</v>
      </c>
    </row>
    <row r="17" ht="82.5" spans="1:34">
      <c r="A17" s="4"/>
      <c r="B17" s="5"/>
      <c r="C17" s="5"/>
      <c r="D17" s="5"/>
      <c r="E17" s="6"/>
      <c r="F17" s="6"/>
      <c r="G17" s="2"/>
      <c r="H17" s="2"/>
      <c r="I17" s="2"/>
      <c r="J17" s="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"/>
      <c r="W17" s="2"/>
      <c r="X17" s="5"/>
      <c r="Z17" s="39" t="s">
        <v>13</v>
      </c>
      <c r="AA17" s="40">
        <v>0.7</v>
      </c>
      <c r="AB17" s="41">
        <v>0.43</v>
      </c>
      <c r="AC17" s="41">
        <v>0.04</v>
      </c>
      <c r="AD17" s="41">
        <v>0.34</v>
      </c>
      <c r="AE17" s="41">
        <v>0.03</v>
      </c>
      <c r="AF17" s="41">
        <v>0.16</v>
      </c>
      <c r="AG17" s="41">
        <v>1</v>
      </c>
      <c r="AH17" s="57" t="s">
        <v>21</v>
      </c>
    </row>
    <row r="18" ht="15" spans="1:34">
      <c r="A18" s="4"/>
      <c r="B18" s="5"/>
      <c r="C18" s="5"/>
      <c r="D18" s="5"/>
      <c r="E18" s="6"/>
      <c r="F18" s="6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"/>
      <c r="W18" s="2"/>
      <c r="X18" s="5"/>
      <c r="Z18" s="42" t="s">
        <v>17</v>
      </c>
      <c r="AA18" s="43">
        <v>1</v>
      </c>
      <c r="AB18" s="43"/>
      <c r="AC18" s="43"/>
      <c r="AD18" s="43"/>
      <c r="AE18" s="43"/>
      <c r="AF18" s="43"/>
      <c r="AG18" s="43"/>
      <c r="AH18" s="58"/>
    </row>
    <row r="19" ht="15" spans="1:33">
      <c r="A19" s="4"/>
      <c r="B19" s="4"/>
      <c r="C19" s="4"/>
      <c r="E19" s="7"/>
      <c r="F19" s="6"/>
      <c r="G19" s="7"/>
      <c r="H19" s="7"/>
      <c r="I19" s="7"/>
      <c r="J19" s="7"/>
      <c r="K19" s="7"/>
      <c r="L19" s="7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5"/>
      <c r="AA19" s="3">
        <v>0.855</v>
      </c>
      <c r="AB19" s="44"/>
      <c r="AC19" s="44"/>
      <c r="AD19" s="44"/>
      <c r="AE19" s="44"/>
      <c r="AF19" s="44"/>
      <c r="AG19" s="44"/>
    </row>
    <row r="20" ht="21" spans="1:34">
      <c r="A20" s="4"/>
      <c r="B20" s="4"/>
      <c r="C20" s="4"/>
      <c r="E20" s="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AA20" s="45" t="s">
        <v>11</v>
      </c>
      <c r="AB20" s="46" t="s">
        <v>15</v>
      </c>
      <c r="AC20" s="46" t="s">
        <v>0</v>
      </c>
      <c r="AD20" s="46" t="s">
        <v>1</v>
      </c>
      <c r="AE20" s="46" t="s">
        <v>2</v>
      </c>
      <c r="AF20" s="46" t="s">
        <v>4</v>
      </c>
      <c r="AG20" s="46" t="s">
        <v>16</v>
      </c>
      <c r="AH20" s="46" t="s">
        <v>17</v>
      </c>
    </row>
    <row r="21" ht="21" spans="1:34">
      <c r="A21" s="4"/>
      <c r="B21" s="4"/>
      <c r="C21" s="4"/>
      <c r="D21" s="4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AA21" s="47" t="s">
        <v>5</v>
      </c>
      <c r="AB21" s="48">
        <v>0.2</v>
      </c>
      <c r="AC21" s="49">
        <v>0.88</v>
      </c>
      <c r="AD21" s="49">
        <v>0.04</v>
      </c>
      <c r="AE21" s="49">
        <v>0.03</v>
      </c>
      <c r="AF21" s="49">
        <v>0.016</v>
      </c>
      <c r="AG21" s="49">
        <v>0.025</v>
      </c>
      <c r="AH21" s="49">
        <v>1</v>
      </c>
    </row>
    <row r="22" ht="21" spans="1:34">
      <c r="A22" s="4"/>
      <c r="B22" s="4"/>
      <c r="C22" s="4"/>
      <c r="D22" s="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AA22" s="47" t="s">
        <v>10</v>
      </c>
      <c r="AB22" s="48">
        <v>0.2</v>
      </c>
      <c r="AC22" s="49">
        <v>0.4</v>
      </c>
      <c r="AD22" s="49">
        <v>0.29</v>
      </c>
      <c r="AE22" s="49">
        <v>0.14</v>
      </c>
      <c r="AF22" s="49">
        <v>0.025</v>
      </c>
      <c r="AG22" s="49">
        <v>0.145</v>
      </c>
      <c r="AH22" s="49">
        <v>1</v>
      </c>
    </row>
    <row r="23" ht="21" spans="1:34">
      <c r="A23" s="4"/>
      <c r="B23" s="4"/>
      <c r="C23" s="4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AA23" s="47" t="s">
        <v>13</v>
      </c>
      <c r="AB23" s="48">
        <v>0.6</v>
      </c>
      <c r="AC23" s="49">
        <v>0.334</v>
      </c>
      <c r="AD23" s="49">
        <v>0.388</v>
      </c>
      <c r="AE23" s="49">
        <v>0.13</v>
      </c>
      <c r="AF23" s="49">
        <v>0.01</v>
      </c>
      <c r="AG23" s="49">
        <v>0.147</v>
      </c>
      <c r="AH23" s="49">
        <v>1</v>
      </c>
    </row>
    <row r="24" ht="21" spans="1:34">
      <c r="A24" s="4"/>
      <c r="B24" s="4"/>
      <c r="C24" s="4"/>
      <c r="D24" s="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AA24" s="47" t="s">
        <v>17</v>
      </c>
      <c r="AB24" s="49">
        <v>1</v>
      </c>
      <c r="AC24" s="49">
        <v>0.4564</v>
      </c>
      <c r="AD24" s="49">
        <v>0.2988</v>
      </c>
      <c r="AE24" s="49">
        <v>0.112</v>
      </c>
      <c r="AF24" s="49">
        <v>0.0142</v>
      </c>
      <c r="AG24" s="49">
        <v>0.1222</v>
      </c>
      <c r="AH24" s="59"/>
    </row>
    <row r="25" ht="15.75" spans="1:34">
      <c r="A25" s="9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29"/>
      <c r="AA25" s="50"/>
      <c r="AB25" s="51"/>
      <c r="AC25" s="51"/>
      <c r="AD25" s="51"/>
      <c r="AE25" s="51"/>
      <c r="AF25" s="51"/>
      <c r="AG25" s="51"/>
      <c r="AH25" s="51"/>
    </row>
    <row r="26" ht="15.75" spans="1:34">
      <c r="A26" s="11" t="s">
        <v>23</v>
      </c>
      <c r="B26" s="12" t="s">
        <v>24</v>
      </c>
      <c r="C26" s="12" t="s">
        <v>25</v>
      </c>
      <c r="D26" s="12" t="s">
        <v>26</v>
      </c>
      <c r="E26" s="11" t="s">
        <v>27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30"/>
      <c r="V26" s="30"/>
      <c r="W26" s="30" t="s">
        <v>28</v>
      </c>
      <c r="X26" s="11" t="s">
        <v>29</v>
      </c>
      <c r="AA26" s="51"/>
      <c r="AB26" s="52"/>
      <c r="AC26" s="50"/>
      <c r="AD26" s="50"/>
      <c r="AE26" s="50"/>
      <c r="AF26" s="50"/>
      <c r="AG26" s="50"/>
      <c r="AH26" s="50"/>
    </row>
    <row r="27" ht="15.75" spans="1:34">
      <c r="A27" s="11"/>
      <c r="B27" s="12"/>
      <c r="C27" s="12"/>
      <c r="D27" s="12"/>
      <c r="E27" s="11"/>
      <c r="F27" s="13" t="s">
        <v>30</v>
      </c>
      <c r="G27" s="14"/>
      <c r="H27" s="14"/>
      <c r="I27" s="14"/>
      <c r="J27" s="11" t="s">
        <v>31</v>
      </c>
      <c r="K27" s="11"/>
      <c r="L27" s="11"/>
      <c r="M27" s="11" t="s">
        <v>32</v>
      </c>
      <c r="N27" s="11"/>
      <c r="O27" s="11"/>
      <c r="P27" s="13" t="s">
        <v>33</v>
      </c>
      <c r="Q27" s="14"/>
      <c r="R27" s="14"/>
      <c r="S27" s="31"/>
      <c r="T27" s="13" t="s">
        <v>4</v>
      </c>
      <c r="U27" s="13" t="s">
        <v>34</v>
      </c>
      <c r="V27" s="13" t="s">
        <v>35</v>
      </c>
      <c r="W27" s="11"/>
      <c r="X27" s="11"/>
      <c r="AA27" s="51"/>
      <c r="AB27" s="52"/>
      <c r="AC27" s="50"/>
      <c r="AD27" s="50"/>
      <c r="AE27" s="50"/>
      <c r="AF27" s="50"/>
      <c r="AG27" s="50"/>
      <c r="AH27" s="50"/>
    </row>
    <row r="28" spans="1:33">
      <c r="A28" s="11"/>
      <c r="B28" s="12"/>
      <c r="C28" s="12"/>
      <c r="D28" s="12"/>
      <c r="E28" s="11"/>
      <c r="F28" s="11" t="s">
        <v>36</v>
      </c>
      <c r="G28" s="11" t="s">
        <v>37</v>
      </c>
      <c r="H28" s="11" t="s">
        <v>38</v>
      </c>
      <c r="I28" s="11" t="s">
        <v>39</v>
      </c>
      <c r="J28" s="11" t="s">
        <v>40</v>
      </c>
      <c r="K28" s="11" t="s">
        <v>41</v>
      </c>
      <c r="L28" s="11" t="s">
        <v>42</v>
      </c>
      <c r="M28" s="11" t="s">
        <v>43</v>
      </c>
      <c r="N28" s="11" t="s">
        <v>44</v>
      </c>
      <c r="O28" s="11" t="s">
        <v>45</v>
      </c>
      <c r="P28" s="11" t="s">
        <v>46</v>
      </c>
      <c r="Q28" s="11" t="s">
        <v>47</v>
      </c>
      <c r="R28" s="11" t="s">
        <v>42</v>
      </c>
      <c r="S28" s="11" t="s">
        <v>48</v>
      </c>
      <c r="T28" s="11" t="s">
        <v>49</v>
      </c>
      <c r="U28" s="11" t="s">
        <v>46</v>
      </c>
      <c r="V28" s="11" t="s">
        <v>50</v>
      </c>
      <c r="W28" s="11"/>
      <c r="X28" s="11"/>
      <c r="AA28" s="53"/>
      <c r="AB28" s="53"/>
      <c r="AC28" s="53"/>
      <c r="AD28" s="53"/>
      <c r="AE28" s="53"/>
      <c r="AF28" s="53"/>
      <c r="AG28" s="53"/>
    </row>
    <row r="29" spans="1:33">
      <c r="A29" s="15">
        <v>1</v>
      </c>
      <c r="B29" s="16" t="s">
        <v>5</v>
      </c>
      <c r="C29" s="17" t="s">
        <v>12</v>
      </c>
      <c r="D29" s="17" t="s">
        <v>12</v>
      </c>
      <c r="E29" s="18"/>
      <c r="F29" s="18">
        <f>E30/100*AA8*0.8+E31/100*AA7*0.8</f>
        <v>10.987305408</v>
      </c>
      <c r="G29" s="18"/>
      <c r="H29" s="18">
        <f>E30/100*AA8*0.08+E31/100*AA7*0.08</f>
        <v>1.0987305408</v>
      </c>
      <c r="I29" s="18">
        <f>E30/100*AA8*0.08+E31/100*AA7*0.08</f>
        <v>1.0987305408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32"/>
      <c r="V29" s="30"/>
      <c r="W29" s="30"/>
      <c r="X29" s="17"/>
      <c r="Z29" s="53"/>
      <c r="AA29" s="54"/>
      <c r="AB29" s="55"/>
      <c r="AC29" s="55"/>
      <c r="AD29" s="55"/>
      <c r="AE29" s="55"/>
      <c r="AF29" s="55"/>
      <c r="AG29" s="55"/>
    </row>
    <row r="30" spans="1:33">
      <c r="A30" s="19"/>
      <c r="B30" s="20"/>
      <c r="C30" s="16" t="s">
        <v>11</v>
      </c>
      <c r="D30" s="17" t="s">
        <v>51</v>
      </c>
      <c r="E30" s="18">
        <v>3234.52</v>
      </c>
      <c r="F30" s="18">
        <f>E30/100*AA6*0.8</f>
        <v>58.407668352</v>
      </c>
      <c r="G30" s="18"/>
      <c r="H30" s="18">
        <f>E30/100*AA6*0.08</f>
        <v>5.8407668352</v>
      </c>
      <c r="I30" s="18">
        <f>E30/100*AA6*0.08</f>
        <v>5.8407668352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32"/>
      <c r="V30" s="30"/>
      <c r="W30" s="30"/>
      <c r="X30" s="17"/>
      <c r="Z30" s="53"/>
      <c r="AA30" s="54"/>
      <c r="AB30" s="55"/>
      <c r="AC30" s="55"/>
      <c r="AD30" s="55"/>
      <c r="AE30" s="55"/>
      <c r="AF30" s="55"/>
      <c r="AG30" s="55"/>
    </row>
    <row r="31" spans="1:33">
      <c r="A31" s="19"/>
      <c r="B31" s="20"/>
      <c r="C31" s="20"/>
      <c r="D31" s="17" t="s">
        <v>52</v>
      </c>
      <c r="E31" s="18">
        <v>6125.04</v>
      </c>
      <c r="F31" s="18">
        <f>E31/100*AA5*0.8</f>
        <v>62.7831300096</v>
      </c>
      <c r="G31" s="18"/>
      <c r="H31" s="18">
        <f>E31/100*AA5*0.08</f>
        <v>6.27831300096</v>
      </c>
      <c r="I31" s="18">
        <f>E31/100*AA5*0.08</f>
        <v>6.27831300096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1"/>
      <c r="W31" s="11"/>
      <c r="X31" s="17"/>
      <c r="Z31" s="53"/>
      <c r="AA31" s="54"/>
      <c r="AB31" s="55"/>
      <c r="AC31" s="55"/>
      <c r="AD31" s="55"/>
      <c r="AE31" s="55"/>
      <c r="AF31" s="55"/>
      <c r="AG31" s="55"/>
    </row>
    <row r="32" spans="1:24">
      <c r="A32" s="21" t="s">
        <v>53</v>
      </c>
      <c r="B32" s="22"/>
      <c r="C32" s="22"/>
      <c r="D32" s="23"/>
      <c r="E32" s="24"/>
      <c r="F32" s="18"/>
      <c r="G32" s="24"/>
      <c r="H32" s="24"/>
      <c r="I32" s="24"/>
      <c r="J32" s="24"/>
      <c r="K32" s="24"/>
      <c r="L32" s="24"/>
      <c r="M32" s="1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7"/>
    </row>
    <row r="33" spans="1:24">
      <c r="A33" s="21" t="s">
        <v>54</v>
      </c>
      <c r="B33" s="22"/>
      <c r="C33" s="22"/>
      <c r="D33" s="23"/>
      <c r="E33" s="24"/>
      <c r="F33" s="18">
        <f>D40*0.15</f>
        <v>23.792058678528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>
      <c r="A34" s="25" t="s">
        <v>17</v>
      </c>
      <c r="B34" s="25"/>
      <c r="C34" s="25"/>
      <c r="D34" s="25"/>
      <c r="E34" s="26"/>
      <c r="F34" s="26">
        <f>SUM(F29:F33)</f>
        <v>155.970162448128</v>
      </c>
      <c r="G34" s="26">
        <f>SUM(G29:G33)</f>
        <v>0</v>
      </c>
      <c r="H34" s="26">
        <f>SUM(H29:H33)</f>
        <v>13.21781037696</v>
      </c>
      <c r="I34" s="26">
        <f>SUM(I29:I33)</f>
        <v>13.21781037696</v>
      </c>
      <c r="J34" s="26">
        <f t="shared" ref="J34:V34" si="0">SUM(J29:J33)</f>
        <v>0</v>
      </c>
      <c r="K34" s="26">
        <f t="shared" si="0"/>
        <v>0</v>
      </c>
      <c r="L34" s="26">
        <f t="shared" si="0"/>
        <v>0</v>
      </c>
      <c r="M34" s="26">
        <f t="shared" si="0"/>
        <v>0</v>
      </c>
      <c r="N34" s="26">
        <f t="shared" si="0"/>
        <v>0</v>
      </c>
      <c r="O34" s="26">
        <f t="shared" si="0"/>
        <v>0</v>
      </c>
      <c r="P34" s="26">
        <f t="shared" si="0"/>
        <v>0</v>
      </c>
      <c r="Q34" s="26">
        <f t="shared" si="0"/>
        <v>0</v>
      </c>
      <c r="R34" s="26">
        <f t="shared" si="0"/>
        <v>0</v>
      </c>
      <c r="S34" s="26">
        <f t="shared" si="0"/>
        <v>0</v>
      </c>
      <c r="T34" s="26">
        <f t="shared" si="0"/>
        <v>0</v>
      </c>
      <c r="U34" s="26">
        <f t="shared" si="0"/>
        <v>0</v>
      </c>
      <c r="V34" s="26">
        <f t="shared" si="0"/>
        <v>0</v>
      </c>
      <c r="W34" s="24"/>
      <c r="X34" s="24"/>
    </row>
    <row r="35" spans="1:24">
      <c r="A35" s="25" t="s">
        <v>55</v>
      </c>
      <c r="B35" s="25"/>
      <c r="C35" s="25"/>
      <c r="D35" s="27">
        <f>SUM(F29:I31)</f>
        <v>158.61372452352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5" t="s">
        <v>56</v>
      </c>
      <c r="B36" s="25"/>
      <c r="C36" s="25"/>
      <c r="D36" s="27">
        <f>SUM(J29:L31)</f>
        <v>0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5" t="s">
        <v>57</v>
      </c>
      <c r="B37" s="25"/>
      <c r="C37" s="25"/>
      <c r="D37" s="27">
        <f>SUM(M29:O31)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5" t="s">
        <v>58</v>
      </c>
      <c r="B38" s="25"/>
      <c r="C38" s="25"/>
      <c r="D38" s="27">
        <f>SUM(P29:S31)</f>
        <v>0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5" t="s">
        <v>59</v>
      </c>
      <c r="B39" s="25"/>
      <c r="C39" s="25"/>
      <c r="D39" s="27">
        <f>SUM(T29:T31)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>
      <c r="A40" s="25" t="s">
        <v>60</v>
      </c>
      <c r="B40" s="25"/>
      <c r="C40" s="27"/>
      <c r="D40" s="27">
        <f>SUM(F29:V31)</f>
        <v>158.61372452352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>
      <c r="A41" s="25" t="s">
        <v>61</v>
      </c>
      <c r="B41" s="25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</sheetData>
  <mergeCells count="59">
    <mergeCell ref="A8:X8"/>
    <mergeCell ref="F9:T9"/>
    <mergeCell ref="F10:I10"/>
    <mergeCell ref="J10:L10"/>
    <mergeCell ref="M10:O10"/>
    <mergeCell ref="P10:T10"/>
    <mergeCell ref="A19:D19"/>
    <mergeCell ref="A20:D20"/>
    <mergeCell ref="A21:B21"/>
    <mergeCell ref="A22:B22"/>
    <mergeCell ref="F22:X22"/>
    <mergeCell ref="A23:B23"/>
    <mergeCell ref="F23:X23"/>
    <mergeCell ref="A24:B24"/>
    <mergeCell ref="F24:X24"/>
    <mergeCell ref="A25:X25"/>
    <mergeCell ref="F26:T26"/>
    <mergeCell ref="F27:I27"/>
    <mergeCell ref="J27:L27"/>
    <mergeCell ref="M27:O27"/>
    <mergeCell ref="P27:S27"/>
    <mergeCell ref="A32:D32"/>
    <mergeCell ref="A33:D33"/>
    <mergeCell ref="A34:B34"/>
    <mergeCell ref="A35:B35"/>
    <mergeCell ref="F35:X35"/>
    <mergeCell ref="A36:B36"/>
    <mergeCell ref="F36:X36"/>
    <mergeCell ref="A37:B37"/>
    <mergeCell ref="F37:X37"/>
    <mergeCell ref="A38:B38"/>
    <mergeCell ref="F38:X38"/>
    <mergeCell ref="A39:B39"/>
    <mergeCell ref="A40:B40"/>
    <mergeCell ref="F40:X40"/>
    <mergeCell ref="A41:B41"/>
    <mergeCell ref="A9:A11"/>
    <mergeCell ref="A12:A18"/>
    <mergeCell ref="A26:A28"/>
    <mergeCell ref="A29:A31"/>
    <mergeCell ref="B9:B11"/>
    <mergeCell ref="B12:B18"/>
    <mergeCell ref="B26:B28"/>
    <mergeCell ref="B29:B31"/>
    <mergeCell ref="C9:C11"/>
    <mergeCell ref="C12:C15"/>
    <mergeCell ref="C26:C28"/>
    <mergeCell ref="C30:C31"/>
    <mergeCell ref="D9:D11"/>
    <mergeCell ref="D26:D28"/>
    <mergeCell ref="E9:E11"/>
    <mergeCell ref="E26:E28"/>
    <mergeCell ref="W9:W11"/>
    <mergeCell ref="W26:W28"/>
    <mergeCell ref="X9:X11"/>
    <mergeCell ref="X26:X28"/>
    <mergeCell ref="Y5:Y8"/>
    <mergeCell ref="Y9:Y10"/>
    <mergeCell ref="Y11:Y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H41"/>
  <sheetViews>
    <sheetView topLeftCell="A17" workbookViewId="0">
      <selection activeCell="F45" sqref="F45"/>
    </sheetView>
  </sheetViews>
  <sheetFormatPr defaultColWidth="9" defaultRowHeight="13.5"/>
  <cols>
    <col min="4" max="4" width="12.75" customWidth="1"/>
    <col min="5" max="5" width="20.375" customWidth="1"/>
    <col min="6" max="6" width="12.625"/>
    <col min="7" max="7" width="9.75" customWidth="1"/>
    <col min="24" max="24" width="31.5" customWidth="1"/>
    <col min="27" max="27" width="23.375" customWidth="1"/>
    <col min="28" max="28" width="16.75" customWidth="1"/>
    <col min="29" max="29" width="20.25" customWidth="1"/>
    <col min="30" max="30" width="18.625" customWidth="1"/>
    <col min="31" max="31" width="10.625" customWidth="1"/>
    <col min="32" max="33" width="9.875"/>
  </cols>
  <sheetData>
    <row r="4" spans="25:31">
      <c r="Y4" s="25"/>
      <c r="Z4" s="25"/>
      <c r="AA4" s="25" t="s">
        <v>0</v>
      </c>
      <c r="AB4" s="25" t="s">
        <v>1</v>
      </c>
      <c r="AC4" s="25" t="s">
        <v>2</v>
      </c>
      <c r="AD4" s="25" t="s">
        <v>3</v>
      </c>
      <c r="AE4" s="25" t="s">
        <v>4</v>
      </c>
    </row>
    <row r="5" spans="25:31">
      <c r="Y5" s="15" t="s">
        <v>5</v>
      </c>
      <c r="Z5" s="25" t="s">
        <v>6</v>
      </c>
      <c r="AA5" s="25">
        <f>5*0.91*0.2*0.88</f>
        <v>0.8008</v>
      </c>
      <c r="AB5" s="25"/>
      <c r="AC5" s="25"/>
      <c r="AD5" s="25"/>
      <c r="AE5" s="25"/>
    </row>
    <row r="6" spans="25:31">
      <c r="Y6" s="19"/>
      <c r="Z6" s="25" t="s">
        <v>7</v>
      </c>
      <c r="AA6" s="25">
        <f>15*0.855*0.2*0.88</f>
        <v>2.2572</v>
      </c>
      <c r="AB6" s="25"/>
      <c r="AC6" s="25"/>
      <c r="AD6" s="25"/>
      <c r="AE6" s="25"/>
    </row>
    <row r="7" spans="25:31">
      <c r="Y7" s="33"/>
      <c r="Z7" s="25" t="s">
        <v>8</v>
      </c>
      <c r="AA7" s="25">
        <f>5*0.09*0.15*0.8</f>
        <v>0.054</v>
      </c>
      <c r="AB7" s="25"/>
      <c r="AC7" s="25"/>
      <c r="AD7" s="25"/>
      <c r="AE7" s="25"/>
    </row>
    <row r="8" ht="17.1" customHeight="1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4"/>
      <c r="Z8" s="25" t="s">
        <v>9</v>
      </c>
      <c r="AA8" s="25">
        <f>15*0.145*0.15*0.8</f>
        <v>0.261</v>
      </c>
      <c r="AB8" s="25"/>
      <c r="AC8" s="25"/>
      <c r="AD8" s="25"/>
      <c r="AE8" s="25"/>
    </row>
    <row r="9" ht="21" customHeight="1" spans="1:31">
      <c r="A9" s="2"/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5" t="s">
        <v>10</v>
      </c>
      <c r="Z9" s="25" t="s">
        <v>11</v>
      </c>
      <c r="AA9" s="25">
        <f>15*0.855*0.2*0.4</f>
        <v>1.026</v>
      </c>
      <c r="AB9" s="25">
        <f>15*0.855*0.2*0.29</f>
        <v>0.74385</v>
      </c>
      <c r="AC9" s="25">
        <f>15*0.855*0.2*0.14</f>
        <v>0.3591</v>
      </c>
      <c r="AD9" s="25">
        <f>15*0.855*0.2*0.145</f>
        <v>0.371925</v>
      </c>
      <c r="AE9" s="25">
        <f>15*0.855*0.2*0.025</f>
        <v>0.064125</v>
      </c>
    </row>
    <row r="10" ht="23.1" customHeight="1" spans="1:31">
      <c r="A10" s="2"/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5"/>
      <c r="Z10" s="25" t="s">
        <v>12</v>
      </c>
      <c r="AA10" s="25">
        <f>15*0.145*0.15*0.55</f>
        <v>0.1794375</v>
      </c>
      <c r="AB10" s="25">
        <f>15*0.145*0.15*0.05</f>
        <v>0.0163125</v>
      </c>
      <c r="AC10" s="25">
        <f>15*0.145*0.15*0.27</f>
        <v>0.0880875</v>
      </c>
      <c r="AD10" s="25">
        <f>15*0.145*0.15*0.08</f>
        <v>0.0261</v>
      </c>
      <c r="AE10" s="25">
        <f>15*0.145*0.15*0.05</f>
        <v>0.0163125</v>
      </c>
    </row>
    <row r="11" spans="1:31">
      <c r="A11" s="2"/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5" t="s">
        <v>13</v>
      </c>
      <c r="Z11" s="25" t="s">
        <v>11</v>
      </c>
      <c r="AA11" s="25">
        <f>15*0.855*0.6*0.334</f>
        <v>2.57013</v>
      </c>
      <c r="AB11" s="25">
        <f>15*0.855*0.6*0.388</f>
        <v>2.98566</v>
      </c>
      <c r="AC11" s="25">
        <f>15*0.855*0.6*0.13</f>
        <v>1.00035</v>
      </c>
      <c r="AD11" s="25">
        <f>15*0.855*0.6*0.147</f>
        <v>1.131165</v>
      </c>
      <c r="AE11" s="25">
        <f>15*0.855*0.6*0.01</f>
        <v>0.07695</v>
      </c>
    </row>
    <row r="12" spans="1:31">
      <c r="A12" s="4"/>
      <c r="B12" s="5"/>
      <c r="C12" s="5"/>
      <c r="D12" s="5"/>
      <c r="E12" s="6"/>
      <c r="F12" s="6"/>
      <c r="G12" s="2"/>
      <c r="H12" s="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"/>
      <c r="W12" s="2"/>
      <c r="X12" s="5"/>
      <c r="Y12" s="25"/>
      <c r="Z12" s="25" t="s">
        <v>12</v>
      </c>
      <c r="AA12" s="25">
        <f>15*0.145*0.7*0.43</f>
        <v>0.654675</v>
      </c>
      <c r="AB12" s="25">
        <f>15*0.145*0.7*0.04</f>
        <v>0.0609</v>
      </c>
      <c r="AC12" s="25">
        <f>15*0.145*0.7*0.34</f>
        <v>0.51765</v>
      </c>
      <c r="AD12" s="25">
        <f>15*0.145*0.7*0.16</f>
        <v>0.2436</v>
      </c>
      <c r="AE12" s="25">
        <f>15*0.145*0.7*0.03</f>
        <v>0.045675</v>
      </c>
    </row>
    <row r="13" ht="14.25" spans="1:34">
      <c r="A13" s="4"/>
      <c r="B13" s="5"/>
      <c r="C13" s="5"/>
      <c r="D13" s="5"/>
      <c r="E13" s="6"/>
      <c r="F13" s="6"/>
      <c r="G13" s="6"/>
      <c r="H13" s="6"/>
      <c r="I13" s="6"/>
      <c r="J13" s="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"/>
      <c r="W13" s="2"/>
      <c r="X13" s="5"/>
      <c r="Z13" s="35" t="s">
        <v>14</v>
      </c>
      <c r="AA13" s="36"/>
      <c r="AB13" s="36">
        <v>0.145</v>
      </c>
      <c r="AC13" s="36"/>
      <c r="AD13" s="36"/>
      <c r="AE13" s="36"/>
      <c r="AF13" s="36"/>
      <c r="AG13" s="36"/>
      <c r="AH13" s="36"/>
    </row>
    <row r="14" ht="15" spans="1:34">
      <c r="A14" s="4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"/>
      <c r="W14" s="2"/>
      <c r="X14" s="5"/>
      <c r="Z14" s="37"/>
      <c r="AA14" s="38" t="s">
        <v>15</v>
      </c>
      <c r="AB14" s="38" t="s">
        <v>0</v>
      </c>
      <c r="AC14" s="38" t="s">
        <v>1</v>
      </c>
      <c r="AD14" s="38" t="s">
        <v>2</v>
      </c>
      <c r="AE14" s="38" t="s">
        <v>4</v>
      </c>
      <c r="AF14" s="38" t="s">
        <v>16</v>
      </c>
      <c r="AG14" s="38" t="s">
        <v>17</v>
      </c>
      <c r="AH14" s="56" t="s">
        <v>18</v>
      </c>
    </row>
    <row r="15" ht="82.5" spans="1:34">
      <c r="A15" s="4"/>
      <c r="B15" s="5"/>
      <c r="C15" s="5"/>
      <c r="D15" s="5"/>
      <c r="E15" s="6"/>
      <c r="F15" s="6"/>
      <c r="G15" s="2"/>
      <c r="H15" s="2"/>
      <c r="I15" s="2"/>
      <c r="J15" s="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"/>
      <c r="W15" s="2"/>
      <c r="X15" s="5"/>
      <c r="Z15" s="39" t="s">
        <v>5</v>
      </c>
      <c r="AA15" s="40">
        <v>0.15</v>
      </c>
      <c r="AB15" s="41">
        <v>0.8</v>
      </c>
      <c r="AC15" s="41">
        <v>0.05</v>
      </c>
      <c r="AD15" s="41">
        <v>0.05</v>
      </c>
      <c r="AE15" s="41">
        <v>0.05</v>
      </c>
      <c r="AF15" s="41">
        <v>0.05</v>
      </c>
      <c r="AG15" s="41">
        <v>1</v>
      </c>
      <c r="AH15" s="57" t="s">
        <v>19</v>
      </c>
    </row>
    <row r="16" ht="68.25" spans="1:34">
      <c r="A16" s="4"/>
      <c r="B16" s="5"/>
      <c r="C16" s="5"/>
      <c r="D16" s="5"/>
      <c r="E16" s="6"/>
      <c r="F16" s="6"/>
      <c r="G16" s="2"/>
      <c r="H16" s="2"/>
      <c r="I16" s="2"/>
      <c r="J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"/>
      <c r="W16" s="2"/>
      <c r="X16" s="5"/>
      <c r="Z16" s="39" t="s">
        <v>10</v>
      </c>
      <c r="AA16" s="40">
        <v>0.15</v>
      </c>
      <c r="AB16" s="41">
        <v>0.55</v>
      </c>
      <c r="AC16" s="41">
        <v>0.05</v>
      </c>
      <c r="AD16" s="41">
        <v>0.27</v>
      </c>
      <c r="AE16" s="41">
        <v>0.05</v>
      </c>
      <c r="AF16" s="41">
        <v>0.08</v>
      </c>
      <c r="AG16" s="41">
        <v>1</v>
      </c>
      <c r="AH16" s="57" t="s">
        <v>20</v>
      </c>
    </row>
    <row r="17" ht="82.5" spans="1:34">
      <c r="A17" s="4"/>
      <c r="B17" s="5"/>
      <c r="C17" s="5"/>
      <c r="D17" s="5"/>
      <c r="E17" s="6"/>
      <c r="F17" s="6"/>
      <c r="G17" s="2"/>
      <c r="H17" s="2"/>
      <c r="I17" s="2"/>
      <c r="J17" s="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"/>
      <c r="W17" s="2"/>
      <c r="X17" s="5"/>
      <c r="Z17" s="39" t="s">
        <v>13</v>
      </c>
      <c r="AA17" s="40">
        <v>0.7</v>
      </c>
      <c r="AB17" s="41">
        <v>0.43</v>
      </c>
      <c r="AC17" s="41">
        <v>0.04</v>
      </c>
      <c r="AD17" s="41">
        <v>0.34</v>
      </c>
      <c r="AE17" s="41">
        <v>0.03</v>
      </c>
      <c r="AF17" s="41">
        <v>0.16</v>
      </c>
      <c r="AG17" s="41">
        <v>1</v>
      </c>
      <c r="AH17" s="57" t="s">
        <v>21</v>
      </c>
    </row>
    <row r="18" ht="15" spans="1:34">
      <c r="A18" s="4"/>
      <c r="B18" s="5"/>
      <c r="C18" s="5"/>
      <c r="D18" s="5"/>
      <c r="E18" s="6"/>
      <c r="F18" s="6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"/>
      <c r="W18" s="2"/>
      <c r="X18" s="5"/>
      <c r="Z18" s="42" t="s">
        <v>17</v>
      </c>
      <c r="AA18" s="43">
        <v>1</v>
      </c>
      <c r="AB18" s="43"/>
      <c r="AC18" s="43"/>
      <c r="AD18" s="43"/>
      <c r="AE18" s="43"/>
      <c r="AF18" s="43"/>
      <c r="AG18" s="43"/>
      <c r="AH18" s="58"/>
    </row>
    <row r="19" ht="15" spans="1:33">
      <c r="A19" s="4"/>
      <c r="B19" s="4"/>
      <c r="C19" s="4"/>
      <c r="D19" s="4"/>
      <c r="E19" s="7"/>
      <c r="F19" s="6"/>
      <c r="G19" s="7"/>
      <c r="H19" s="7"/>
      <c r="I19" s="7"/>
      <c r="J19" s="7"/>
      <c r="K19" s="7"/>
      <c r="L19" s="7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5"/>
      <c r="AA19" s="3">
        <v>0.855</v>
      </c>
      <c r="AB19" s="44"/>
      <c r="AC19" s="44"/>
      <c r="AD19" s="44"/>
      <c r="AE19" s="44"/>
      <c r="AF19" s="44"/>
      <c r="AG19" s="44"/>
    </row>
    <row r="20" ht="21" spans="1:34">
      <c r="A20" s="4"/>
      <c r="B20" s="4"/>
      <c r="C20" s="4"/>
      <c r="D20" s="4"/>
      <c r="E20" s="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AA20" s="45" t="s">
        <v>11</v>
      </c>
      <c r="AB20" s="46" t="s">
        <v>15</v>
      </c>
      <c r="AC20" s="46" t="s">
        <v>0</v>
      </c>
      <c r="AD20" s="46" t="s">
        <v>1</v>
      </c>
      <c r="AE20" s="46" t="s">
        <v>2</v>
      </c>
      <c r="AF20" s="46" t="s">
        <v>4</v>
      </c>
      <c r="AG20" s="46" t="s">
        <v>16</v>
      </c>
      <c r="AH20" s="46" t="s">
        <v>17</v>
      </c>
    </row>
    <row r="21" ht="21" spans="1:34">
      <c r="A21" s="4"/>
      <c r="B21" s="4"/>
      <c r="C21" s="4"/>
      <c r="D21" s="4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AA21" s="47" t="s">
        <v>5</v>
      </c>
      <c r="AB21" s="48">
        <v>0.2</v>
      </c>
      <c r="AC21" s="49">
        <v>0.88</v>
      </c>
      <c r="AD21" s="49">
        <v>0.04</v>
      </c>
      <c r="AE21" s="49">
        <v>0.03</v>
      </c>
      <c r="AF21" s="49">
        <v>0.016</v>
      </c>
      <c r="AG21" s="49">
        <v>0.025</v>
      </c>
      <c r="AH21" s="49">
        <v>1</v>
      </c>
    </row>
    <row r="22" ht="21" spans="1:34">
      <c r="A22" s="4"/>
      <c r="B22" s="4"/>
      <c r="C22" s="4"/>
      <c r="D22" s="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AA22" s="47" t="s">
        <v>10</v>
      </c>
      <c r="AB22" s="48">
        <v>0.2</v>
      </c>
      <c r="AC22" s="49">
        <v>0.4</v>
      </c>
      <c r="AD22" s="49">
        <v>0.29</v>
      </c>
      <c r="AE22" s="49">
        <v>0.14</v>
      </c>
      <c r="AF22" s="49">
        <v>0.025</v>
      </c>
      <c r="AG22" s="49">
        <v>0.145</v>
      </c>
      <c r="AH22" s="49">
        <v>1</v>
      </c>
    </row>
    <row r="23" ht="21" spans="1:34">
      <c r="A23" s="4"/>
      <c r="B23" s="4"/>
      <c r="C23" s="4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AA23" s="47" t="s">
        <v>13</v>
      </c>
      <c r="AB23" s="48">
        <v>0.6</v>
      </c>
      <c r="AC23" s="49">
        <v>0.334</v>
      </c>
      <c r="AD23" s="49">
        <v>0.388</v>
      </c>
      <c r="AE23" s="49">
        <v>0.13</v>
      </c>
      <c r="AF23" s="49">
        <v>0.01</v>
      </c>
      <c r="AG23" s="49">
        <v>0.147</v>
      </c>
      <c r="AH23" s="49">
        <v>1</v>
      </c>
    </row>
    <row r="24" ht="21" spans="1:34">
      <c r="A24" s="4"/>
      <c r="B24" s="4"/>
      <c r="C24" s="4"/>
      <c r="D24" s="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AA24" s="47" t="s">
        <v>17</v>
      </c>
      <c r="AB24" s="49">
        <v>1</v>
      </c>
      <c r="AC24" s="49">
        <v>0.4564</v>
      </c>
      <c r="AD24" s="49">
        <v>0.2988</v>
      </c>
      <c r="AE24" s="49">
        <v>0.112</v>
      </c>
      <c r="AF24" s="49">
        <v>0.0142</v>
      </c>
      <c r="AG24" s="49">
        <v>0.1222</v>
      </c>
      <c r="AH24" s="59"/>
    </row>
    <row r="25" ht="15.75" spans="1:34">
      <c r="A25" s="9" t="s">
        <v>62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29"/>
      <c r="AA25" s="50"/>
      <c r="AB25" s="51"/>
      <c r="AC25" s="51"/>
      <c r="AD25" s="51"/>
      <c r="AE25" s="51"/>
      <c r="AF25" s="51"/>
      <c r="AG25" s="51"/>
      <c r="AH25" s="51"/>
    </row>
    <row r="26" ht="15.75" spans="1:34">
      <c r="A26" s="11" t="s">
        <v>23</v>
      </c>
      <c r="B26" s="12" t="s">
        <v>24</v>
      </c>
      <c r="C26" s="12" t="s">
        <v>25</v>
      </c>
      <c r="D26" s="12" t="s">
        <v>26</v>
      </c>
      <c r="E26" s="11" t="s">
        <v>27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30"/>
      <c r="V26" s="30"/>
      <c r="W26" s="30" t="s">
        <v>28</v>
      </c>
      <c r="X26" s="11" t="s">
        <v>29</v>
      </c>
      <c r="AA26" s="51"/>
      <c r="AB26" s="52"/>
      <c r="AC26" s="50"/>
      <c r="AD26" s="50"/>
      <c r="AE26" s="50"/>
      <c r="AF26" s="50"/>
      <c r="AG26" s="50"/>
      <c r="AH26" s="50"/>
    </row>
    <row r="27" ht="15.75" spans="1:34">
      <c r="A27" s="11"/>
      <c r="B27" s="12"/>
      <c r="C27" s="12"/>
      <c r="D27" s="12"/>
      <c r="E27" s="11"/>
      <c r="F27" s="13" t="s">
        <v>30</v>
      </c>
      <c r="G27" s="14"/>
      <c r="H27" s="14"/>
      <c r="I27" s="14"/>
      <c r="J27" s="11" t="s">
        <v>31</v>
      </c>
      <c r="K27" s="11"/>
      <c r="L27" s="11"/>
      <c r="M27" s="11" t="s">
        <v>32</v>
      </c>
      <c r="N27" s="11"/>
      <c r="O27" s="11"/>
      <c r="P27" s="13" t="s">
        <v>33</v>
      </c>
      <c r="Q27" s="14"/>
      <c r="R27" s="14"/>
      <c r="S27" s="31"/>
      <c r="T27" s="13" t="s">
        <v>4</v>
      </c>
      <c r="U27" s="13" t="s">
        <v>34</v>
      </c>
      <c r="V27" s="13" t="s">
        <v>35</v>
      </c>
      <c r="W27" s="11"/>
      <c r="X27" s="11"/>
      <c r="AA27" s="51"/>
      <c r="AB27" s="52"/>
      <c r="AC27" s="50"/>
      <c r="AD27" s="50"/>
      <c r="AE27" s="50"/>
      <c r="AF27" s="50"/>
      <c r="AG27" s="50"/>
      <c r="AH27" s="50"/>
    </row>
    <row r="28" spans="1:33">
      <c r="A28" s="11"/>
      <c r="B28" s="12"/>
      <c r="C28" s="12"/>
      <c r="D28" s="12"/>
      <c r="E28" s="11"/>
      <c r="F28" s="11" t="s">
        <v>36</v>
      </c>
      <c r="G28" s="11" t="s">
        <v>37</v>
      </c>
      <c r="H28" s="11" t="s">
        <v>38</v>
      </c>
      <c r="I28" s="11" t="s">
        <v>39</v>
      </c>
      <c r="J28" s="11" t="s">
        <v>40</v>
      </c>
      <c r="K28" s="11" t="s">
        <v>41</v>
      </c>
      <c r="L28" s="11" t="s">
        <v>42</v>
      </c>
      <c r="M28" s="11" t="s">
        <v>43</v>
      </c>
      <c r="N28" s="11" t="s">
        <v>44</v>
      </c>
      <c r="O28" s="11" t="s">
        <v>45</v>
      </c>
      <c r="P28" s="11" t="s">
        <v>46</v>
      </c>
      <c r="Q28" s="11" t="s">
        <v>47</v>
      </c>
      <c r="R28" s="11" t="s">
        <v>42</v>
      </c>
      <c r="S28" s="11" t="s">
        <v>48</v>
      </c>
      <c r="T28" s="11" t="s">
        <v>49</v>
      </c>
      <c r="U28" s="11" t="s">
        <v>46</v>
      </c>
      <c r="V28" s="11" t="s">
        <v>50</v>
      </c>
      <c r="W28" s="11"/>
      <c r="X28" s="11"/>
      <c r="AA28" s="53"/>
      <c r="AB28" s="53"/>
      <c r="AC28" s="53"/>
      <c r="AD28" s="53"/>
      <c r="AE28" s="53"/>
      <c r="AF28" s="53"/>
      <c r="AG28" s="53"/>
    </row>
    <row r="29" spans="1:33">
      <c r="A29" s="15">
        <v>1</v>
      </c>
      <c r="B29" s="16" t="s">
        <v>5</v>
      </c>
      <c r="C29" s="17" t="s">
        <v>12</v>
      </c>
      <c r="D29" s="17" t="s">
        <v>12</v>
      </c>
      <c r="E29" s="18"/>
      <c r="F29" s="18">
        <f>E30/100*AA8*0.8+E31/100*AA7*0.8</f>
        <v>21.58846056</v>
      </c>
      <c r="G29" s="18"/>
      <c r="H29" s="18">
        <f>E30/100*AA8*0.08+E31/100*AA7*0.08</f>
        <v>2.158846056</v>
      </c>
      <c r="I29" s="18">
        <f>E30/100*AA8*0.08+E31/100*AA7*0.08</f>
        <v>2.158846056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32"/>
      <c r="V29" s="30"/>
      <c r="W29" s="30"/>
      <c r="X29" s="17"/>
      <c r="Z29" s="53"/>
      <c r="AA29" s="54"/>
      <c r="AB29" s="55"/>
      <c r="AC29" s="55"/>
      <c r="AD29" s="55"/>
      <c r="AE29" s="55"/>
      <c r="AF29" s="55"/>
      <c r="AG29" s="55"/>
    </row>
    <row r="30" ht="27" spans="1:33">
      <c r="A30" s="19"/>
      <c r="B30" s="20"/>
      <c r="C30" s="16" t="s">
        <v>11</v>
      </c>
      <c r="D30" s="17" t="s">
        <v>63</v>
      </c>
      <c r="E30" s="18">
        <f>26863.31-E31</f>
        <v>6028.69</v>
      </c>
      <c r="F30" s="18">
        <f>E30/100*AA6*0.8</f>
        <v>108.863672544</v>
      </c>
      <c r="G30" s="18"/>
      <c r="H30" s="18">
        <f>E30/100*AA6*0.08</f>
        <v>10.8863672544</v>
      </c>
      <c r="I30" s="18">
        <f>E30/100*AA6*0.08</f>
        <v>10.8863672544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32"/>
      <c r="V30" s="30"/>
      <c r="W30" s="30"/>
      <c r="X30" s="17"/>
      <c r="Z30" s="53"/>
      <c r="AA30" s="54"/>
      <c r="AB30" s="55"/>
      <c r="AC30" s="55"/>
      <c r="AD30" s="55"/>
      <c r="AE30" s="55"/>
      <c r="AF30" s="55"/>
      <c r="AG30" s="55"/>
    </row>
    <row r="31" spans="1:33">
      <c r="A31" s="19"/>
      <c r="B31" s="20"/>
      <c r="C31" s="20"/>
      <c r="D31" s="17" t="s">
        <v>64</v>
      </c>
      <c r="E31" s="18">
        <f>1990.64+8438.04+2308.5+1722.44+6375</f>
        <v>20834.62</v>
      </c>
      <c r="F31" s="18">
        <f>E31/100*AA5*0.8</f>
        <v>133.474909568</v>
      </c>
      <c r="G31" s="18"/>
      <c r="H31" s="18">
        <f>E31/100*AA5*0.08</f>
        <v>13.3474909568</v>
      </c>
      <c r="I31" s="18">
        <f>E31/100*AA5*0.08</f>
        <v>13.3474909568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1"/>
      <c r="W31" s="11"/>
      <c r="X31" s="17"/>
      <c r="Z31" s="53"/>
      <c r="AA31" s="54"/>
      <c r="AB31" s="55"/>
      <c r="AC31" s="55"/>
      <c r="AD31" s="55"/>
      <c r="AE31" s="55"/>
      <c r="AF31" s="55"/>
      <c r="AG31" s="55"/>
    </row>
    <row r="32" spans="1:24">
      <c r="A32" s="21" t="s">
        <v>53</v>
      </c>
      <c r="B32" s="22"/>
      <c r="C32" s="22"/>
      <c r="D32" s="23"/>
      <c r="E32" s="24"/>
      <c r="F32" s="18"/>
      <c r="G32" s="24"/>
      <c r="H32" s="24"/>
      <c r="I32" s="24"/>
      <c r="J32" s="24"/>
      <c r="K32" s="24"/>
      <c r="L32" s="24"/>
      <c r="M32" s="1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7"/>
    </row>
    <row r="33" spans="1:24">
      <c r="A33" s="21" t="s">
        <v>54</v>
      </c>
      <c r="B33" s="22"/>
      <c r="C33" s="22"/>
      <c r="D33" s="23"/>
      <c r="E33" s="24"/>
      <c r="F33" s="1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>
      <c r="A34" s="25" t="s">
        <v>17</v>
      </c>
      <c r="B34" s="25"/>
      <c r="C34" s="25"/>
      <c r="D34" s="25"/>
      <c r="E34" s="26"/>
      <c r="F34" s="26">
        <f t="shared" ref="F34:V34" si="0">SUM(F29:F33)</f>
        <v>263.927042672</v>
      </c>
      <c r="G34" s="26">
        <f t="shared" si="0"/>
        <v>0</v>
      </c>
      <c r="H34" s="26">
        <f t="shared" si="0"/>
        <v>26.3927042672</v>
      </c>
      <c r="I34" s="26">
        <f t="shared" si="0"/>
        <v>26.3927042672</v>
      </c>
      <c r="J34" s="26">
        <f t="shared" si="0"/>
        <v>0</v>
      </c>
      <c r="K34" s="26">
        <f t="shared" si="0"/>
        <v>0</v>
      </c>
      <c r="L34" s="26">
        <f t="shared" si="0"/>
        <v>0</v>
      </c>
      <c r="M34" s="26">
        <f t="shared" si="0"/>
        <v>0</v>
      </c>
      <c r="N34" s="26">
        <f t="shared" si="0"/>
        <v>0</v>
      </c>
      <c r="O34" s="26">
        <f t="shared" si="0"/>
        <v>0</v>
      </c>
      <c r="P34" s="26">
        <f t="shared" si="0"/>
        <v>0</v>
      </c>
      <c r="Q34" s="26">
        <f t="shared" si="0"/>
        <v>0</v>
      </c>
      <c r="R34" s="26">
        <f t="shared" si="0"/>
        <v>0</v>
      </c>
      <c r="S34" s="26">
        <f t="shared" si="0"/>
        <v>0</v>
      </c>
      <c r="T34" s="26">
        <f t="shared" si="0"/>
        <v>0</v>
      </c>
      <c r="U34" s="26">
        <f t="shared" si="0"/>
        <v>0</v>
      </c>
      <c r="V34" s="26">
        <f t="shared" si="0"/>
        <v>0</v>
      </c>
      <c r="W34" s="24"/>
      <c r="X34" s="24"/>
    </row>
    <row r="35" spans="1:24">
      <c r="A35" s="25" t="s">
        <v>55</v>
      </c>
      <c r="B35" s="25"/>
      <c r="C35" s="25"/>
      <c r="D35" s="27">
        <f>SUM(F29:I31)</f>
        <v>316.7124512064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5" t="s">
        <v>56</v>
      </c>
      <c r="B36" s="25"/>
      <c r="C36" s="25"/>
      <c r="D36" s="27">
        <f>SUM(J29:L31)</f>
        <v>0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5" t="s">
        <v>57</v>
      </c>
      <c r="B37" s="25"/>
      <c r="C37" s="25"/>
      <c r="D37" s="27">
        <f>SUM(M29:O31)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5" t="s">
        <v>58</v>
      </c>
      <c r="B38" s="25"/>
      <c r="C38" s="25"/>
      <c r="D38" s="27">
        <f>SUM(P29:S31)</f>
        <v>0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5" t="s">
        <v>59</v>
      </c>
      <c r="B39" s="25"/>
      <c r="C39" s="25"/>
      <c r="D39" s="27">
        <f>SUM(T29:T31)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>
      <c r="A40" s="25" t="s">
        <v>60</v>
      </c>
      <c r="B40" s="25"/>
      <c r="C40" s="27"/>
      <c r="D40" s="27">
        <f>SUM(F29:V31)</f>
        <v>316.7124512064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>
      <c r="A41" s="25" t="s">
        <v>61</v>
      </c>
      <c r="B41" s="25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</sheetData>
  <mergeCells count="59">
    <mergeCell ref="A8:X8"/>
    <mergeCell ref="F9:T9"/>
    <mergeCell ref="F10:I10"/>
    <mergeCell ref="J10:L10"/>
    <mergeCell ref="M10:O10"/>
    <mergeCell ref="P10:T10"/>
    <mergeCell ref="A19:D19"/>
    <mergeCell ref="A20:D20"/>
    <mergeCell ref="A21:B21"/>
    <mergeCell ref="A22:B22"/>
    <mergeCell ref="F22:X22"/>
    <mergeCell ref="A23:B23"/>
    <mergeCell ref="F23:X23"/>
    <mergeCell ref="A24:B24"/>
    <mergeCell ref="F24:X24"/>
    <mergeCell ref="A25:X25"/>
    <mergeCell ref="F26:T26"/>
    <mergeCell ref="F27:I27"/>
    <mergeCell ref="J27:L27"/>
    <mergeCell ref="M27:O27"/>
    <mergeCell ref="P27:S27"/>
    <mergeCell ref="A32:D32"/>
    <mergeCell ref="A33:D33"/>
    <mergeCell ref="A34:B34"/>
    <mergeCell ref="A35:B35"/>
    <mergeCell ref="F35:X35"/>
    <mergeCell ref="A36:B36"/>
    <mergeCell ref="F36:X36"/>
    <mergeCell ref="A37:B37"/>
    <mergeCell ref="F37:X37"/>
    <mergeCell ref="A38:B38"/>
    <mergeCell ref="F38:X38"/>
    <mergeCell ref="A39:B39"/>
    <mergeCell ref="A40:B40"/>
    <mergeCell ref="F40:X40"/>
    <mergeCell ref="A41:B41"/>
    <mergeCell ref="A9:A11"/>
    <mergeCell ref="A12:A18"/>
    <mergeCell ref="A26:A28"/>
    <mergeCell ref="A29:A31"/>
    <mergeCell ref="B9:B11"/>
    <mergeCell ref="B12:B18"/>
    <mergeCell ref="B26:B28"/>
    <mergeCell ref="B29:B31"/>
    <mergeCell ref="C9:C11"/>
    <mergeCell ref="C12:C15"/>
    <mergeCell ref="C26:C28"/>
    <mergeCell ref="C30:C31"/>
    <mergeCell ref="D9:D11"/>
    <mergeCell ref="D26:D28"/>
    <mergeCell ref="E9:E11"/>
    <mergeCell ref="E26:E28"/>
    <mergeCell ref="W9:W11"/>
    <mergeCell ref="W26:W28"/>
    <mergeCell ref="X9:X11"/>
    <mergeCell ref="X26:X28"/>
    <mergeCell ref="Y5:Y8"/>
    <mergeCell ref="Y9:Y10"/>
    <mergeCell ref="Y11:Y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H41"/>
  <sheetViews>
    <sheetView zoomScale="130" zoomScaleNormal="130" topLeftCell="A21" workbookViewId="0">
      <selection activeCell="F44" sqref="F44"/>
    </sheetView>
  </sheetViews>
  <sheetFormatPr defaultColWidth="9" defaultRowHeight="13.5"/>
  <cols>
    <col min="4" max="4" width="12.75" customWidth="1"/>
    <col min="5" max="5" width="20.375" customWidth="1"/>
    <col min="6" max="6" width="12.625"/>
    <col min="7" max="7" width="9.75" customWidth="1"/>
    <col min="24" max="24" width="31.5" customWidth="1"/>
    <col min="27" max="27" width="23.375" customWidth="1"/>
    <col min="28" max="28" width="16.75" customWidth="1"/>
    <col min="29" max="29" width="20.25" customWidth="1"/>
    <col min="30" max="30" width="18.625" customWidth="1"/>
    <col min="31" max="31" width="10.625" customWidth="1"/>
    <col min="32" max="33" width="9.875"/>
  </cols>
  <sheetData>
    <row r="4" spans="25:31">
      <c r="Y4" s="25"/>
      <c r="Z4" s="25"/>
      <c r="AA4" s="25" t="s">
        <v>0</v>
      </c>
      <c r="AB4" s="25" t="s">
        <v>1</v>
      </c>
      <c r="AC4" s="25" t="s">
        <v>2</v>
      </c>
      <c r="AD4" s="25" t="s">
        <v>3</v>
      </c>
      <c r="AE4" s="25" t="s">
        <v>4</v>
      </c>
    </row>
    <row r="5" spans="25:31">
      <c r="Y5" s="15" t="s">
        <v>5</v>
      </c>
      <c r="Z5" s="25" t="s">
        <v>6</v>
      </c>
      <c r="AA5" s="25">
        <f>5*0.91*0.2*0.88</f>
        <v>0.8008</v>
      </c>
      <c r="AB5" s="25"/>
      <c r="AC5" s="25"/>
      <c r="AD5" s="25"/>
      <c r="AE5" s="25"/>
    </row>
    <row r="6" spans="25:31">
      <c r="Y6" s="19"/>
      <c r="Z6" s="25" t="s">
        <v>7</v>
      </c>
      <c r="AA6" s="25">
        <f>15*0.855*0.2*0.88</f>
        <v>2.2572</v>
      </c>
      <c r="AB6" s="25"/>
      <c r="AC6" s="25"/>
      <c r="AD6" s="25"/>
      <c r="AE6" s="25"/>
    </row>
    <row r="7" spans="25:31">
      <c r="Y7" s="33"/>
      <c r="Z7" s="25" t="s">
        <v>65</v>
      </c>
      <c r="AA7" s="25">
        <f>5*0.09*0.15*0.8</f>
        <v>0.054</v>
      </c>
      <c r="AB7" s="25"/>
      <c r="AC7" s="25"/>
      <c r="AD7" s="25"/>
      <c r="AE7" s="25"/>
    </row>
    <row r="8" ht="17.1" customHeight="1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4"/>
      <c r="Z8" s="25" t="s">
        <v>9</v>
      </c>
      <c r="AA8" s="25">
        <f>15*0.145*0.15*0.8</f>
        <v>0.261</v>
      </c>
      <c r="AB8" s="25"/>
      <c r="AC8" s="25"/>
      <c r="AD8" s="25"/>
      <c r="AE8" s="25"/>
    </row>
    <row r="9" ht="21" customHeight="1" spans="1:31">
      <c r="A9" s="2"/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5" t="s">
        <v>10</v>
      </c>
      <c r="Z9" s="25" t="s">
        <v>11</v>
      </c>
      <c r="AA9" s="25">
        <f>15*0.855*0.2*0.4</f>
        <v>1.026</v>
      </c>
      <c r="AB9" s="25">
        <f>15*0.855*0.2*0.29</f>
        <v>0.74385</v>
      </c>
      <c r="AC9" s="25">
        <f>15*0.855*0.2*0.14</f>
        <v>0.3591</v>
      </c>
      <c r="AD9" s="25">
        <f>15*0.855*0.2*0.145</f>
        <v>0.371925</v>
      </c>
      <c r="AE9" s="25">
        <f>15*0.855*0.2*0.025</f>
        <v>0.064125</v>
      </c>
    </row>
    <row r="10" ht="23.1" customHeight="1" spans="1:31">
      <c r="A10" s="2"/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5"/>
      <c r="Z10" s="25" t="s">
        <v>12</v>
      </c>
      <c r="AA10" s="25">
        <f>15*0.145*0.15*0.55</f>
        <v>0.1794375</v>
      </c>
      <c r="AB10" s="25">
        <f>15*0.145*0.15*0.05</f>
        <v>0.0163125</v>
      </c>
      <c r="AC10" s="25">
        <f>15*0.145*0.15*0.27</f>
        <v>0.0880875</v>
      </c>
      <c r="AD10" s="25">
        <f>15*0.145*0.15*0.08</f>
        <v>0.0261</v>
      </c>
      <c r="AE10" s="25">
        <f>15*0.145*0.15*0.05</f>
        <v>0.0163125</v>
      </c>
    </row>
    <row r="11" spans="1:31">
      <c r="A11" s="2"/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5" t="s">
        <v>13</v>
      </c>
      <c r="Z11" s="25" t="s">
        <v>11</v>
      </c>
      <c r="AA11" s="25">
        <f>15*0.855*0.6*0.334</f>
        <v>2.57013</v>
      </c>
      <c r="AB11" s="25">
        <f>15*0.855*0.6*0.388</f>
        <v>2.98566</v>
      </c>
      <c r="AC11" s="25">
        <f>15*0.855*0.6*0.13</f>
        <v>1.00035</v>
      </c>
      <c r="AD11" s="25">
        <f>15*0.855*0.6*0.147</f>
        <v>1.131165</v>
      </c>
      <c r="AE11" s="25">
        <f>15*0.855*0.6*0.01</f>
        <v>0.07695</v>
      </c>
    </row>
    <row r="12" spans="1:31">
      <c r="A12" s="4"/>
      <c r="B12" s="5"/>
      <c r="C12" s="5"/>
      <c r="D12" s="5"/>
      <c r="E12" s="6"/>
      <c r="F12" s="6"/>
      <c r="G12" s="2"/>
      <c r="H12" s="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"/>
      <c r="W12" s="2"/>
      <c r="X12" s="5"/>
      <c r="Y12" s="25"/>
      <c r="Z12" s="25" t="s">
        <v>12</v>
      </c>
      <c r="AA12" s="25">
        <f>15*0.145*0.7*0.43</f>
        <v>0.654675</v>
      </c>
      <c r="AB12" s="25">
        <f>15*0.145*0.7*0.04</f>
        <v>0.0609</v>
      </c>
      <c r="AC12" s="25">
        <f>15*0.145*0.7*0.34</f>
        <v>0.51765</v>
      </c>
      <c r="AD12" s="25">
        <f>15*0.145*0.7*0.16</f>
        <v>0.2436</v>
      </c>
      <c r="AE12" s="25">
        <f>15*0.145*0.7*0.03</f>
        <v>0.045675</v>
      </c>
    </row>
    <row r="13" ht="14.25" spans="1:34">
      <c r="A13" s="4"/>
      <c r="B13" s="5"/>
      <c r="C13" s="5"/>
      <c r="D13" s="5"/>
      <c r="E13" s="6"/>
      <c r="F13" s="6"/>
      <c r="G13" s="6"/>
      <c r="H13" s="6"/>
      <c r="I13" s="6"/>
      <c r="J13" s="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"/>
      <c r="W13" s="2"/>
      <c r="X13" s="5"/>
      <c r="Z13" s="35" t="s">
        <v>14</v>
      </c>
      <c r="AA13" s="36"/>
      <c r="AB13" s="36">
        <v>0.145</v>
      </c>
      <c r="AC13" s="36"/>
      <c r="AD13" s="36"/>
      <c r="AE13" s="36"/>
      <c r="AF13" s="36"/>
      <c r="AG13" s="36"/>
      <c r="AH13" s="36"/>
    </row>
    <row r="14" ht="15" spans="1:34">
      <c r="A14" s="4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"/>
      <c r="W14" s="2"/>
      <c r="X14" s="5"/>
      <c r="Z14" s="37"/>
      <c r="AA14" s="38" t="s">
        <v>15</v>
      </c>
      <c r="AB14" s="38" t="s">
        <v>0</v>
      </c>
      <c r="AC14" s="38" t="s">
        <v>1</v>
      </c>
      <c r="AD14" s="38" t="s">
        <v>2</v>
      </c>
      <c r="AE14" s="38" t="s">
        <v>4</v>
      </c>
      <c r="AF14" s="38" t="s">
        <v>16</v>
      </c>
      <c r="AG14" s="38" t="s">
        <v>17</v>
      </c>
      <c r="AH14" s="56" t="s">
        <v>18</v>
      </c>
    </row>
    <row r="15" ht="82.5" spans="1:34">
      <c r="A15" s="4"/>
      <c r="B15" s="5"/>
      <c r="C15" s="5"/>
      <c r="D15" s="5"/>
      <c r="E15" s="6"/>
      <c r="F15" s="6"/>
      <c r="G15" s="2"/>
      <c r="H15" s="2"/>
      <c r="I15" s="2"/>
      <c r="J15" s="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"/>
      <c r="W15" s="2"/>
      <c r="X15" s="5"/>
      <c r="Z15" s="39" t="s">
        <v>5</v>
      </c>
      <c r="AA15" s="40">
        <v>0.15</v>
      </c>
      <c r="AB15" s="41">
        <v>0.8</v>
      </c>
      <c r="AC15" s="41">
        <v>0.05</v>
      </c>
      <c r="AD15" s="41">
        <v>0.05</v>
      </c>
      <c r="AE15" s="41">
        <v>0.05</v>
      </c>
      <c r="AF15" s="41">
        <v>0.05</v>
      </c>
      <c r="AG15" s="41">
        <v>1</v>
      </c>
      <c r="AH15" s="57" t="s">
        <v>19</v>
      </c>
    </row>
    <row r="16" ht="68.25" spans="1:34">
      <c r="A16" s="4"/>
      <c r="B16" s="5"/>
      <c r="C16" s="5"/>
      <c r="D16" s="5"/>
      <c r="E16" s="6"/>
      <c r="F16" s="6"/>
      <c r="G16" s="2"/>
      <c r="H16" s="2"/>
      <c r="I16" s="2"/>
      <c r="J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"/>
      <c r="W16" s="2"/>
      <c r="X16" s="5"/>
      <c r="Z16" s="39" t="s">
        <v>10</v>
      </c>
      <c r="AA16" s="40">
        <v>0.15</v>
      </c>
      <c r="AB16" s="41">
        <v>0.55</v>
      </c>
      <c r="AC16" s="41">
        <v>0.05</v>
      </c>
      <c r="AD16" s="41">
        <v>0.27</v>
      </c>
      <c r="AE16" s="41">
        <v>0.05</v>
      </c>
      <c r="AF16" s="41">
        <v>0.08</v>
      </c>
      <c r="AG16" s="41">
        <v>1</v>
      </c>
      <c r="AH16" s="57" t="s">
        <v>20</v>
      </c>
    </row>
    <row r="17" ht="82.5" spans="1:34">
      <c r="A17" s="4"/>
      <c r="B17" s="5"/>
      <c r="C17" s="5"/>
      <c r="D17" s="5"/>
      <c r="E17" s="6"/>
      <c r="F17" s="6"/>
      <c r="G17" s="2"/>
      <c r="H17" s="2"/>
      <c r="I17" s="2"/>
      <c r="J17" s="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"/>
      <c r="W17" s="2"/>
      <c r="X17" s="5"/>
      <c r="Z17" s="39" t="s">
        <v>13</v>
      </c>
      <c r="AA17" s="40">
        <v>0.7</v>
      </c>
      <c r="AB17" s="41">
        <v>0.43</v>
      </c>
      <c r="AC17" s="41">
        <v>0.04</v>
      </c>
      <c r="AD17" s="41">
        <v>0.34</v>
      </c>
      <c r="AE17" s="41">
        <v>0.03</v>
      </c>
      <c r="AF17" s="41">
        <v>0.16</v>
      </c>
      <c r="AG17" s="41">
        <v>1</v>
      </c>
      <c r="AH17" s="57" t="s">
        <v>21</v>
      </c>
    </row>
    <row r="18" ht="15" spans="1:34">
      <c r="A18" s="4"/>
      <c r="B18" s="5"/>
      <c r="C18" s="5"/>
      <c r="D18" s="5"/>
      <c r="E18" s="6"/>
      <c r="F18" s="6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"/>
      <c r="W18" s="2"/>
      <c r="X18" s="5"/>
      <c r="Z18" s="42" t="s">
        <v>17</v>
      </c>
      <c r="AA18" s="43">
        <v>1</v>
      </c>
      <c r="AB18" s="43"/>
      <c r="AC18" s="43"/>
      <c r="AD18" s="43"/>
      <c r="AE18" s="43"/>
      <c r="AF18" s="43"/>
      <c r="AG18" s="43"/>
      <c r="AH18" s="58"/>
    </row>
    <row r="19" ht="15" spans="1:33">
      <c r="A19" s="4"/>
      <c r="B19" s="4"/>
      <c r="C19" s="4"/>
      <c r="D19" s="4"/>
      <c r="E19" s="7"/>
      <c r="F19" s="6"/>
      <c r="G19" s="7"/>
      <c r="H19" s="7"/>
      <c r="I19" s="7"/>
      <c r="J19" s="7"/>
      <c r="K19" s="7"/>
      <c r="L19" s="7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5"/>
      <c r="AA19" s="3">
        <v>0.855</v>
      </c>
      <c r="AB19" s="44"/>
      <c r="AC19" s="44"/>
      <c r="AD19" s="44"/>
      <c r="AE19" s="44"/>
      <c r="AF19" s="44"/>
      <c r="AG19" s="44"/>
    </row>
    <row r="20" ht="21" spans="1:34">
      <c r="A20" s="4"/>
      <c r="B20" s="4"/>
      <c r="C20" s="4"/>
      <c r="D20" s="4"/>
      <c r="E20" s="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AA20" s="45" t="s">
        <v>11</v>
      </c>
      <c r="AB20" s="46" t="s">
        <v>15</v>
      </c>
      <c r="AC20" s="46" t="s">
        <v>0</v>
      </c>
      <c r="AD20" s="46" t="s">
        <v>1</v>
      </c>
      <c r="AE20" s="46" t="s">
        <v>2</v>
      </c>
      <c r="AF20" s="46" t="s">
        <v>4</v>
      </c>
      <c r="AG20" s="46" t="s">
        <v>16</v>
      </c>
      <c r="AH20" s="46" t="s">
        <v>17</v>
      </c>
    </row>
    <row r="21" ht="21" spans="1:34">
      <c r="A21" s="4"/>
      <c r="B21" s="4"/>
      <c r="C21" s="4"/>
      <c r="D21" s="4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AA21" s="47" t="s">
        <v>5</v>
      </c>
      <c r="AB21" s="48">
        <v>0.2</v>
      </c>
      <c r="AC21" s="49">
        <v>0.88</v>
      </c>
      <c r="AD21" s="49">
        <v>0.04</v>
      </c>
      <c r="AE21" s="49">
        <v>0.03</v>
      </c>
      <c r="AF21" s="49">
        <v>0.016</v>
      </c>
      <c r="AG21" s="49">
        <v>0.025</v>
      </c>
      <c r="AH21" s="49">
        <v>1</v>
      </c>
    </row>
    <row r="22" ht="21" spans="1:34">
      <c r="A22" s="4"/>
      <c r="B22" s="4"/>
      <c r="C22" s="4"/>
      <c r="D22" s="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AA22" s="47" t="s">
        <v>10</v>
      </c>
      <c r="AB22" s="48">
        <v>0.2</v>
      </c>
      <c r="AC22" s="49">
        <v>0.4</v>
      </c>
      <c r="AD22" s="49">
        <v>0.29</v>
      </c>
      <c r="AE22" s="49">
        <v>0.14</v>
      </c>
      <c r="AF22" s="49">
        <v>0.025</v>
      </c>
      <c r="AG22" s="49">
        <v>0.145</v>
      </c>
      <c r="AH22" s="49">
        <v>1</v>
      </c>
    </row>
    <row r="23" ht="21" spans="1:34">
      <c r="A23" s="4"/>
      <c r="B23" s="4"/>
      <c r="C23" s="4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AA23" s="47" t="s">
        <v>13</v>
      </c>
      <c r="AB23" s="48">
        <v>0.6</v>
      </c>
      <c r="AC23" s="49">
        <v>0.334</v>
      </c>
      <c r="AD23" s="49">
        <v>0.388</v>
      </c>
      <c r="AE23" s="49">
        <v>0.13</v>
      </c>
      <c r="AF23" s="49">
        <v>0.01</v>
      </c>
      <c r="AG23" s="49">
        <v>0.147</v>
      </c>
      <c r="AH23" s="49">
        <v>1</v>
      </c>
    </row>
    <row r="24" ht="21" spans="1:34">
      <c r="A24" s="4"/>
      <c r="B24" s="4"/>
      <c r="C24" s="4"/>
      <c r="D24" s="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AA24" s="47" t="s">
        <v>17</v>
      </c>
      <c r="AB24" s="49">
        <v>1</v>
      </c>
      <c r="AC24" s="49">
        <v>0.4564</v>
      </c>
      <c r="AD24" s="49">
        <v>0.2988</v>
      </c>
      <c r="AE24" s="49">
        <v>0.112</v>
      </c>
      <c r="AF24" s="49">
        <v>0.0142</v>
      </c>
      <c r="AG24" s="49">
        <v>0.1222</v>
      </c>
      <c r="AH24" s="59"/>
    </row>
    <row r="25" ht="15.75" spans="1:34">
      <c r="A25" s="9" t="s">
        <v>66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29"/>
      <c r="AA25" s="50"/>
      <c r="AB25" s="51"/>
      <c r="AC25" s="51"/>
      <c r="AD25" s="51"/>
      <c r="AE25" s="51"/>
      <c r="AF25" s="51"/>
      <c r="AG25" s="51"/>
      <c r="AH25" s="51"/>
    </row>
    <row r="26" ht="15.75" spans="1:34">
      <c r="A26" s="11" t="s">
        <v>23</v>
      </c>
      <c r="B26" s="12" t="s">
        <v>24</v>
      </c>
      <c r="C26" s="12" t="s">
        <v>25</v>
      </c>
      <c r="D26" s="12" t="s">
        <v>26</v>
      </c>
      <c r="E26" s="11" t="s">
        <v>27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30"/>
      <c r="V26" s="30"/>
      <c r="W26" s="30" t="s">
        <v>28</v>
      </c>
      <c r="X26" s="11" t="s">
        <v>29</v>
      </c>
      <c r="AA26" s="51"/>
      <c r="AB26" s="52"/>
      <c r="AC26" s="50"/>
      <c r="AD26" s="50"/>
      <c r="AE26" s="50"/>
      <c r="AF26" s="50"/>
      <c r="AG26" s="50"/>
      <c r="AH26" s="50"/>
    </row>
    <row r="27" ht="15.75" spans="1:34">
      <c r="A27" s="11"/>
      <c r="B27" s="12"/>
      <c r="C27" s="12"/>
      <c r="D27" s="12"/>
      <c r="E27" s="11"/>
      <c r="F27" s="13" t="s">
        <v>30</v>
      </c>
      <c r="G27" s="14"/>
      <c r="H27" s="14"/>
      <c r="I27" s="14"/>
      <c r="J27" s="11" t="s">
        <v>31</v>
      </c>
      <c r="K27" s="11"/>
      <c r="L27" s="11"/>
      <c r="M27" s="11" t="s">
        <v>32</v>
      </c>
      <c r="N27" s="11"/>
      <c r="O27" s="11"/>
      <c r="P27" s="13" t="s">
        <v>33</v>
      </c>
      <c r="Q27" s="14"/>
      <c r="R27" s="14"/>
      <c r="S27" s="31"/>
      <c r="T27" s="13" t="s">
        <v>4</v>
      </c>
      <c r="U27" s="13" t="s">
        <v>34</v>
      </c>
      <c r="V27" s="13" t="s">
        <v>35</v>
      </c>
      <c r="W27" s="11"/>
      <c r="X27" s="11"/>
      <c r="AA27" s="51"/>
      <c r="AB27" s="52"/>
      <c r="AC27" s="50"/>
      <c r="AD27" s="50"/>
      <c r="AE27" s="50"/>
      <c r="AF27" s="50"/>
      <c r="AG27" s="50"/>
      <c r="AH27" s="50"/>
    </row>
    <row r="28" spans="1:33">
      <c r="A28" s="11"/>
      <c r="B28" s="12"/>
      <c r="C28" s="12"/>
      <c r="D28" s="12"/>
      <c r="E28" s="11"/>
      <c r="F28" s="11" t="s">
        <v>36</v>
      </c>
      <c r="G28" s="11" t="s">
        <v>37</v>
      </c>
      <c r="H28" s="11" t="s">
        <v>38</v>
      </c>
      <c r="I28" s="11" t="s">
        <v>39</v>
      </c>
      <c r="J28" s="11" t="s">
        <v>40</v>
      </c>
      <c r="K28" s="11" t="s">
        <v>41</v>
      </c>
      <c r="L28" s="11" t="s">
        <v>42</v>
      </c>
      <c r="M28" s="11" t="s">
        <v>43</v>
      </c>
      <c r="N28" s="11" t="s">
        <v>44</v>
      </c>
      <c r="O28" s="11" t="s">
        <v>45</v>
      </c>
      <c r="P28" s="11" t="s">
        <v>46</v>
      </c>
      <c r="Q28" s="11" t="s">
        <v>47</v>
      </c>
      <c r="R28" s="11" t="s">
        <v>42</v>
      </c>
      <c r="S28" s="11" t="s">
        <v>48</v>
      </c>
      <c r="T28" s="11" t="s">
        <v>49</v>
      </c>
      <c r="U28" s="11" t="s">
        <v>46</v>
      </c>
      <c r="V28" s="11" t="s">
        <v>50</v>
      </c>
      <c r="W28" s="11"/>
      <c r="X28" s="11"/>
      <c r="AA28" s="53"/>
      <c r="AB28" s="53"/>
      <c r="AC28" s="53"/>
      <c r="AD28" s="53"/>
      <c r="AE28" s="53"/>
      <c r="AF28" s="53"/>
      <c r="AG28" s="53"/>
    </row>
    <row r="29" spans="1:33">
      <c r="A29" s="15">
        <v>1</v>
      </c>
      <c r="B29" s="16" t="s">
        <v>5</v>
      </c>
      <c r="C29" s="17" t="s">
        <v>12</v>
      </c>
      <c r="D29" s="17" t="s">
        <v>12</v>
      </c>
      <c r="E29" s="18"/>
      <c r="F29" s="18">
        <f>E30/100*AA8*0.8+E31/100*AA7*0.8</f>
        <v>23.57412624</v>
      </c>
      <c r="G29" s="18"/>
      <c r="H29" s="18">
        <f>E30/100*AA8*0.08+E31/100*AA7*0.08</f>
        <v>2.357412624</v>
      </c>
      <c r="I29" s="18">
        <f>E30/100*AA8*0.08+E31/100*AA7*0.08</f>
        <v>2.357412624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32"/>
      <c r="V29" s="30"/>
      <c r="W29" s="30"/>
      <c r="X29" s="17"/>
      <c r="Z29" s="53"/>
      <c r="AA29" s="54"/>
      <c r="AB29" s="55"/>
      <c r="AC29" s="55"/>
      <c r="AD29" s="55"/>
      <c r="AE29" s="55"/>
      <c r="AF29" s="55"/>
      <c r="AG29" s="55"/>
    </row>
    <row r="30" ht="27" spans="1:33">
      <c r="A30" s="19"/>
      <c r="B30" s="20"/>
      <c r="C30" s="16" t="s">
        <v>11</v>
      </c>
      <c r="D30" s="17" t="s">
        <v>63</v>
      </c>
      <c r="E30" s="18">
        <v>2742.98</v>
      </c>
      <c r="F30" s="18">
        <f>E30/100*AA6*0.8</f>
        <v>49.531635648</v>
      </c>
      <c r="G30" s="18"/>
      <c r="H30" s="18">
        <f>E30/100*AA6*0.08</f>
        <v>4.9531635648</v>
      </c>
      <c r="I30" s="18">
        <f>E30/100*AA6*0.08</f>
        <v>4.9531635648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32"/>
      <c r="V30" s="30"/>
      <c r="W30" s="30"/>
      <c r="X30" s="17"/>
      <c r="Z30" s="53"/>
      <c r="AA30" s="54"/>
      <c r="AB30" s="55"/>
      <c r="AC30" s="55"/>
      <c r="AD30" s="55"/>
      <c r="AE30" s="55"/>
      <c r="AF30" s="55"/>
      <c r="AG30" s="55"/>
    </row>
    <row r="31" spans="1:33">
      <c r="A31" s="19"/>
      <c r="B31" s="20"/>
      <c r="C31" s="20"/>
      <c r="D31" s="17" t="s">
        <v>6</v>
      </c>
      <c r="E31" s="18">
        <v>41312</v>
      </c>
      <c r="F31" s="18">
        <f>E31/100*AA5*0.8</f>
        <v>264.6611968</v>
      </c>
      <c r="G31" s="18"/>
      <c r="H31" s="18">
        <f>E31/100*AA5*0.08</f>
        <v>26.46611968</v>
      </c>
      <c r="I31" s="18">
        <f>E31/100*AA5*0.08</f>
        <v>26.46611968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1"/>
      <c r="W31" s="11"/>
      <c r="X31" s="17"/>
      <c r="Z31" s="53"/>
      <c r="AA31" s="54"/>
      <c r="AB31" s="55"/>
      <c r="AC31" s="55"/>
      <c r="AD31" s="55"/>
      <c r="AE31" s="55"/>
      <c r="AF31" s="55"/>
      <c r="AG31" s="55"/>
    </row>
    <row r="32" spans="1:24">
      <c r="A32" s="21" t="s">
        <v>53</v>
      </c>
      <c r="B32" s="22"/>
      <c r="C32" s="22"/>
      <c r="D32" s="23"/>
      <c r="E32" s="24"/>
      <c r="F32" s="18"/>
      <c r="G32" s="24"/>
      <c r="H32" s="24"/>
      <c r="I32" s="24"/>
      <c r="J32" s="24"/>
      <c r="K32" s="24"/>
      <c r="L32" s="24"/>
      <c r="M32" s="1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7"/>
    </row>
    <row r="33" spans="1:24">
      <c r="A33" s="21" t="s">
        <v>54</v>
      </c>
      <c r="B33" s="22"/>
      <c r="C33" s="22"/>
      <c r="D33" s="23"/>
      <c r="E33" s="24"/>
      <c r="F33" s="18">
        <f>D40*0.15</f>
        <v>60.79805256384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>
      <c r="A34" s="25" t="s">
        <v>17</v>
      </c>
      <c r="B34" s="25"/>
      <c r="C34" s="25"/>
      <c r="D34" s="25"/>
      <c r="E34" s="26"/>
      <c r="F34" s="26">
        <f>SUM(F29:F33)*0.3</f>
        <v>119.569503375552</v>
      </c>
      <c r="G34" s="26">
        <f t="shared" ref="F34:V34" si="0">SUM(G29:G33)</f>
        <v>0</v>
      </c>
      <c r="H34" s="26">
        <f>SUM(H29:H33)*0.3</f>
        <v>10.13300876064</v>
      </c>
      <c r="I34" s="26">
        <f>SUM(I29:I33)*0.3</f>
        <v>10.13300876064</v>
      </c>
      <c r="J34" s="26">
        <f t="shared" si="0"/>
        <v>0</v>
      </c>
      <c r="K34" s="26">
        <f t="shared" si="0"/>
        <v>0</v>
      </c>
      <c r="L34" s="26">
        <f t="shared" si="0"/>
        <v>0</v>
      </c>
      <c r="M34" s="26">
        <f t="shared" si="0"/>
        <v>0</v>
      </c>
      <c r="N34" s="26">
        <f t="shared" si="0"/>
        <v>0</v>
      </c>
      <c r="O34" s="26">
        <f t="shared" si="0"/>
        <v>0</v>
      </c>
      <c r="P34" s="26">
        <f t="shared" si="0"/>
        <v>0</v>
      </c>
      <c r="Q34" s="26">
        <f t="shared" si="0"/>
        <v>0</v>
      </c>
      <c r="R34" s="26">
        <f t="shared" si="0"/>
        <v>0</v>
      </c>
      <c r="S34" s="26">
        <f t="shared" si="0"/>
        <v>0</v>
      </c>
      <c r="T34" s="26">
        <f t="shared" si="0"/>
        <v>0</v>
      </c>
      <c r="U34" s="26">
        <f t="shared" si="0"/>
        <v>0</v>
      </c>
      <c r="V34" s="26">
        <f t="shared" si="0"/>
        <v>0</v>
      </c>
      <c r="W34" s="24"/>
      <c r="X34" s="24"/>
    </row>
    <row r="35" spans="1:24">
      <c r="A35" s="25" t="s">
        <v>55</v>
      </c>
      <c r="B35" s="25"/>
      <c r="C35" s="25"/>
      <c r="D35" s="27">
        <f>SUM(F29:I31)</f>
        <v>405.3203504256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5" t="s">
        <v>56</v>
      </c>
      <c r="B36" s="25"/>
      <c r="C36" s="25"/>
      <c r="D36" s="27">
        <f>SUM(J29:L31)</f>
        <v>0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5" t="s">
        <v>57</v>
      </c>
      <c r="B37" s="25"/>
      <c r="C37" s="25"/>
      <c r="D37" s="27">
        <f>SUM(M29:O31)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5" t="s">
        <v>58</v>
      </c>
      <c r="B38" s="25"/>
      <c r="C38" s="25"/>
      <c r="D38" s="27">
        <f>SUM(P29:S31)</f>
        <v>0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5" t="s">
        <v>59</v>
      </c>
      <c r="B39" s="25"/>
      <c r="C39" s="25"/>
      <c r="D39" s="27">
        <f>SUM(T29:T31)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>
      <c r="A40" s="25" t="s">
        <v>60</v>
      </c>
      <c r="B40" s="25"/>
      <c r="C40" s="27"/>
      <c r="D40" s="27">
        <f>SUM(F29:V31)</f>
        <v>405.3203504256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>
      <c r="A41" s="25" t="s">
        <v>61</v>
      </c>
      <c r="B41" s="25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</sheetData>
  <mergeCells count="59">
    <mergeCell ref="A8:X8"/>
    <mergeCell ref="F9:T9"/>
    <mergeCell ref="F10:I10"/>
    <mergeCell ref="J10:L10"/>
    <mergeCell ref="M10:O10"/>
    <mergeCell ref="P10:T10"/>
    <mergeCell ref="A19:D19"/>
    <mergeCell ref="A20:D20"/>
    <mergeCell ref="A21:B21"/>
    <mergeCell ref="A22:B22"/>
    <mergeCell ref="F22:X22"/>
    <mergeCell ref="A23:B23"/>
    <mergeCell ref="F23:X23"/>
    <mergeCell ref="A24:B24"/>
    <mergeCell ref="F24:X24"/>
    <mergeCell ref="A25:X25"/>
    <mergeCell ref="F26:T26"/>
    <mergeCell ref="F27:I27"/>
    <mergeCell ref="J27:L27"/>
    <mergeCell ref="M27:O27"/>
    <mergeCell ref="P27:S27"/>
    <mergeCell ref="A32:D32"/>
    <mergeCell ref="A33:D33"/>
    <mergeCell ref="A34:B34"/>
    <mergeCell ref="A35:B35"/>
    <mergeCell ref="F35:X35"/>
    <mergeCell ref="A36:B36"/>
    <mergeCell ref="F36:X36"/>
    <mergeCell ref="A37:B37"/>
    <mergeCell ref="F37:X37"/>
    <mergeCell ref="A38:B38"/>
    <mergeCell ref="F38:X38"/>
    <mergeCell ref="A39:B39"/>
    <mergeCell ref="A40:B40"/>
    <mergeCell ref="F40:X40"/>
    <mergeCell ref="A41:B41"/>
    <mergeCell ref="A9:A11"/>
    <mergeCell ref="A12:A18"/>
    <mergeCell ref="A26:A28"/>
    <mergeCell ref="A29:A31"/>
    <mergeCell ref="B9:B11"/>
    <mergeCell ref="B12:B18"/>
    <mergeCell ref="B26:B28"/>
    <mergeCell ref="B29:B31"/>
    <mergeCell ref="C9:C11"/>
    <mergeCell ref="C12:C15"/>
    <mergeCell ref="C26:C28"/>
    <mergeCell ref="C30:C31"/>
    <mergeCell ref="D9:D11"/>
    <mergeCell ref="D26:D28"/>
    <mergeCell ref="E9:E11"/>
    <mergeCell ref="E26:E28"/>
    <mergeCell ref="W9:W11"/>
    <mergeCell ref="W26:W28"/>
    <mergeCell ref="X9:X11"/>
    <mergeCell ref="X26:X28"/>
    <mergeCell ref="Y5:Y8"/>
    <mergeCell ref="Y9:Y10"/>
    <mergeCell ref="Y11:Y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铜鼓养护基地项目</vt:lpstr>
      <vt:lpstr>黄陂养护基地项目</vt:lpstr>
      <vt:lpstr>江西交工装配式厂房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霜月</cp:lastModifiedBy>
  <cp:revision>1</cp:revision>
  <dcterms:created xsi:type="dcterms:W3CDTF">2014-04-18T07:33:00Z</dcterms:created>
  <cp:lastPrinted>2020-06-12T06:50:00Z</cp:lastPrinted>
  <dcterms:modified xsi:type="dcterms:W3CDTF">2025-05-27T10:53:16Z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43CA75DE75254C12A98E34FA19F240DF_13</vt:lpwstr>
  </property>
</Properties>
</file>