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保租房建施工图工日计算表 (改后) (2)" sheetId="21" r:id="rId1"/>
    <sheet name="保租房建初步设计工日计算表 (改后)" sheetId="20" r:id="rId2"/>
    <sheet name="保租房两阶段合计" sheetId="22" r:id="rId3"/>
  </sheets>
  <calcPr calcId="144525"/>
</workbook>
</file>

<file path=xl/sharedStrings.xml><?xml version="1.0" encoding="utf-8"?>
<sst xmlns="http://schemas.openxmlformats.org/spreadsheetml/2006/main" count="168" uniqueCount="65">
  <si>
    <t>保租房房建施工图工日计算表</t>
  </si>
  <si>
    <t>序号</t>
  </si>
  <si>
    <t>设计阶段</t>
  </si>
  <si>
    <t>总建筑面积（平方米）</t>
  </si>
  <si>
    <t>子项名称</t>
  </si>
  <si>
    <t>单体名称</t>
  </si>
  <si>
    <t>单体面积</t>
  </si>
  <si>
    <t>总工日</t>
  </si>
  <si>
    <t>备注调整</t>
  </si>
  <si>
    <t>建筑专业</t>
  </si>
  <si>
    <t>结构专业</t>
  </si>
  <si>
    <t>给排水专业</t>
  </si>
  <si>
    <t>电气专业</t>
  </si>
  <si>
    <t>陶澍</t>
  </si>
  <si>
    <t>肖超群</t>
  </si>
  <si>
    <t>刘国印</t>
  </si>
  <si>
    <t>张瑞琪</t>
  </si>
  <si>
    <t>李钊臣</t>
  </si>
  <si>
    <t>邓磊</t>
  </si>
  <si>
    <t>沙子韬</t>
  </si>
  <si>
    <t>刘扬</t>
  </si>
  <si>
    <t>朱凤琪</t>
  </si>
  <si>
    <t>梁翾翾</t>
  </si>
  <si>
    <t>温春辉</t>
  </si>
  <si>
    <t>周金民</t>
  </si>
  <si>
    <t>1#</t>
  </si>
  <si>
    <t>1#住宅</t>
  </si>
  <si>
    <t>总图</t>
  </si>
  <si>
    <t>2#</t>
  </si>
  <si>
    <t>2#住宅</t>
  </si>
  <si>
    <t>消控室</t>
  </si>
  <si>
    <t>3#</t>
  </si>
  <si>
    <t>3#住宅</t>
  </si>
  <si>
    <t>商业</t>
  </si>
  <si>
    <t>4#</t>
  </si>
  <si>
    <t>4#住宅</t>
  </si>
  <si>
    <t>5#</t>
  </si>
  <si>
    <t>5#住宅</t>
  </si>
  <si>
    <t>6#</t>
  </si>
  <si>
    <t>6#住宅</t>
  </si>
  <si>
    <t>7#</t>
  </si>
  <si>
    <t>7#住宅</t>
  </si>
  <si>
    <t>商业配套</t>
  </si>
  <si>
    <t>门卫</t>
  </si>
  <si>
    <t>开闭所</t>
  </si>
  <si>
    <t>地下车库</t>
  </si>
  <si>
    <t>人防车库</t>
  </si>
  <si>
    <t>非机动车棚</t>
  </si>
  <si>
    <t>挡土墙</t>
  </si>
  <si>
    <t>注册章</t>
  </si>
  <si>
    <t>建筑专业负责人</t>
  </si>
  <si>
    <t>结构专业负责人</t>
  </si>
  <si>
    <t>给排水专业负责人</t>
  </si>
  <si>
    <t>电气专业负责人</t>
  </si>
  <si>
    <t>项目负责人</t>
  </si>
  <si>
    <t>合计</t>
  </si>
  <si>
    <t>建筑专业总工日：</t>
  </si>
  <si>
    <t>结构专业总工日：</t>
  </si>
  <si>
    <t>给排水专业总工日：</t>
  </si>
  <si>
    <t>电气专业总工日：</t>
  </si>
  <si>
    <t>项目总工日：</t>
  </si>
  <si>
    <t>保租房房建初步设计工日计算表</t>
  </si>
  <si>
    <t>初步设计</t>
  </si>
  <si>
    <t>保租房房建初步设计+施工图工日计算表</t>
  </si>
  <si>
    <t>两阶段合计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</si>
</sst>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indexed="8"/>
      <name val="宋体"/>
      <charset val="134"/>
    </font>
    <font>
      <b/>
      <sz val="16"/>
      <color rgb="FF000000"/>
      <name val="Microsoft YaHei"/>
      <charset val="134"/>
    </font>
    <font>
      <b/>
      <sz val="11"/>
      <color indexed="8"/>
      <name val="Microsoft YaHei"/>
      <charset val="134"/>
    </font>
    <font>
      <sz val="11"/>
      <color indexed="8"/>
      <name val="宋体"/>
      <charset val="134"/>
    </font>
    <font>
      <b/>
      <sz val="11"/>
      <color rgb="FF000000"/>
      <name val="Microsoft YaHei"/>
      <charset val="134"/>
    </font>
    <font>
      <b/>
      <sz val="16"/>
      <color indexed="8"/>
      <name val="Microsoft YaHei"/>
      <charset val="134"/>
    </font>
    <font>
      <sz val="10"/>
      <color indexed="8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方正仿宋简体"/>
      <charset val="134"/>
    </font>
    <font>
      <sz val="11"/>
      <color rgb="FF000000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2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28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2" borderId="31" applyNumberFormat="0" applyAlignment="0" applyProtection="0">
      <alignment vertical="center"/>
    </xf>
    <xf numFmtId="0" fontId="24" fillId="12" borderId="27" applyNumberFormat="0" applyAlignment="0" applyProtection="0">
      <alignment vertical="center"/>
    </xf>
    <xf numFmtId="0" fontId="25" fillId="13" borderId="32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>
      <alignment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vertical="center" wrapText="1"/>
    </xf>
    <xf numFmtId="0" fontId="0" fillId="0" borderId="1" xfId="0" applyBorder="1">
      <alignment vertical="center"/>
    </xf>
    <xf numFmtId="176" fontId="1" fillId="0" borderId="2" xfId="0" applyNumberFormat="1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176" fontId="2" fillId="0" borderId="9" xfId="0" applyNumberFormat="1" applyFont="1" applyBorder="1" applyAlignment="1">
      <alignment horizontal="center" vertical="center" wrapText="1"/>
    </xf>
    <xf numFmtId="176" fontId="6" fillId="0" borderId="10" xfId="0" applyNumberFormat="1" applyFont="1" applyBorder="1" applyAlignment="1">
      <alignment horizontal="center" vertical="center" wrapText="1"/>
    </xf>
    <xf numFmtId="176" fontId="6" fillId="0" borderId="1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6" fontId="6" fillId="0" borderId="12" xfId="0" applyNumberFormat="1" applyFont="1" applyBorder="1" applyAlignment="1">
      <alignment horizontal="center" vertical="center" wrapText="1"/>
    </xf>
    <xf numFmtId="176" fontId="6" fillId="0" borderId="13" xfId="0" applyNumberFormat="1" applyFont="1" applyBorder="1" applyAlignment="1">
      <alignment horizontal="center" vertical="center" wrapText="1"/>
    </xf>
    <xf numFmtId="176" fontId="6" fillId="0" borderId="14" xfId="0" applyNumberFormat="1" applyFont="1" applyBorder="1" applyAlignment="1">
      <alignment horizontal="center" vertical="center" wrapText="1"/>
    </xf>
    <xf numFmtId="176" fontId="6" fillId="2" borderId="10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0" borderId="15" xfId="0" applyNumberFormat="1" applyFont="1" applyBorder="1" applyAlignment="1">
      <alignment horizontal="center" vertical="center" wrapText="1"/>
    </xf>
    <xf numFmtId="176" fontId="6" fillId="0" borderId="16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 wrapText="1"/>
    </xf>
    <xf numFmtId="176" fontId="2" fillId="0" borderId="18" xfId="0" applyNumberFormat="1" applyFont="1" applyBorder="1" applyAlignment="1">
      <alignment horizontal="center" vertical="center" wrapText="1"/>
    </xf>
    <xf numFmtId="176" fontId="4" fillId="0" borderId="9" xfId="0" applyNumberFormat="1" applyFont="1" applyBorder="1" applyAlignment="1">
      <alignment horizontal="center" vertical="center" wrapText="1"/>
    </xf>
    <xf numFmtId="176" fontId="6" fillId="0" borderId="19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176" fontId="7" fillId="0" borderId="13" xfId="0" applyNumberFormat="1" applyFont="1" applyBorder="1" applyAlignment="1">
      <alignment horizontal="center" vertical="center" wrapText="1"/>
    </xf>
    <xf numFmtId="176" fontId="6" fillId="0" borderId="18" xfId="0" applyNumberFormat="1" applyFont="1" applyBorder="1" applyAlignment="1">
      <alignment horizontal="center" vertical="center" wrapText="1"/>
    </xf>
    <xf numFmtId="176" fontId="7" fillId="0" borderId="1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 wrapText="1"/>
    </xf>
    <xf numFmtId="176" fontId="2" fillId="0" borderId="21" xfId="0" applyNumberFormat="1" applyFont="1" applyBorder="1" applyAlignment="1">
      <alignment horizontal="center" vertical="center" wrapText="1"/>
    </xf>
    <xf numFmtId="176" fontId="2" fillId="0" borderId="22" xfId="0" applyNumberFormat="1" applyFont="1" applyBorder="1" applyAlignment="1">
      <alignment horizontal="center" vertical="center" wrapText="1"/>
    </xf>
    <xf numFmtId="176" fontId="2" fillId="0" borderId="23" xfId="0" applyNumberFormat="1" applyFont="1" applyBorder="1" applyAlignment="1">
      <alignment horizontal="center" vertical="center" wrapText="1"/>
    </xf>
    <xf numFmtId="176" fontId="7" fillId="0" borderId="24" xfId="0" applyNumberFormat="1" applyFont="1" applyBorder="1" applyAlignment="1">
      <alignment horizontal="center" vertical="center" wrapText="1"/>
    </xf>
    <xf numFmtId="176" fontId="7" fillId="0" borderId="25" xfId="0" applyNumberFormat="1" applyFont="1" applyBorder="1" applyAlignment="1">
      <alignment vertical="center" wrapText="1"/>
    </xf>
    <xf numFmtId="176" fontId="7" fillId="0" borderId="24" xfId="0" applyNumberFormat="1" applyFont="1" applyBorder="1" applyAlignment="1">
      <alignment vertical="center" wrapText="1"/>
    </xf>
    <xf numFmtId="176" fontId="6" fillId="0" borderId="24" xfId="0" applyNumberFormat="1" applyFont="1" applyBorder="1" applyAlignment="1">
      <alignment horizontal="center" vertical="center" wrapText="1"/>
    </xf>
    <xf numFmtId="176" fontId="6" fillId="0" borderId="26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3"/>
  <sheetViews>
    <sheetView tabSelected="1" zoomScale="70" zoomScaleNormal="70" workbookViewId="0">
      <selection activeCell="K47" sqref="K47"/>
    </sheetView>
  </sheetViews>
  <sheetFormatPr defaultColWidth="9" defaultRowHeight="13.5"/>
  <cols>
    <col min="2" max="2" width="7.625" customWidth="1"/>
    <col min="3" max="3" width="10" customWidth="1"/>
    <col min="4" max="5" width="18.375" customWidth="1"/>
    <col min="6" max="7" width="14.5" customWidth="1"/>
    <col min="8" max="8" width="10.5" customWidth="1"/>
    <col min="9" max="9" width="12.625" customWidth="1"/>
    <col min="10" max="12" width="10.5" customWidth="1"/>
    <col min="13" max="13" width="10.875" customWidth="1"/>
    <col min="14" max="15" width="10.5" customWidth="1"/>
    <col min="16" max="16" width="10.875" customWidth="1"/>
    <col min="17" max="19" width="10.5" customWidth="1"/>
    <col min="20" max="20" width="11.875" customWidth="1"/>
    <col min="21" max="21" width="9.75" customWidth="1"/>
  </cols>
  <sheetData>
    <row r="1" customHeight="1"/>
    <row r="2" ht="28.5" customHeight="1" spans="2:21">
      <c r="B2" s="10" t="s">
        <v>0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40"/>
    </row>
    <row r="3" ht="22.5" customHeight="1" spans="2:21">
      <c r="B3" s="13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 t="s">
        <v>7</v>
      </c>
      <c r="U3" s="41" t="s">
        <v>8</v>
      </c>
    </row>
    <row r="4" ht="22.5" customHeight="1" spans="2:21">
      <c r="B4" s="15"/>
      <c r="C4" s="2"/>
      <c r="D4" s="2"/>
      <c r="E4" s="2"/>
      <c r="F4" s="2"/>
      <c r="G4" s="2"/>
      <c r="H4" s="16" t="s">
        <v>9</v>
      </c>
      <c r="I4" s="31"/>
      <c r="J4" s="31"/>
      <c r="K4" s="31"/>
      <c r="L4" s="32"/>
      <c r="M4" s="2" t="s">
        <v>10</v>
      </c>
      <c r="N4" s="2"/>
      <c r="O4" s="2"/>
      <c r="P4" s="2" t="s">
        <v>11</v>
      </c>
      <c r="Q4" s="2"/>
      <c r="R4" s="2"/>
      <c r="S4" s="2" t="s">
        <v>12</v>
      </c>
      <c r="T4" s="2"/>
      <c r="U4" s="42"/>
    </row>
    <row r="5" ht="27.95" customHeight="1" spans="2:21">
      <c r="B5" s="15"/>
      <c r="C5" s="17"/>
      <c r="D5" s="17"/>
      <c r="E5" s="17"/>
      <c r="F5" s="17"/>
      <c r="G5" s="17"/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  <c r="M5" s="17" t="s">
        <v>18</v>
      </c>
      <c r="N5" s="33" t="s">
        <v>19</v>
      </c>
      <c r="O5" s="33" t="s">
        <v>20</v>
      </c>
      <c r="P5" s="17" t="s">
        <v>21</v>
      </c>
      <c r="Q5" s="33" t="s">
        <v>22</v>
      </c>
      <c r="R5" s="33" t="s">
        <v>23</v>
      </c>
      <c r="S5" s="17" t="s">
        <v>24</v>
      </c>
      <c r="T5" s="17"/>
      <c r="U5" s="43"/>
    </row>
    <row r="6" ht="22.5" customHeight="1" spans="2:21">
      <c r="B6" s="18">
        <v>12</v>
      </c>
      <c r="C6" s="19"/>
      <c r="D6" s="19"/>
      <c r="E6" s="20" t="s">
        <v>25</v>
      </c>
      <c r="F6" s="20" t="s">
        <v>26</v>
      </c>
      <c r="G6" s="20">
        <v>5828.71</v>
      </c>
      <c r="H6" s="20">
        <f>(G6-U6)/100*12*0.91*0.6*0.334*0.08</f>
        <v>6.65692792128</v>
      </c>
      <c r="I6" s="20">
        <f>(G6-U6)/100*12*0.91*0.6*0.334*0.8</f>
        <v>66.5692792128</v>
      </c>
      <c r="J6" s="20">
        <f>(G6-U6)/100*12*0.91*0.6*0.334*0.08</f>
        <v>6.65692792128</v>
      </c>
      <c r="K6" s="20"/>
      <c r="L6" s="20"/>
      <c r="M6" s="20">
        <f>(G6-U6)/100*12*0.91*0.6*0.388*0.08</f>
        <v>7.73319770496</v>
      </c>
      <c r="N6" s="20">
        <f>(G6-U6)/100*12*0.91*0.6*0.388*0.08</f>
        <v>7.73319770496</v>
      </c>
      <c r="O6" s="20">
        <f>(G6-U6)/100*12*0.91*0.6*0.388*0.8</f>
        <v>77.3319770496</v>
      </c>
      <c r="P6" s="20">
        <f>(G6-U6)/100*12*0.91*0.6*0.13*0.08</f>
        <v>2.5910198496</v>
      </c>
      <c r="Q6" s="20">
        <f>(G6-U6)/100*12*0.91*0.6*0.13*0.8</f>
        <v>25.910198496</v>
      </c>
      <c r="R6" s="20">
        <f>(G6-U6)/100*12*0.91*0.6*0.13*0.08</f>
        <v>2.5910198496</v>
      </c>
      <c r="S6" s="20">
        <f>(G6-U6)/100*12*0.91*0.6*0.147*0.8</f>
        <v>29.2984552224</v>
      </c>
      <c r="T6" s="20">
        <f>SUM(H6:S6)</f>
        <v>233.07220093248</v>
      </c>
      <c r="U6" s="44">
        <f>337.71*15*0.4</f>
        <v>2026.26</v>
      </c>
    </row>
    <row r="7" ht="22.5" customHeight="1" spans="2:21">
      <c r="B7" s="18">
        <v>14</v>
      </c>
      <c r="C7" s="19"/>
      <c r="D7" s="19"/>
      <c r="E7" s="20"/>
      <c r="F7" s="20" t="s">
        <v>27</v>
      </c>
      <c r="G7" s="20">
        <f>SUM(G6:G6)</f>
        <v>5828.71</v>
      </c>
      <c r="H7" s="20">
        <f>(G6-U6)/100*12*0.09*0.6*0.43*0.8</f>
        <v>8.476117344</v>
      </c>
      <c r="I7" s="20">
        <f>(G6-U6)/100*12*0.09*0.6*0.43*0.08</f>
        <v>0.8476117344</v>
      </c>
      <c r="J7" s="20">
        <f>(G6-U6)/100*12*0.09*0.6*0.43*0.08</f>
        <v>0.8476117344</v>
      </c>
      <c r="K7" s="20"/>
      <c r="L7" s="20"/>
      <c r="M7" s="20"/>
      <c r="N7" s="20"/>
      <c r="O7" s="20"/>
      <c r="P7" s="20">
        <f>(G6-U6)/100*12*0.09*0.6*0.35*0.8</f>
        <v>6.89916528</v>
      </c>
      <c r="Q7" s="20">
        <f>(G6-U6)/100*12*0.09*0.6*0.35*0.08</f>
        <v>0.689916528</v>
      </c>
      <c r="R7" s="20">
        <f>(G6-U6)/100*12*0.09*0.6*0.35*0.08</f>
        <v>0.689916528</v>
      </c>
      <c r="S7" s="20">
        <f>(G6-U6)/100*12*0.09*0.6*0.17*0.8</f>
        <v>3.351023136</v>
      </c>
      <c r="T7" s="20">
        <f t="shared" ref="T7:T36" si="0">SUM(H7:S7)</f>
        <v>21.8013622848</v>
      </c>
      <c r="U7" s="44"/>
    </row>
    <row r="8" ht="22.5" customHeight="1" spans="2:21">
      <c r="B8" s="18">
        <v>21</v>
      </c>
      <c r="C8" s="19"/>
      <c r="D8" s="19"/>
      <c r="E8" s="20" t="s">
        <v>28</v>
      </c>
      <c r="F8" s="20" t="s">
        <v>29</v>
      </c>
      <c r="G8" s="20">
        <v>6224.11</v>
      </c>
      <c r="H8" s="20">
        <f>(G8-U8)/100*12*0.91*0.6*0.334*0.08</f>
        <v>7.128249867648</v>
      </c>
      <c r="I8" s="20">
        <f>(G8-U8)/100*12*0.91*0.6*0.334*0.08</f>
        <v>7.128249867648</v>
      </c>
      <c r="J8" s="20">
        <f>(G8-U8)/100*12*0.91*0.6*0.334*0.8</f>
        <v>71.28249867648</v>
      </c>
      <c r="K8" s="20"/>
      <c r="L8" s="20"/>
      <c r="M8" s="20">
        <f>(G8-U8)/100*12*0.91*0.6*0.388*0.8</f>
        <v>82.80721403136</v>
      </c>
      <c r="N8" s="20">
        <f>(G8-U8)/100*12*0.91*0.6*0.388*0.08</f>
        <v>8.280721403136</v>
      </c>
      <c r="O8" s="20">
        <f>(G8-U8)/100*12*0.91*0.6*0.388*0.08</f>
        <v>8.280721403136</v>
      </c>
      <c r="P8" s="20">
        <f>(G8-U8)/100*12*0.91*0.6*0.13*0.08</f>
        <v>2.77446851136</v>
      </c>
      <c r="Q8" s="20">
        <f>(G8-U8)/100*12*0.91*0.6*0.13*0.8</f>
        <v>27.7446851136</v>
      </c>
      <c r="R8" s="20">
        <f>(G8-U8)/100*12*0.91*0.6*0.13*0.08</f>
        <v>2.77446851136</v>
      </c>
      <c r="S8" s="20">
        <f>(G8-U8)/100*12*0.91*0.6*0.147*0.8</f>
        <v>31.37283624384</v>
      </c>
      <c r="T8" s="20">
        <f t="shared" si="0"/>
        <v>249.574113629568</v>
      </c>
      <c r="U8" s="44">
        <f>358.74*15*0.4</f>
        <v>2152.44</v>
      </c>
    </row>
    <row r="9" ht="22.5" customHeight="1" spans="2:21">
      <c r="B9" s="18">
        <v>22</v>
      </c>
      <c r="C9" s="19"/>
      <c r="D9" s="19"/>
      <c r="E9" s="20"/>
      <c r="F9" s="20" t="s">
        <v>30</v>
      </c>
      <c r="G9" s="20">
        <v>27.9</v>
      </c>
      <c r="H9" s="20">
        <f>G9/100*20*0.91*0.6*0.334*0.08</f>
        <v>0.0814072896</v>
      </c>
      <c r="I9" s="20">
        <f>G9/100*20*0.91*0.6*0.334*0.08</f>
        <v>0.0814072896</v>
      </c>
      <c r="J9" s="20">
        <f>G9/100*20*0.91*0.6*0.334*0.8</f>
        <v>0.814072896</v>
      </c>
      <c r="K9" s="20"/>
      <c r="L9" s="20"/>
      <c r="M9" s="20">
        <f>G9/100*20*0.91*0.6*0.388*0.8</f>
        <v>0.945689472</v>
      </c>
      <c r="N9" s="20">
        <f>G9/100*20*0.91*0.6*0.388*0.08</f>
        <v>0.0945689472</v>
      </c>
      <c r="O9" s="20">
        <f>G9/100*20*0.91*0.6*0.388*0.08</f>
        <v>0.0945689472</v>
      </c>
      <c r="P9" s="20">
        <f>G9/100*20*0.91*0.6*0.13*0.08</f>
        <v>0.031685472</v>
      </c>
      <c r="Q9" s="20">
        <f>G9/100*20*0.91*0.6*0.13*0.8</f>
        <v>0.31685472</v>
      </c>
      <c r="R9" s="20">
        <f>G9/100*20*0.855*0.6*0.13*0.08</f>
        <v>0.029770416</v>
      </c>
      <c r="S9" s="20">
        <f>G9/100*20*0.91*0.6*0.147*0.8</f>
        <v>0.358289568</v>
      </c>
      <c r="T9" s="20">
        <f t="shared" si="0"/>
        <v>2.8483150176</v>
      </c>
      <c r="U9" s="44"/>
    </row>
    <row r="10" ht="22.5" customHeight="1" spans="2:21">
      <c r="B10" s="18">
        <v>23</v>
      </c>
      <c r="C10" s="19"/>
      <c r="D10" s="19"/>
      <c r="E10" s="20"/>
      <c r="F10" s="20" t="s">
        <v>27</v>
      </c>
      <c r="G10" s="20">
        <f>SUM(G8:G9)</f>
        <v>6252.01</v>
      </c>
      <c r="H10" s="20">
        <f>(G8-U9)/100*12*0.09*0.6*0.43*0.8+G9/100*20*0.09*0.6*0.43*0.8</f>
        <v>13.9779421632</v>
      </c>
      <c r="I10" s="20">
        <f>(G8-U9)/100*12*0.09*0.6*0.43*0.08+G9/100*20*0.09*0.6*0.43*0.08</f>
        <v>1.39779421632</v>
      </c>
      <c r="J10" s="20">
        <f>(G8-U9)/100*12*0.09*0.6*0.43*0.08+G9/100*20*0.09*0.6*0.43*0.08</f>
        <v>1.39779421632</v>
      </c>
      <c r="K10" s="20"/>
      <c r="L10" s="20"/>
      <c r="M10" s="20"/>
      <c r="N10" s="20"/>
      <c r="O10" s="20"/>
      <c r="P10" s="20">
        <f>(G8-U9)/100*12*0.09*0.6*0.35*0.8+G9/100*20*0.09*0.6*0.35*0.8</f>
        <v>11.377394784</v>
      </c>
      <c r="Q10" s="20">
        <f>(G8-U9)/100*12*0.09*0.6*0.35*0.08+G9/100*20*0.09*0.6*0.35*0.08</f>
        <v>1.1377394784</v>
      </c>
      <c r="R10" s="20">
        <f>(G8-U9)/100*12*0.09*0.6*0.35*0.08+G9/100*20*0.09*0.6*0.35*0.08</f>
        <v>1.1377394784</v>
      </c>
      <c r="S10" s="20">
        <f>(G8-U9)/100*12*0.09*0.6*0.17*0.8+G9/100*20*0.09*0.6*0.17*0.8</f>
        <v>5.5261631808</v>
      </c>
      <c r="T10" s="20">
        <f t="shared" si="0"/>
        <v>35.95256751744</v>
      </c>
      <c r="U10" s="44"/>
    </row>
    <row r="11" ht="22.5" customHeight="1" spans="2:21">
      <c r="B11" s="18">
        <v>24</v>
      </c>
      <c r="C11" s="19"/>
      <c r="D11" s="19"/>
      <c r="E11" s="20" t="s">
        <v>31</v>
      </c>
      <c r="F11" s="20" t="s">
        <v>32</v>
      </c>
      <c r="G11" s="20">
        <v>4929.04</v>
      </c>
      <c r="H11" s="20">
        <f>(G11-U11)/100*12*0.91*0.6*0.334*0.08</f>
        <v>6.0278438997504</v>
      </c>
      <c r="I11" s="20">
        <f>(G11-U11)/100*12*0.91*0.6*0.334*0.8</f>
        <v>60.278438997504</v>
      </c>
      <c r="J11" s="20">
        <f>(G11-U11)/100*12*0.91*0.6*0.334*0.08</f>
        <v>6.0278438997504</v>
      </c>
      <c r="K11" s="20"/>
      <c r="L11" s="20"/>
      <c r="M11" s="20">
        <f>(G11-U11)/100*12*0.91*0.6*0.388*0.08</f>
        <v>7.0024054883328</v>
      </c>
      <c r="N11" s="20">
        <f>(G11-U11)/100*12*0.91*0.6*0.388*0.08</f>
        <v>7.0024054883328</v>
      </c>
      <c r="O11" s="20">
        <f>(G11-U11)/100*12*0.91*0.6*0.388*0.8</f>
        <v>70.024054883328</v>
      </c>
      <c r="P11" s="20">
        <f>(G11-U11)/100*12*0.91*0.6*0.13*0.08</f>
        <v>2.346166787328</v>
      </c>
      <c r="Q11" s="20">
        <f>(G11-U11)/100*12*0.91*0.6*0.13*0.8</f>
        <v>23.46166787328</v>
      </c>
      <c r="R11" s="20">
        <f>(G11-U11)/100*12*0.91*0.6*0.13*0.08</f>
        <v>2.346166787328</v>
      </c>
      <c r="S11" s="20">
        <f>(G11-U11)/100*12*0.91*0.6*0.147*0.8</f>
        <v>26.529732133632</v>
      </c>
      <c r="T11" s="20">
        <f t="shared" si="0"/>
        <v>211.046726238566</v>
      </c>
      <c r="U11" s="44">
        <f>337.71*11*0.4</f>
        <v>1485.924</v>
      </c>
    </row>
    <row r="12" ht="22.5" customHeight="1" spans="2:21">
      <c r="B12" s="18">
        <v>25</v>
      </c>
      <c r="C12" s="19"/>
      <c r="D12" s="19"/>
      <c r="E12" s="20"/>
      <c r="F12" s="20" t="s">
        <v>33</v>
      </c>
      <c r="G12" s="20">
        <v>661.8</v>
      </c>
      <c r="H12" s="20">
        <f>G12/100*20*0.91*0.6*0.334*0.08</f>
        <v>1.9310159232</v>
      </c>
      <c r="I12" s="20">
        <f>G12/100*20*0.91*0.6*0.334*0.8</f>
        <v>19.310159232</v>
      </c>
      <c r="J12" s="20">
        <f>G12/100*20*0.91*0.6*0.334*0.08</f>
        <v>1.9310159232</v>
      </c>
      <c r="K12" s="20"/>
      <c r="L12" s="20"/>
      <c r="M12" s="20">
        <f>G12/100*20*0.91*0.6*0.388*0.8</f>
        <v>22.432161024</v>
      </c>
      <c r="N12" s="20">
        <f>G12/100*20*0.91*0.6*0.388*0.08</f>
        <v>2.2432161024</v>
      </c>
      <c r="O12" s="20">
        <f>G12/100*20*0.91*0.6*0.388*0.08</f>
        <v>2.2432161024</v>
      </c>
      <c r="P12" s="20">
        <f>G12/100*20*0.91*0.6*0.13*0.08</f>
        <v>0.751593024</v>
      </c>
      <c r="Q12" s="20">
        <f>G12/100*20*0.91*0.6*0.13*0.8</f>
        <v>7.51593024</v>
      </c>
      <c r="R12" s="20">
        <f>G12/100*20*0.855*0.6*0.13*0.08</f>
        <v>0.706167072</v>
      </c>
      <c r="S12" s="20">
        <f>G12/100*20*0.91*0.6*0.147*0.8</f>
        <v>8.498782656</v>
      </c>
      <c r="T12" s="20">
        <f t="shared" si="0"/>
        <v>67.5632572992</v>
      </c>
      <c r="U12" s="44"/>
    </row>
    <row r="13" ht="22.5" customHeight="1" spans="2:21">
      <c r="B13" s="18">
        <v>28</v>
      </c>
      <c r="C13" s="19"/>
      <c r="D13" s="19"/>
      <c r="E13" s="20"/>
      <c r="F13" s="20" t="s">
        <v>27</v>
      </c>
      <c r="G13" s="20">
        <f>SUM(G11:G12)</f>
        <v>5590.84</v>
      </c>
      <c r="H13" s="20">
        <f>(G11-U12)/100*12*0.09*0.6*0.43*0.8+G12/100*20*0.09*0.6*0.43*0.8</f>
        <v>13.4461410048</v>
      </c>
      <c r="I13" s="20">
        <f>(G11-U12)/100*12*0.09*0.6*0.43*0.08+G12/100*20*0.09*0.6*0.43*0.08</f>
        <v>1.34461410048</v>
      </c>
      <c r="J13" s="20">
        <f>(G11-U12)/100*12*0.09*0.6*0.43*0.08+G12/100*20*0.09*0.6*0.43*0.08</f>
        <v>1.34461410048</v>
      </c>
      <c r="K13" s="20"/>
      <c r="L13" s="20"/>
      <c r="M13" s="20"/>
      <c r="N13" s="20"/>
      <c r="O13" s="20"/>
      <c r="P13" s="20">
        <f>(G11-U12)/100*12*0.09*0.6*0.35*0.8+G12/100*20*0.09*0.6*0.35*0.8</f>
        <v>10.944533376</v>
      </c>
      <c r="Q13" s="20">
        <f>(G11-U12)/100*12*0.09*0.6*0.35*0.08+G12/100*20*0.09*0.6*0.35*0.08</f>
        <v>1.0944533376</v>
      </c>
      <c r="R13" s="20">
        <f>(G11-U12)/100*12*0.09*0.6*0.35*0.08+G12/100*20*0.09*0.6*0.35*0.08</f>
        <v>1.0944533376</v>
      </c>
      <c r="S13" s="20">
        <f>(G11-U12)/100*12*0.09*0.6*0.17*0.8+G12/100*20*0.09*0.6*0.17*0.8</f>
        <v>5.3159162112</v>
      </c>
      <c r="T13" s="20">
        <f t="shared" si="0"/>
        <v>34.58472546816</v>
      </c>
      <c r="U13" s="44"/>
    </row>
    <row r="14" ht="22.5" customHeight="1" spans="2:21">
      <c r="B14" s="18">
        <v>47</v>
      </c>
      <c r="C14" s="19"/>
      <c r="D14" s="19"/>
      <c r="E14" s="21" t="s">
        <v>34</v>
      </c>
      <c r="F14" s="20" t="s">
        <v>35</v>
      </c>
      <c r="G14" s="20">
        <v>4138.16</v>
      </c>
      <c r="H14" s="20">
        <f>(G14-U14)/100*12*0.91*0.6*0.334*0.08</f>
        <v>4.879745515008</v>
      </c>
      <c r="I14" s="20">
        <f>(G14-U14)/100*12*0.91*0.6*0.334*0.8</f>
        <v>48.79745515008</v>
      </c>
      <c r="J14" s="20">
        <f>(G14-U14)/100*12*0.91*0.6*0.334*0.08</f>
        <v>4.879745515008</v>
      </c>
      <c r="K14" s="20"/>
      <c r="L14" s="20"/>
      <c r="M14" s="20">
        <f>(G14-U14)/100*12*0.91*0.6*0.388*0.08</f>
        <v>5.668686406656</v>
      </c>
      <c r="N14" s="20">
        <f>(G14-U14)/100*12*0.91*0.6*0.388*0.08</f>
        <v>5.668686406656</v>
      </c>
      <c r="O14" s="20">
        <f>(G14-U14)/100*12*0.91*0.6*0.388*0.8</f>
        <v>56.68686406656</v>
      </c>
      <c r="P14" s="20">
        <f>(G14-U14)/100*12*0.91*0.6*0.13*0.08</f>
        <v>1.89930214656</v>
      </c>
      <c r="Q14" s="20">
        <f>(G14-U14)/100*12*0.91*0.6*0.13*0.8</f>
        <v>18.9930214656</v>
      </c>
      <c r="R14" s="20">
        <f>(G14-U14)/100*12*0.91*0.6*0.13*0.08</f>
        <v>1.89930214656</v>
      </c>
      <c r="S14" s="20">
        <f>(G14-U14)/100*12*0.91*0.6*0.147*0.8</f>
        <v>21.47672427264</v>
      </c>
      <c r="T14" s="20">
        <f t="shared" si="0"/>
        <v>170.849533091328</v>
      </c>
      <c r="U14" s="44">
        <f>337.71*10*0.4</f>
        <v>1350.84</v>
      </c>
    </row>
    <row r="15" ht="22.5" customHeight="1" spans="2:21">
      <c r="B15" s="18">
        <v>48</v>
      </c>
      <c r="C15" s="19"/>
      <c r="D15" s="19"/>
      <c r="E15" s="21"/>
      <c r="F15" s="20" t="s">
        <v>27</v>
      </c>
      <c r="G15" s="20">
        <f>SUM(G14:G14)</f>
        <v>4138.16</v>
      </c>
      <c r="H15" s="20">
        <f>(G14-U14)/100*12*0.09*0.6*0.43*0.8</f>
        <v>6.2132707584</v>
      </c>
      <c r="I15" s="20">
        <f>(G14-U14)/100*12*0.09*0.6*0.43*0.08</f>
        <v>0.62132707584</v>
      </c>
      <c r="J15" s="20">
        <f>(G14-U14)/100*12*0.09*0.6*0.43*0.08</f>
        <v>0.62132707584</v>
      </c>
      <c r="K15" s="20"/>
      <c r="L15" s="20"/>
      <c r="M15" s="20"/>
      <c r="N15" s="20"/>
      <c r="O15" s="20"/>
      <c r="P15" s="20">
        <f>(G14-U14)/100*12*0.09*0.6*0.35*0.8</f>
        <v>5.057313408</v>
      </c>
      <c r="Q15" s="20">
        <f>(G14-U14)/100*12*0.09*0.6*0.35*0.08</f>
        <v>0.5057313408</v>
      </c>
      <c r="R15" s="20">
        <f>(G14-U14)/100*12*0.09*0.6*0.35*0.08</f>
        <v>0.5057313408</v>
      </c>
      <c r="S15" s="20">
        <f>(G14-U14)/100*12*0.09*0.6*0.17*0.8</f>
        <v>2.4564093696</v>
      </c>
      <c r="T15" s="20">
        <f t="shared" ref="T15:T16" si="1">SUM(H15:S15)</f>
        <v>15.98111036928</v>
      </c>
      <c r="U15" s="44"/>
    </row>
    <row r="16" ht="22.5" customHeight="1" spans="2:21">
      <c r="B16" s="18">
        <v>56</v>
      </c>
      <c r="C16" s="19"/>
      <c r="D16" s="19"/>
      <c r="E16" s="20" t="s">
        <v>36</v>
      </c>
      <c r="F16" s="20" t="s">
        <v>37</v>
      </c>
      <c r="G16" s="20">
        <v>4895.89</v>
      </c>
      <c r="H16" s="20">
        <f>(G16-U16)/100*12*0.91*0.6*0.334*0.08</f>
        <v>5.782351026816</v>
      </c>
      <c r="I16" s="20">
        <f>(G16-U16)/100*12*0.91*0.6*0.334*0.08</f>
        <v>5.782351026816</v>
      </c>
      <c r="J16" s="20"/>
      <c r="K16" s="20">
        <f>(G16-U16)/100*12*0.91*0.6*0.334*0.8</f>
        <v>57.82351026816</v>
      </c>
      <c r="L16" s="20"/>
      <c r="M16" s="20">
        <f>(G16-U16)/100*12*0.91*0.6*0.388*0.8</f>
        <v>67.17222150912</v>
      </c>
      <c r="N16" s="20">
        <f>(G16-U16)/100*12*0.91*0.6*0.388*0.08</f>
        <v>6.717222150912</v>
      </c>
      <c r="O16" s="20">
        <f>(G16-U16)/100*12*0.91*0.6*0.388*0.08</f>
        <v>6.717222150912</v>
      </c>
      <c r="P16" s="20">
        <f>(G16-U16)/100*12*0.91*0.6*0.13*0.08</f>
        <v>2.25061566912</v>
      </c>
      <c r="Q16" s="20">
        <f>(G16-U16)/100*12*0.91*0.6*0.13*0.8</f>
        <v>22.5061566912</v>
      </c>
      <c r="R16" s="20">
        <f>(G16-U16)/100*12*0.91*0.6*0.13*0.08</f>
        <v>2.25061566912</v>
      </c>
      <c r="S16" s="20">
        <f>(G16-U16)/100*12*0.91*0.6*0.147*0.8</f>
        <v>25.44926948928</v>
      </c>
      <c r="T16" s="20">
        <f t="shared" si="1"/>
        <v>202.451535651456</v>
      </c>
      <c r="U16" s="44">
        <f>398.25*10*0.4</f>
        <v>1593</v>
      </c>
    </row>
    <row r="17" ht="22.5" customHeight="1" spans="2:21">
      <c r="B17" s="18">
        <v>57</v>
      </c>
      <c r="C17" s="19"/>
      <c r="D17" s="19"/>
      <c r="E17" s="20"/>
      <c r="F17" s="20" t="s">
        <v>27</v>
      </c>
      <c r="G17" s="20">
        <f>SUM(G16:G16)</f>
        <v>4895.89</v>
      </c>
      <c r="H17" s="20">
        <f>(G16-U16)/100*12*0.09*0.6*0.43*0.8</f>
        <v>7.3625381568</v>
      </c>
      <c r="I17" s="20">
        <f>(G16-U16)/100*12*0.09*0.6*0.43*0.08</f>
        <v>0.73625381568</v>
      </c>
      <c r="J17" s="20">
        <f>(G16-U16)/100*12*0.09*0.6*0.43*0.08</f>
        <v>0.73625381568</v>
      </c>
      <c r="K17" s="20"/>
      <c r="L17" s="20"/>
      <c r="M17" s="20"/>
      <c r="N17" s="20"/>
      <c r="O17" s="20"/>
      <c r="P17" s="20">
        <f>(G16-U16)/100*12*0.09*0.6*0.35*0.8</f>
        <v>5.992763616</v>
      </c>
      <c r="Q17" s="20">
        <f>(G16-U16)/100*12*0.09*0.6*0.35*0.08</f>
        <v>0.5992763616</v>
      </c>
      <c r="R17" s="20">
        <f>(G16-U16)/100*12*0.09*0.6*0.35*0.08</f>
        <v>0.5992763616</v>
      </c>
      <c r="S17" s="20">
        <f>(G16-U16)/100*12*0.09*0.6*0.17*0.8</f>
        <v>2.9107708992</v>
      </c>
      <c r="T17" s="20">
        <f t="shared" ref="T17:T18" si="2">SUM(H17:S17)</f>
        <v>18.93713302656</v>
      </c>
      <c r="U17" s="44"/>
    </row>
    <row r="18" ht="22.5" customHeight="1" spans="2:21">
      <c r="B18" s="18">
        <v>64</v>
      </c>
      <c r="C18" s="19"/>
      <c r="D18" s="19"/>
      <c r="E18" s="20" t="s">
        <v>38</v>
      </c>
      <c r="F18" s="20" t="s">
        <v>39</v>
      </c>
      <c r="G18" s="20">
        <v>5294.14</v>
      </c>
      <c r="H18" s="20">
        <f>(G18-U18)/100*12*0.91*0.6*0.334*0.08</f>
        <v>6.200679453696</v>
      </c>
      <c r="I18" s="20">
        <f>(G18-U18)/100*12*0.91*0.6*0.334*0.08</f>
        <v>6.200679453696</v>
      </c>
      <c r="J18" s="20"/>
      <c r="K18" s="20">
        <f>(G18-U18)/100*12*0.91*0.6*0.334*0.8</f>
        <v>62.00679453696</v>
      </c>
      <c r="L18" s="20"/>
      <c r="M18" s="20">
        <f>(G18-U18)/100*12*0.91*0.6*0.388*0.8</f>
        <v>72.03184515072</v>
      </c>
      <c r="N18" s="20">
        <f>(G18-U18)/100*12*0.91*0.6*0.388*0.08</f>
        <v>7.203184515072</v>
      </c>
      <c r="O18" s="20">
        <f>(G18-U18)/100*12*0.91*0.6*0.388*0.08</f>
        <v>7.203184515072</v>
      </c>
      <c r="P18" s="20">
        <f>(G18-U18)/100*12*0.91*0.6*0.13*0.08</f>
        <v>2.41343811072</v>
      </c>
      <c r="Q18" s="20">
        <f>(G18-U18)/100*12*0.91*0.6*0.13*0.8</f>
        <v>24.1343811072</v>
      </c>
      <c r="R18" s="20">
        <f>(G18-U18)/100*12*0.91*0.6*0.13*0.08</f>
        <v>2.41343811072</v>
      </c>
      <c r="S18" s="20">
        <f>(G18-U18)/100*12*0.91*0.6*0.147*0.8</f>
        <v>27.29041555968</v>
      </c>
      <c r="T18" s="20">
        <f t="shared" si="2"/>
        <v>217.098040513536</v>
      </c>
      <c r="U18" s="44">
        <f>398.25*11*0.4</f>
        <v>1752.3</v>
      </c>
    </row>
    <row r="19" ht="22.5" customHeight="1" spans="2:21">
      <c r="B19" s="18">
        <v>65</v>
      </c>
      <c r="C19" s="19"/>
      <c r="D19" s="19"/>
      <c r="E19" s="20"/>
      <c r="F19" s="20" t="s">
        <v>27</v>
      </c>
      <c r="G19" s="20">
        <f>SUM(G18:G18)</f>
        <v>5294.14</v>
      </c>
      <c r="H19" s="20">
        <f>(G18-U18)/100*12*0.09*0.6*0.43*0.8</f>
        <v>7.8951863808</v>
      </c>
      <c r="I19" s="20">
        <f>(G18-U18)/100*12*0.09*0.6*0.43*0.08</f>
        <v>0.78951863808</v>
      </c>
      <c r="J19" s="20">
        <f>(G18-U18)/100*12*0.09*0.6*0.43*0.08</f>
        <v>0.78951863808</v>
      </c>
      <c r="K19" s="20"/>
      <c r="L19" s="20"/>
      <c r="M19" s="20"/>
      <c r="N19" s="20"/>
      <c r="O19" s="20"/>
      <c r="P19" s="20">
        <f>(G18-U18)/100*12*0.09*0.6*0.35*0.8</f>
        <v>6.426314496</v>
      </c>
      <c r="Q19" s="20">
        <f>(G18-U18)/100*12*0.09*0.6*0.35*0.08</f>
        <v>0.6426314496</v>
      </c>
      <c r="R19" s="20">
        <f>(G18-U18)/100*12*0.09*0.6*0.35*0.08</f>
        <v>0.6426314496</v>
      </c>
      <c r="S19" s="20">
        <f>(G18-U18)/100*12*0.09*0.6*0.17*0.8</f>
        <v>3.1213527552</v>
      </c>
      <c r="T19" s="20">
        <f t="shared" ref="T19:T24" si="3">SUM(H19:S19)</f>
        <v>20.30715380736</v>
      </c>
      <c r="U19" s="44"/>
    </row>
    <row r="20" ht="22.5" customHeight="1" spans="2:21">
      <c r="B20" s="18">
        <v>68</v>
      </c>
      <c r="C20" s="19"/>
      <c r="D20" s="19"/>
      <c r="E20" s="20" t="s">
        <v>40</v>
      </c>
      <c r="F20" s="20" t="s">
        <v>41</v>
      </c>
      <c r="G20" s="20">
        <v>4802.09</v>
      </c>
      <c r="H20" s="20">
        <f>(G20-U20)/100*12*0.91*0.6*0.334*0.08</f>
        <v>5.939423328384</v>
      </c>
      <c r="I20" s="20">
        <f>(G20-U20)/100*12*0.91*0.6*0.334*0.8</f>
        <v>59.39423328384</v>
      </c>
      <c r="J20" s="20">
        <f>(G20-U20)/100*12*0.91*0.6*0.334*0.08</f>
        <v>5.939423328384</v>
      </c>
      <c r="K20" s="20"/>
      <c r="L20" s="20"/>
      <c r="M20" s="20">
        <f>(G20-U20)/100*12*0.91*0.6*0.388*0.08</f>
        <v>6.899689375488</v>
      </c>
      <c r="N20" s="20">
        <f>(G20-U20)/100*12*0.91*0.6*0.388*0.08</f>
        <v>6.899689375488</v>
      </c>
      <c r="O20" s="20">
        <f>(G20-U20)/100*12*0.91*0.6*0.388*0.8</f>
        <v>68.99689375488</v>
      </c>
      <c r="P20" s="20">
        <f>(G20-U20)/100*12*0.91*0.6*0.13*0.08</f>
        <v>2.31175159488</v>
      </c>
      <c r="Q20" s="20">
        <f>(G20-U20)/100*12*0.91*0.6*0.13*0.08</f>
        <v>2.31175159488</v>
      </c>
      <c r="R20" s="20">
        <f>(G20-U20)/100*12*0.91*0.6*0.13*0.8</f>
        <v>23.1175159488</v>
      </c>
      <c r="S20" s="20">
        <f>(G20-U20)/100*12*0.91*0.6*0.147*0.8</f>
        <v>26.14057572672</v>
      </c>
      <c r="T20" s="20">
        <f t="shared" si="3"/>
        <v>207.950947311744</v>
      </c>
      <c r="U20" s="44">
        <f>352.37*10*0.4</f>
        <v>1409.48</v>
      </c>
    </row>
    <row r="21" ht="22.5" customHeight="1" spans="2:21">
      <c r="B21" s="18"/>
      <c r="C21" s="19"/>
      <c r="D21" s="19"/>
      <c r="E21" s="20"/>
      <c r="F21" s="20" t="s">
        <v>42</v>
      </c>
      <c r="G21" s="20">
        <v>1509.64</v>
      </c>
      <c r="H21" s="20">
        <f>G21/100*20*0.91*0.6*0.334*0.08</f>
        <v>4.40486382336</v>
      </c>
      <c r="I21" s="20">
        <f>G21/100*20*0.91*0.6*0.334*0.8</f>
        <v>44.0486382336</v>
      </c>
      <c r="J21" s="20">
        <f>G21/100*20*0.91*0.6*0.334*0.08</f>
        <v>4.40486382336</v>
      </c>
      <c r="K21" s="20"/>
      <c r="L21" s="20"/>
      <c r="M21" s="20">
        <f>G21/100*20*0.91*0.6*0.388*0.08</f>
        <v>5.11702743552</v>
      </c>
      <c r="N21" s="20">
        <f>G21/100*20*0.91*0.6*0.388*0.08</f>
        <v>5.11702743552</v>
      </c>
      <c r="O21" s="20">
        <f>G21/100*20*0.91*0.6*0.388*0.8</f>
        <v>51.1702743552</v>
      </c>
      <c r="P21" s="20">
        <f>G21/100*20*0.91*0.6*0.13*0.08</f>
        <v>1.7144679552</v>
      </c>
      <c r="Q21" s="20">
        <f>G21/100*20*0.91*0.6*0.13*0.08</f>
        <v>1.7144679552</v>
      </c>
      <c r="R21" s="20">
        <f>G21/100*20*0.91*0.6*0.13*0.8</f>
        <v>17.144679552</v>
      </c>
      <c r="S21" s="20">
        <f>G21/100*20*0.91*0.6*0.147*0.8</f>
        <v>19.3866761088</v>
      </c>
      <c r="T21" s="20">
        <f t="shared" si="3"/>
        <v>154.22298667776</v>
      </c>
      <c r="U21" s="44"/>
    </row>
    <row r="22" ht="22.5" customHeight="1" spans="2:21">
      <c r="B22" s="18">
        <v>70</v>
      </c>
      <c r="C22" s="19"/>
      <c r="D22" s="19"/>
      <c r="E22" s="20"/>
      <c r="F22" s="20" t="s">
        <v>27</v>
      </c>
      <c r="G22" s="20">
        <f>SUM(G20:G21)</f>
        <v>6311.73</v>
      </c>
      <c r="H22" s="20">
        <f>(G20-U21)/100*12*0.09*0.6*0.43*0.8+G21/100*20*0.09*0.6*0.43*0.8</f>
        <v>16.3130493888</v>
      </c>
      <c r="I22" s="20">
        <f>(G20-U21)/100*12*0.09*0.6*0.43*0.08+G21/100*20*0.09*0.6*0.43*0.08</f>
        <v>1.63130493888</v>
      </c>
      <c r="J22" s="20">
        <f>(G20-U21)/100*12*0.09*0.6*0.43*0.08+G21/100*20*0.09*0.6*0.43*0.08</f>
        <v>1.63130493888</v>
      </c>
      <c r="K22" s="20"/>
      <c r="L22" s="20"/>
      <c r="M22" s="20"/>
      <c r="N22" s="20"/>
      <c r="O22" s="20"/>
      <c r="P22" s="20">
        <f>(G20-U21)/100*12*0.09*0.6*0.35*0.8+G21/100*20*0.09*0.6*0.35*0.8</f>
        <v>13.278063456</v>
      </c>
      <c r="Q22" s="20">
        <f>(G20-U21)/100*12*0.09*0.6*0.35*0.08+G21/100*20*0.09*0.6*0.35*0.08</f>
        <v>1.3278063456</v>
      </c>
      <c r="R22" s="20">
        <f>(G20-U21)/100*12*0.09*0.6*0.35*0.08+G21/100*20*0.09*0.6*0.35*0.08</f>
        <v>1.3278063456</v>
      </c>
      <c r="S22" s="20">
        <f>(G20-U21)/100*12*0.09*0.6*0.17*0.8+G21/100*20*0.09*0.6*0.17*0.8</f>
        <v>6.4493451072</v>
      </c>
      <c r="T22" s="20">
        <f t="shared" si="3"/>
        <v>41.95868052096</v>
      </c>
      <c r="U22" s="44"/>
    </row>
    <row r="23" ht="22.5" customHeight="1" spans="2:21">
      <c r="B23" s="18">
        <v>71</v>
      </c>
      <c r="C23" s="19"/>
      <c r="D23" s="19"/>
      <c r="E23" s="20" t="s">
        <v>43</v>
      </c>
      <c r="F23" s="20" t="s">
        <v>43</v>
      </c>
      <c r="G23" s="20">
        <v>15.2</v>
      </c>
      <c r="H23" s="20">
        <f>G23/100*20*0.91*0.6*0.334*0.08</f>
        <v>0.0443509248</v>
      </c>
      <c r="I23" s="20">
        <f>G23/100*20*0.91*0.6*0.334*0.08</f>
        <v>0.0443509248</v>
      </c>
      <c r="J23" s="20"/>
      <c r="K23" s="20"/>
      <c r="L23" s="20">
        <f>G23/100*20*0.91*0.6*0.334*0.8</f>
        <v>0.443509248</v>
      </c>
      <c r="M23" s="20">
        <f>G23/100*20*0.91*0.6*0.388*0.8</f>
        <v>0.515214336</v>
      </c>
      <c r="N23" s="20">
        <f>G23/100*20*0.91*0.6*0.388*0.08</f>
        <v>0.0515214336</v>
      </c>
      <c r="O23" s="20">
        <f>G23/100*20*0.91*0.6*0.388*0.08</f>
        <v>0.0515214336</v>
      </c>
      <c r="P23" s="20">
        <f>G23/100*20*0.91*0.6*0.13*0.08</f>
        <v>0.017262336</v>
      </c>
      <c r="Q23" s="20">
        <f>G23/100*20*0.91*0.6*0.13*0.8</f>
        <v>0.17262336</v>
      </c>
      <c r="R23" s="20">
        <f>G23/100*20*0.855*0.6*0.13*0.08</f>
        <v>0.016219008</v>
      </c>
      <c r="S23" s="20">
        <f>G23/100*20*0.91*0.6*0.147*0.8</f>
        <v>0.195197184</v>
      </c>
      <c r="T23" s="20">
        <f t="shared" si="3"/>
        <v>1.5517701888</v>
      </c>
      <c r="U23" s="44"/>
    </row>
    <row r="24" ht="22.5" customHeight="1" spans="2:21">
      <c r="B24" s="18"/>
      <c r="C24" s="19"/>
      <c r="D24" s="19"/>
      <c r="E24" s="20"/>
      <c r="F24" s="20" t="s">
        <v>27</v>
      </c>
      <c r="G24" s="20">
        <f>SUM(G23:G23)</f>
        <v>15.2</v>
      </c>
      <c r="H24" s="20">
        <f>G23/100*20*0.09*0.6*0.43*0.8</f>
        <v>0.05647104</v>
      </c>
      <c r="I24" s="20">
        <f>G23/100*20*0.09*0.6*0.43*0.08</f>
        <v>0.005647104</v>
      </c>
      <c r="J24" s="20">
        <f>G23/100*20*0.09*0.6*0.43*0.08</f>
        <v>0.005647104</v>
      </c>
      <c r="K24" s="20"/>
      <c r="L24" s="20"/>
      <c r="M24" s="20"/>
      <c r="N24" s="20"/>
      <c r="O24" s="20"/>
      <c r="P24" s="20">
        <f>G23/100*20*0.09*0.6*0.35*0.8</f>
        <v>0.0459648</v>
      </c>
      <c r="Q24" s="20">
        <f>G23/100*20*0.09*0.6*0.35*0.08</f>
        <v>0.00459648</v>
      </c>
      <c r="R24" s="20">
        <f>G23/100*20*0.09*0.6*0.35*0.08</f>
        <v>0.00459648</v>
      </c>
      <c r="S24" s="20">
        <f>G23/100*20*0.09*0.6*0.17*0.8</f>
        <v>0.02232576</v>
      </c>
      <c r="T24" s="20">
        <f t="shared" si="3"/>
        <v>0.145248768</v>
      </c>
      <c r="U24" s="44"/>
    </row>
    <row r="25" ht="22.5" customHeight="1" spans="2:21">
      <c r="B25" s="18"/>
      <c r="C25" s="19"/>
      <c r="D25" s="19"/>
      <c r="E25" s="20" t="s">
        <v>44</v>
      </c>
      <c r="F25" s="20" t="s">
        <v>44</v>
      </c>
      <c r="G25" s="20">
        <v>90</v>
      </c>
      <c r="H25" s="20">
        <f>G25/100*20*0.91*0.6*0.334*0.08</f>
        <v>0.26260416</v>
      </c>
      <c r="I25" s="20">
        <f>G25/100*20*0.91*0.6*0.334*0.08</f>
        <v>0.26260416</v>
      </c>
      <c r="J25" s="20"/>
      <c r="K25" s="20"/>
      <c r="L25" s="20">
        <f>G25/100*20*0.91*0.6*0.334*0.8</f>
        <v>2.6260416</v>
      </c>
      <c r="M25" s="20">
        <f>G25/100*20*0.91*0.6*0.388*0.8</f>
        <v>3.0506112</v>
      </c>
      <c r="N25" s="20">
        <f>G25/100*20*0.91*0.6*0.388*0.08</f>
        <v>0.30506112</v>
      </c>
      <c r="O25" s="20">
        <f>G25/100*20*0.91*0.6*0.388*0.08</f>
        <v>0.30506112</v>
      </c>
      <c r="P25" s="20">
        <f>G25/100*20*0.91*0.6*0.13*0.08</f>
        <v>0.1022112</v>
      </c>
      <c r="Q25" s="20">
        <f>G25/100*20*0.91*0.6*0.13*0.8</f>
        <v>1.022112</v>
      </c>
      <c r="R25" s="20">
        <f>G25/100*20*0.855*0.6*0.13*0.08</f>
        <v>0.0960336</v>
      </c>
      <c r="S25" s="20">
        <f>G25/100*20*0.91*0.6*0.147*0.8</f>
        <v>1.1557728</v>
      </c>
      <c r="T25" s="20">
        <f t="shared" ref="T25:T26" si="4">SUM(H25:S25)</f>
        <v>9.18811296</v>
      </c>
      <c r="U25" s="44"/>
    </row>
    <row r="26" ht="22.5" customHeight="1" spans="2:21">
      <c r="B26" s="18">
        <v>72</v>
      </c>
      <c r="C26" s="19"/>
      <c r="D26" s="19"/>
      <c r="E26" s="20"/>
      <c r="F26" s="20" t="s">
        <v>27</v>
      </c>
      <c r="G26" s="20">
        <f>SUM(G25:G25)</f>
        <v>90</v>
      </c>
      <c r="H26" s="20">
        <f>G25/100*20*0.09*0.6*0.43*0.8</f>
        <v>0.334368</v>
      </c>
      <c r="I26" s="20">
        <f>G25/100*20*0.09*0.6*0.43*0.08</f>
        <v>0.0334368</v>
      </c>
      <c r="J26" s="20">
        <f>G25/100*20*0.09*0.6*0.43*0.08</f>
        <v>0.0334368</v>
      </c>
      <c r="K26" s="20"/>
      <c r="L26" s="20"/>
      <c r="M26" s="20"/>
      <c r="N26" s="20"/>
      <c r="O26" s="20"/>
      <c r="P26" s="20">
        <f>G25/100*20*0.09*0.6*0.35*0.8</f>
        <v>0.27216</v>
      </c>
      <c r="Q26" s="20">
        <f>G25/100*20*0.09*0.6*0.35*0.08</f>
        <v>0.027216</v>
      </c>
      <c r="R26" s="20">
        <f>G25/100*20*0.09*0.6*0.35*0.08</f>
        <v>0.027216</v>
      </c>
      <c r="S26" s="20">
        <f>G25/100*20*0.09*0.6*0.17*0.8</f>
        <v>0.132192</v>
      </c>
      <c r="T26" s="20">
        <f t="shared" si="4"/>
        <v>0.8600256</v>
      </c>
      <c r="U26" s="44"/>
    </row>
    <row r="27" ht="22.5" customHeight="1" spans="2:21">
      <c r="B27" s="18">
        <v>73</v>
      </c>
      <c r="C27" s="19"/>
      <c r="D27" s="19"/>
      <c r="E27" s="20" t="s">
        <v>45</v>
      </c>
      <c r="F27" s="20" t="s">
        <v>45</v>
      </c>
      <c r="G27" s="20">
        <v>7976.74</v>
      </c>
      <c r="H27" s="20">
        <f>G27/100*25*0.91*0.6*0.334*0.8</f>
        <v>290.934042672</v>
      </c>
      <c r="I27" s="20">
        <f>G27/100*25*0.91*0.6*0.334*0.08</f>
        <v>29.0934042672</v>
      </c>
      <c r="J27" s="20">
        <f>G27/100*25*0.91*0.6*0.334*0.08</f>
        <v>29.0934042672</v>
      </c>
      <c r="K27" s="20"/>
      <c r="L27" s="20"/>
      <c r="M27" s="21">
        <f>G27/100*25*0.91*0.6*0.388*0.8</f>
        <v>337.971283104</v>
      </c>
      <c r="N27" s="21">
        <f>G27/100*25*0.91*0.6*0.388*0.08</f>
        <v>33.7971283104</v>
      </c>
      <c r="O27" s="21">
        <f>G27/100*25*0.91*0.6*0.388*0.08</f>
        <v>33.7971283104</v>
      </c>
      <c r="P27" s="21">
        <f>G27/100*25*0.91*0.6*0.13*0.8</f>
        <v>113.23780104</v>
      </c>
      <c r="Q27" s="21">
        <f>G27/100*25*0.91*0.6*0.13*0.08</f>
        <v>11.323780104</v>
      </c>
      <c r="R27" s="21">
        <f>G27/100*25*0.91*0.6*0.13*0.08</f>
        <v>11.323780104</v>
      </c>
      <c r="S27" s="21">
        <f>G27/100*25*0.91*0.6*0.147*0.8</f>
        <v>128.045821176</v>
      </c>
      <c r="T27" s="20">
        <f t="shared" si="0"/>
        <v>1018.6175733552</v>
      </c>
      <c r="U27" s="44"/>
    </row>
    <row r="28" ht="22.5" customHeight="1" spans="2:21">
      <c r="B28" s="18"/>
      <c r="C28" s="19"/>
      <c r="D28" s="19"/>
      <c r="E28" s="20"/>
      <c r="F28" s="20" t="s">
        <v>46</v>
      </c>
      <c r="G28" s="20">
        <v>1999.98</v>
      </c>
      <c r="H28" s="20">
        <f>G28/100*30*0.91*0.6*0.334*0.8</f>
        <v>87.5338446528</v>
      </c>
      <c r="I28" s="20">
        <f>G28/100*30*0.91*0.6*0.334*0.08</f>
        <v>8.75338446528</v>
      </c>
      <c r="J28" s="20">
        <f>G28/100*30*0.91*0.6*0.334*0.08</f>
        <v>8.75338446528</v>
      </c>
      <c r="K28" s="20"/>
      <c r="L28" s="20"/>
      <c r="M28" s="21">
        <f>G28/100*30*0.91*0.6*0.388*0.8</f>
        <v>101.6860231296</v>
      </c>
      <c r="N28" s="21">
        <f>G28/100*30*0.91*0.6*0.388*0.08</f>
        <v>10.16860231296</v>
      </c>
      <c r="O28" s="21">
        <f>G28/100*30*0.91*0.6*0.388*0.08</f>
        <v>10.16860231296</v>
      </c>
      <c r="P28" s="21">
        <f>G28/100*30*0.91*0.6*0.13*0.8</f>
        <v>34.070059296</v>
      </c>
      <c r="Q28" s="21">
        <f>G28/100*30*0.91*0.6*0.13*0.08</f>
        <v>3.4070059296</v>
      </c>
      <c r="R28" s="21">
        <f>G28/100*30*0.91*0.6*0.13*0.08</f>
        <v>3.4070059296</v>
      </c>
      <c r="S28" s="21">
        <f>G28/100*30*0.91*0.6*0.147*0.8</f>
        <v>38.5253747424</v>
      </c>
      <c r="T28" s="20">
        <f t="shared" si="0"/>
        <v>306.47328723648</v>
      </c>
      <c r="U28" s="44"/>
    </row>
    <row r="29" ht="22.5" customHeight="1" spans="2:21">
      <c r="B29" s="18">
        <v>75</v>
      </c>
      <c r="C29" s="19"/>
      <c r="D29" s="19"/>
      <c r="E29" s="22" t="s">
        <v>47</v>
      </c>
      <c r="F29" s="22"/>
      <c r="G29" s="22"/>
      <c r="H29" s="23"/>
      <c r="I29" s="23"/>
      <c r="J29" s="23"/>
      <c r="K29" s="34"/>
      <c r="L29" s="35"/>
      <c r="M29" s="36"/>
      <c r="N29" s="36">
        <v>20</v>
      </c>
      <c r="O29" s="36"/>
      <c r="P29" s="36"/>
      <c r="Q29" s="36"/>
      <c r="R29" s="36"/>
      <c r="S29" s="36"/>
      <c r="T29" s="20">
        <f t="shared" si="0"/>
        <v>20</v>
      </c>
      <c r="U29" s="45"/>
    </row>
    <row r="30" ht="22.5" customHeight="1" spans="2:21">
      <c r="B30" s="18">
        <v>76</v>
      </c>
      <c r="C30" s="19"/>
      <c r="D30" s="19"/>
      <c r="E30" s="20" t="s">
        <v>48</v>
      </c>
      <c r="F30" s="20"/>
      <c r="G30" s="20"/>
      <c r="H30" s="24"/>
      <c r="I30" s="24"/>
      <c r="J30" s="24"/>
      <c r="K30" s="37"/>
      <c r="L30" s="20"/>
      <c r="M30" s="38"/>
      <c r="N30" s="38"/>
      <c r="O30" s="38">
        <v>20</v>
      </c>
      <c r="P30" s="38"/>
      <c r="Q30" s="38"/>
      <c r="R30" s="38"/>
      <c r="S30" s="38"/>
      <c r="T30" s="20">
        <f t="shared" si="0"/>
        <v>20</v>
      </c>
      <c r="U30" s="46"/>
    </row>
    <row r="31" ht="22.5" customHeight="1" spans="2:21">
      <c r="B31" s="18">
        <v>77</v>
      </c>
      <c r="C31" s="22"/>
      <c r="D31" s="22"/>
      <c r="E31" s="21" t="s">
        <v>49</v>
      </c>
      <c r="F31" s="20"/>
      <c r="G31" s="22"/>
      <c r="H31" s="22"/>
      <c r="I31" s="22"/>
      <c r="J31" s="22">
        <f>SUM(H6:L30)*0.02</f>
        <v>22.7025024695286</v>
      </c>
      <c r="K31" s="20"/>
      <c r="L31" s="20"/>
      <c r="M31" s="22">
        <f>SUM(M6:O30)*0.02</f>
        <v>25.1077358495928</v>
      </c>
      <c r="N31" s="20"/>
      <c r="O31" s="20"/>
      <c r="P31" s="20"/>
      <c r="Q31" s="20"/>
      <c r="R31" s="20"/>
      <c r="S31" s="20"/>
      <c r="T31" s="20">
        <f t="shared" si="0"/>
        <v>47.8102383191214</v>
      </c>
      <c r="U31" s="46"/>
    </row>
    <row r="32" ht="22.5" customHeight="1" spans="2:21">
      <c r="B32" s="18">
        <v>78</v>
      </c>
      <c r="C32" s="20"/>
      <c r="D32" s="20" t="s">
        <v>50</v>
      </c>
      <c r="E32" s="20"/>
      <c r="F32" s="20"/>
      <c r="G32" s="20"/>
      <c r="H32" s="20">
        <f>SUM(H6:L31)*0.075</f>
        <v>86.8370719459468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>
        <f t="shared" si="0"/>
        <v>86.8370719459468</v>
      </c>
      <c r="U32" s="46"/>
    </row>
    <row r="33" ht="22.5" customHeight="1" spans="2:21">
      <c r="B33" s="18">
        <v>79</v>
      </c>
      <c r="C33" s="20"/>
      <c r="D33" s="20" t="s">
        <v>51</v>
      </c>
      <c r="E33" s="20"/>
      <c r="F33" s="20"/>
      <c r="G33" s="20"/>
      <c r="H33" s="20"/>
      <c r="I33" s="20"/>
      <c r="J33" s="20"/>
      <c r="K33" s="20"/>
      <c r="L33" s="20"/>
      <c r="M33" s="20">
        <f>SUM(M6:O31)*0.075</f>
        <v>96.0370896246926</v>
      </c>
      <c r="N33" s="20"/>
      <c r="O33" s="20"/>
      <c r="P33" s="20"/>
      <c r="Q33" s="20"/>
      <c r="R33" s="20"/>
      <c r="S33" s="20"/>
      <c r="T33" s="20">
        <f t="shared" si="0"/>
        <v>96.0370896246926</v>
      </c>
      <c r="U33" s="46"/>
    </row>
    <row r="34" ht="22.5" customHeight="1" spans="2:21">
      <c r="B34" s="18">
        <v>80</v>
      </c>
      <c r="C34" s="20"/>
      <c r="D34" s="20" t="s">
        <v>52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>
        <f>SUM(P6:R32)*0.075</f>
        <v>35.9636302655712</v>
      </c>
      <c r="Q34" s="20"/>
      <c r="R34" s="20"/>
      <c r="S34" s="20"/>
      <c r="T34" s="20">
        <f t="shared" si="0"/>
        <v>35.9636302655712</v>
      </c>
      <c r="U34" s="46"/>
    </row>
    <row r="35" ht="22.5" customHeight="1" spans="2:21">
      <c r="B35" s="18">
        <v>81</v>
      </c>
      <c r="C35" s="20"/>
      <c r="D35" s="20" t="s">
        <v>53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>
        <f>SUM(S6:S33)*0.075</f>
        <v>30.9757065976944</v>
      </c>
      <c r="T35" s="20">
        <f t="shared" si="0"/>
        <v>30.9757065976944</v>
      </c>
      <c r="U35" s="46"/>
    </row>
    <row r="36" ht="22.5" customHeight="1" spans="2:21">
      <c r="B36" s="18">
        <v>82</v>
      </c>
      <c r="C36" s="20"/>
      <c r="D36" s="20" t="s">
        <v>54</v>
      </c>
      <c r="E36" s="20"/>
      <c r="F36" s="20"/>
      <c r="G36" s="20"/>
      <c r="H36" s="20"/>
      <c r="I36" s="20"/>
      <c r="J36" s="20">
        <f>SUM(H6:S31)*0.12</f>
        <v>399.701597494248</v>
      </c>
      <c r="K36" s="20"/>
      <c r="L36" s="20"/>
      <c r="M36" s="20"/>
      <c r="N36" s="20"/>
      <c r="O36" s="20"/>
      <c r="P36" s="20"/>
      <c r="Q36" s="20"/>
      <c r="R36" s="20"/>
      <c r="S36" s="20"/>
      <c r="T36" s="20">
        <f t="shared" si="0"/>
        <v>399.701597494248</v>
      </c>
      <c r="U36" s="46"/>
    </row>
    <row r="37" ht="22.5" customHeight="1" spans="2:21">
      <c r="B37" s="25" t="s">
        <v>55</v>
      </c>
      <c r="C37" s="26"/>
      <c r="D37" s="26"/>
      <c r="E37" s="26"/>
      <c r="F37" s="26"/>
      <c r="G37" s="26"/>
      <c r="H37" s="26">
        <f>SUM(H6:H36)</f>
        <v>588.719506641089</v>
      </c>
      <c r="I37" s="26">
        <f t="shared" ref="I37:T37" si="5">SUM(I6:I36)</f>
        <v>363.152143988544</v>
      </c>
      <c r="J37" s="26">
        <f t="shared" si="5"/>
        <v>569.594789103399</v>
      </c>
      <c r="K37" s="26">
        <f t="shared" si="5"/>
        <v>119.83030480512</v>
      </c>
      <c r="L37" s="26">
        <f t="shared" si="5"/>
        <v>3.069550848</v>
      </c>
      <c r="M37" s="26">
        <f t="shared" si="5"/>
        <v>842.178094842042</v>
      </c>
      <c r="N37" s="26">
        <f t="shared" si="5"/>
        <v>121.282232706637</v>
      </c>
      <c r="O37" s="26">
        <f t="shared" si="5"/>
        <v>413.071290405248</v>
      </c>
      <c r="P37" s="26">
        <f t="shared" si="5"/>
        <v>262.769146474339</v>
      </c>
      <c r="Q37" s="26">
        <f t="shared" si="5"/>
        <v>176.56400397216</v>
      </c>
      <c r="R37" s="26">
        <f t="shared" si="5"/>
        <v>76.145550026688</v>
      </c>
      <c r="S37" s="26">
        <f t="shared" si="5"/>
        <v>443.985127900286</v>
      </c>
      <c r="T37" s="26">
        <f t="shared" si="5"/>
        <v>3980.36174171355</v>
      </c>
      <c r="U37" s="46"/>
    </row>
    <row r="38" ht="22.5" customHeight="1" spans="2:21">
      <c r="B38" s="18" t="s">
        <v>56</v>
      </c>
      <c r="C38" s="20"/>
      <c r="D38" s="20">
        <f>SUM(H6:L31)</f>
        <v>1157.82762594596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47"/>
    </row>
    <row r="39" ht="22.5" customHeight="1" spans="2:21">
      <c r="B39" s="18" t="s">
        <v>57</v>
      </c>
      <c r="C39" s="20"/>
      <c r="D39" s="20">
        <f>SUM(M6:O31)</f>
        <v>1280.49452832923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47"/>
    </row>
    <row r="40" ht="22.5" customHeight="1" spans="2:21">
      <c r="B40" s="18" t="s">
        <v>58</v>
      </c>
      <c r="C40" s="20"/>
      <c r="D40" s="20">
        <f>SUM(P6:R31)</f>
        <v>479.515070207616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47"/>
    </row>
    <row r="41" ht="22.5" customHeight="1" spans="2:21">
      <c r="B41" s="18" t="s">
        <v>59</v>
      </c>
      <c r="C41" s="20"/>
      <c r="D41" s="20">
        <f>SUM(S6:S30)</f>
        <v>413.009421302592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47"/>
    </row>
    <row r="42" ht="22.5" customHeight="1" spans="2:21">
      <c r="B42" s="27" t="s">
        <v>60</v>
      </c>
      <c r="C42" s="28"/>
      <c r="D42" s="28">
        <f>SUM(H6:S31)</f>
        <v>3330.8466457854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48"/>
    </row>
    <row r="43" ht="15" customHeight="1" spans="2:21">
      <c r="B43" s="29"/>
      <c r="C43" s="29"/>
      <c r="D43" s="30"/>
      <c r="E43" s="30"/>
      <c r="F43" s="30"/>
      <c r="G43" s="30"/>
      <c r="H43" s="30"/>
      <c r="I43" s="3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</sheetData>
  <mergeCells count="42">
    <mergeCell ref="B2:U2"/>
    <mergeCell ref="H3:S3"/>
    <mergeCell ref="H4:L4"/>
    <mergeCell ref="M4:O4"/>
    <mergeCell ref="P4:R4"/>
    <mergeCell ref="B37:C37"/>
    <mergeCell ref="B38:C38"/>
    <mergeCell ref="B39:C39"/>
    <mergeCell ref="B40:C40"/>
    <mergeCell ref="B41:C41"/>
    <mergeCell ref="B42:C42"/>
    <mergeCell ref="B43:C43"/>
    <mergeCell ref="B3:B5"/>
    <mergeCell ref="C3:C5"/>
    <mergeCell ref="C6:C31"/>
    <mergeCell ref="D3:D5"/>
    <mergeCell ref="D6:D31"/>
    <mergeCell ref="E3:E5"/>
    <mergeCell ref="E6:E7"/>
    <mergeCell ref="E8:E10"/>
    <mergeCell ref="E11:E13"/>
    <mergeCell ref="E14:E15"/>
    <mergeCell ref="E16:E17"/>
    <mergeCell ref="E18:E19"/>
    <mergeCell ref="E20:E22"/>
    <mergeCell ref="E23:E24"/>
    <mergeCell ref="E25:E26"/>
    <mergeCell ref="E27:E28"/>
    <mergeCell ref="F3:F5"/>
    <mergeCell ref="G3:G5"/>
    <mergeCell ref="T3:T5"/>
    <mergeCell ref="U3:U5"/>
    <mergeCell ref="U6:U7"/>
    <mergeCell ref="U8:U10"/>
    <mergeCell ref="U11:U13"/>
    <mergeCell ref="U14:U15"/>
    <mergeCell ref="U16:U17"/>
    <mergeCell ref="U18:U19"/>
    <mergeCell ref="U20:U22"/>
    <mergeCell ref="U23:U24"/>
    <mergeCell ref="U25:U26"/>
    <mergeCell ref="U27:U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3"/>
  <sheetViews>
    <sheetView zoomScale="70" zoomScaleNormal="70" topLeftCell="B1" workbookViewId="0">
      <selection activeCell="X29" sqref="X29"/>
    </sheetView>
  </sheetViews>
  <sheetFormatPr defaultColWidth="9" defaultRowHeight="13.5"/>
  <cols>
    <col min="2" max="2" width="7.625" customWidth="1"/>
    <col min="3" max="3" width="10" customWidth="1"/>
    <col min="4" max="5" width="18.375" customWidth="1"/>
    <col min="6" max="7" width="14.5" customWidth="1"/>
    <col min="8" max="8" width="10.5" customWidth="1"/>
    <col min="9" max="9" width="12.625" customWidth="1"/>
    <col min="10" max="12" width="10.5" customWidth="1"/>
    <col min="13" max="13" width="10.875" customWidth="1"/>
    <col min="14" max="15" width="10.5" customWidth="1"/>
    <col min="16" max="16" width="10.875" customWidth="1"/>
    <col min="17" max="19" width="10.5" customWidth="1"/>
    <col min="20" max="20" width="11.875" customWidth="1"/>
    <col min="21" max="21" width="9.75" customWidth="1"/>
  </cols>
  <sheetData>
    <row r="1" customHeight="1"/>
    <row r="2" ht="28.5" customHeight="1" spans="2:21">
      <c r="B2" s="10" t="s">
        <v>61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40"/>
    </row>
    <row r="3" ht="22.5" customHeight="1" spans="2:21">
      <c r="B3" s="13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 t="s">
        <v>7</v>
      </c>
      <c r="U3" s="41" t="s">
        <v>8</v>
      </c>
    </row>
    <row r="4" ht="22.5" customHeight="1" spans="2:21">
      <c r="B4" s="15"/>
      <c r="C4" s="2"/>
      <c r="D4" s="2"/>
      <c r="E4" s="2"/>
      <c r="F4" s="2"/>
      <c r="G4" s="2"/>
      <c r="H4" s="16" t="s">
        <v>9</v>
      </c>
      <c r="I4" s="31"/>
      <c r="J4" s="31"/>
      <c r="K4" s="31"/>
      <c r="L4" s="32"/>
      <c r="M4" s="2" t="s">
        <v>10</v>
      </c>
      <c r="N4" s="2"/>
      <c r="O4" s="2"/>
      <c r="P4" s="2" t="s">
        <v>11</v>
      </c>
      <c r="Q4" s="2"/>
      <c r="R4" s="2"/>
      <c r="S4" s="2" t="s">
        <v>12</v>
      </c>
      <c r="T4" s="2"/>
      <c r="U4" s="42"/>
    </row>
    <row r="5" ht="27.95" customHeight="1" spans="2:21">
      <c r="B5" s="15"/>
      <c r="C5" s="17"/>
      <c r="D5" s="17"/>
      <c r="E5" s="17"/>
      <c r="F5" s="17"/>
      <c r="G5" s="17"/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  <c r="M5" s="17" t="s">
        <v>18</v>
      </c>
      <c r="N5" s="33" t="s">
        <v>19</v>
      </c>
      <c r="O5" s="33" t="s">
        <v>20</v>
      </c>
      <c r="P5" s="17" t="s">
        <v>21</v>
      </c>
      <c r="Q5" s="33" t="s">
        <v>22</v>
      </c>
      <c r="R5" s="33" t="s">
        <v>23</v>
      </c>
      <c r="S5" s="17" t="s">
        <v>24</v>
      </c>
      <c r="T5" s="17"/>
      <c r="U5" s="43"/>
    </row>
    <row r="6" ht="22.5" customHeight="1" spans="2:21">
      <c r="B6" s="18">
        <v>12</v>
      </c>
      <c r="C6" s="19" t="s">
        <v>62</v>
      </c>
      <c r="D6" s="19"/>
      <c r="E6" s="20" t="s">
        <v>25</v>
      </c>
      <c r="F6" s="20" t="s">
        <v>26</v>
      </c>
      <c r="G6" s="20">
        <v>5828.71</v>
      </c>
      <c r="H6" s="20">
        <f>(G6-U6)/100*12*0.91*0.2*0.4*0.08*0.2</f>
        <v>0.5314912512</v>
      </c>
      <c r="I6" s="20">
        <f>(G6-U6)/100*12*0.91*0.2*0.4*0.8*0.2</f>
        <v>5.314912512</v>
      </c>
      <c r="J6" s="20">
        <f>(G6-U6)/100*12*0.91*0.2*0.4*0.08*0.2</f>
        <v>0.5314912512</v>
      </c>
      <c r="K6" s="20"/>
      <c r="L6" s="20"/>
      <c r="M6" s="20">
        <f>(G6-U6)/100*12*0.91*0.2*0.29*0.08*0.2</f>
        <v>0.38533115712</v>
      </c>
      <c r="N6" s="20">
        <f>(G6-U6)/100*12*0.91*0.2*0.29*0.08*0.2</f>
        <v>0.38533115712</v>
      </c>
      <c r="O6" s="20">
        <f>(G6-U6)/100*12*0.91*0.2*0.29*0.8*0.2</f>
        <v>3.8533115712</v>
      </c>
      <c r="P6" s="20">
        <f>(G6-U6)/100*12*0.91*0.2*0.14*0.08*0.2</f>
        <v>0.18602193792</v>
      </c>
      <c r="Q6" s="20">
        <f>(G6-U6)/100*12*0.91*0.2*0.14*0.8*0.2</f>
        <v>1.8602193792</v>
      </c>
      <c r="R6" s="20">
        <f>(G6-U6)/100*12*0.91*0.2*0.14*0.08*0.2</f>
        <v>0.18602193792</v>
      </c>
      <c r="S6" s="20">
        <f>(G6-U6)/100*12*0.91*0.2*0.145*0.8*0.2</f>
        <v>1.9266557856</v>
      </c>
      <c r="T6" s="20">
        <f>SUM(H6:S6)</f>
        <v>15.16078794048</v>
      </c>
      <c r="U6" s="44">
        <f>337.71*15*0.4</f>
        <v>2026.26</v>
      </c>
    </row>
    <row r="7" ht="22.5" customHeight="1" spans="2:21">
      <c r="B7" s="18">
        <v>14</v>
      </c>
      <c r="C7" s="19"/>
      <c r="D7" s="19"/>
      <c r="E7" s="20"/>
      <c r="F7" s="20" t="s">
        <v>27</v>
      </c>
      <c r="G7" s="20">
        <f>SUM(G6:G6)</f>
        <v>5828.71</v>
      </c>
      <c r="H7" s="20">
        <f>(G6-U6)/100*12*0.09*0.3*0.5*0.8*0.2</f>
        <v>0.98559504</v>
      </c>
      <c r="I7" s="20">
        <f>(G6-U6)/100*12*0.09*0.3*0.5*0.08*0.2</f>
        <v>0.098559504</v>
      </c>
      <c r="J7" s="20">
        <f>(G6-U6)/100*12*0.09*0.3*0.5*0.08*0.2</f>
        <v>0.098559504</v>
      </c>
      <c r="K7" s="20"/>
      <c r="L7" s="20"/>
      <c r="M7" s="20"/>
      <c r="N7" s="20"/>
      <c r="O7" s="20"/>
      <c r="P7" s="20">
        <f>(G6-U6)/100*12*0.09*0.3*0.3*0.8*0.2</f>
        <v>0.591357024</v>
      </c>
      <c r="Q7" s="20">
        <f>(G6-U6)/100*12*0.09*0.3*0.3*0.08*0.2</f>
        <v>0.0591357024</v>
      </c>
      <c r="R7" s="20">
        <f>(G6-U6)/100*12*0.09*0.3*0.3*0.08*0.2</f>
        <v>0.0591357024</v>
      </c>
      <c r="S7" s="20">
        <f>(G6-U6)/100*12*0.09*0.3*0.15*0.8*0.2</f>
        <v>0.295678512</v>
      </c>
      <c r="T7" s="20">
        <f t="shared" ref="T7:T36" si="0">SUM(H7:S7)</f>
        <v>2.1880209888</v>
      </c>
      <c r="U7" s="44"/>
    </row>
    <row r="8" ht="22.5" customHeight="1" spans="2:21">
      <c r="B8" s="18">
        <v>21</v>
      </c>
      <c r="C8" s="19"/>
      <c r="D8" s="19"/>
      <c r="E8" s="20" t="s">
        <v>28</v>
      </c>
      <c r="F8" s="20" t="s">
        <v>29</v>
      </c>
      <c r="G8" s="20">
        <v>6224.11</v>
      </c>
      <c r="H8" s="20">
        <f>(G8-U8)/100*12*0.91*0.2*0.4*0.08*0.2</f>
        <v>0.56912174592</v>
      </c>
      <c r="I8" s="20">
        <f>(G8-U8)/100*12*0.91*0.2*0.4*0.08*0.2</f>
        <v>0.56912174592</v>
      </c>
      <c r="J8" s="20">
        <f>(G8-U8)/100*12*0.91*0.2*0.4*0.8*0.2</f>
        <v>5.6912174592</v>
      </c>
      <c r="K8" s="20"/>
      <c r="L8" s="20"/>
      <c r="M8" s="20">
        <f>(G8-U8)/100*12*0.91*0.2*0.29*0.08*0.2</f>
        <v>0.412613265792</v>
      </c>
      <c r="N8" s="20">
        <f>(G8-U8)/100*12*0.91*0.2*0.29*0.08*0.2</f>
        <v>0.412613265792</v>
      </c>
      <c r="O8" s="20">
        <f>(G8-U8)/100*12*0.91*0.2*0.29*0.8*0.2</f>
        <v>4.12613265792</v>
      </c>
      <c r="P8" s="20">
        <f>(G8-U8)/100*12*0.91*0.2*0.14*0.08*0.2</f>
        <v>0.199192611072</v>
      </c>
      <c r="Q8" s="20">
        <f>(G8-U8)/100*12*0.91*0.2*0.14*0.8*0.2</f>
        <v>1.99192611072</v>
      </c>
      <c r="R8" s="20">
        <f>(G8-U8)/100*12*0.91*0.2*0.14*0.08*0.2</f>
        <v>0.199192611072</v>
      </c>
      <c r="S8" s="20">
        <f>(G8-U8)/100*12*0.91*0.2*0.145*0.8*0.2</f>
        <v>2.06306632896</v>
      </c>
      <c r="T8" s="20">
        <f t="shared" si="0"/>
        <v>16.234197802368</v>
      </c>
      <c r="U8" s="44">
        <f>358.74*15*0.4</f>
        <v>2152.44</v>
      </c>
    </row>
    <row r="9" ht="22.5" customHeight="1" spans="2:21">
      <c r="B9" s="18">
        <v>22</v>
      </c>
      <c r="C9" s="19"/>
      <c r="D9" s="19"/>
      <c r="E9" s="20"/>
      <c r="F9" s="20" t="s">
        <v>30</v>
      </c>
      <c r="G9" s="20">
        <v>27.9</v>
      </c>
      <c r="H9" s="20">
        <f>G9/100*20*0.91*0.2*0.4*0.08*0.2</f>
        <v>0.006499584</v>
      </c>
      <c r="I9" s="20">
        <f>G9/100*20*0.91*0.2*0.4*0.08*0.2</f>
        <v>0.006499584</v>
      </c>
      <c r="J9" s="20">
        <f>G9/100*20*0.91*0.2*0.4*0.8*0.2</f>
        <v>0.06499584</v>
      </c>
      <c r="K9" s="20"/>
      <c r="L9" s="20"/>
      <c r="M9" s="20">
        <f>G9/100*20*0.91*0.2*0.29*0.8*0.2</f>
        <v>0.047121984</v>
      </c>
      <c r="N9" s="20">
        <f>G9/100*20*0.91*0.2*0.29*0.08*0.2</f>
        <v>0.0047121984</v>
      </c>
      <c r="O9" s="20">
        <f>G9/100*20*0.91*0.2*0.29*0.08*0.2</f>
        <v>0.0047121984</v>
      </c>
      <c r="P9" s="20">
        <f>G9/100*20*0.91*0.2*0.14*0.08*0.2</f>
        <v>0.0022748544</v>
      </c>
      <c r="Q9" s="20">
        <f>G9/100*20*0.91*0.2*0.14*0.8*0.2</f>
        <v>0.022748544</v>
      </c>
      <c r="R9" s="20">
        <f>G9/100*20*0.91*0.2*0.14*0.08*0.2</f>
        <v>0.0022748544</v>
      </c>
      <c r="S9" s="20">
        <f>G9/100*20*0.91*0.3*0.15*0.8*0.2</f>
        <v>0.03656016</v>
      </c>
      <c r="T9" s="20">
        <f t="shared" si="0"/>
        <v>0.1983998016</v>
      </c>
      <c r="U9" s="44"/>
    </row>
    <row r="10" ht="22.5" customHeight="1" spans="2:21">
      <c r="B10" s="18">
        <v>23</v>
      </c>
      <c r="C10" s="19"/>
      <c r="D10" s="19"/>
      <c r="E10" s="20"/>
      <c r="F10" s="20" t="s">
        <v>27</v>
      </c>
      <c r="G10" s="20">
        <f>SUM(G8:G9)</f>
        <v>6252.01</v>
      </c>
      <c r="H10" s="20">
        <f>(G8-U9)/100*12*0.09*0.3*0.5*0.8*0.2+G9/100*20*0.09*0.3*0.5*0.8*0.2</f>
        <v>1.625342112</v>
      </c>
      <c r="I10" s="20">
        <f>(G8-U9)/100*12*0.09*0.3*0.5*0.08*0.2+G9/100*20*0.09*0.3*0.5*0.08*0.2</f>
        <v>0.1625342112</v>
      </c>
      <c r="J10" s="20">
        <f>(G8-U9)/100*12*0.09*0.3*0.5*0.08*0.2+G9/100*20*0.09*0.3*0.5*0.08*0.2</f>
        <v>0.1625342112</v>
      </c>
      <c r="K10" s="20"/>
      <c r="L10" s="20"/>
      <c r="M10" s="20"/>
      <c r="N10" s="20"/>
      <c r="O10" s="20"/>
      <c r="P10" s="20">
        <f>(G8-U9)/100*12*0.09*0.3*0.3*0.8*0.2+G9/100*20*0.09*0.3*0.3*0.8*0.2</f>
        <v>0.9752052672</v>
      </c>
      <c r="Q10" s="20">
        <f>(G8-U9)/100*12*0.09*0.3*0.3*0.08*0.2+G9/100*20*0.09*0.3*0.3*0.08*0.2</f>
        <v>0.09752052672</v>
      </c>
      <c r="R10" s="20">
        <f>(G8-U9)/100*12*0.09*0.3*0.3*0.08*0.2+G9/100*20*0.09*0.3*0.3*0.08*0.2</f>
        <v>0.09752052672</v>
      </c>
      <c r="S10" s="20">
        <f>(G8-U9)/100*12*0.09*0.3*0.15*0.8*0.2+G9/100*20*0.09*0.3*0.15*0.8*0.2</f>
        <v>0.4876026336</v>
      </c>
      <c r="T10" s="20">
        <f t="shared" si="0"/>
        <v>3.60825948864</v>
      </c>
      <c r="U10" s="44"/>
    </row>
    <row r="11" ht="22.5" customHeight="1" spans="2:21">
      <c r="B11" s="18">
        <v>24</v>
      </c>
      <c r="C11" s="19"/>
      <c r="D11" s="19"/>
      <c r="E11" s="20" t="s">
        <v>31</v>
      </c>
      <c r="F11" s="20" t="s">
        <v>32</v>
      </c>
      <c r="G11" s="20">
        <v>4929.04</v>
      </c>
      <c r="H11" s="20">
        <f>(G11-U11)/100*12*0.91*0.2*0.4*0.08*0.2</f>
        <v>0.481264982016</v>
      </c>
      <c r="I11" s="20">
        <f>(G11-U11)/100*12*0.91*0.2*0.4*0.8*0.2</f>
        <v>4.81264982016</v>
      </c>
      <c r="J11" s="20">
        <f>(G11-U11)/100*12*0.91*0.2*0.4*0.08*0.2</f>
        <v>0.481264982016</v>
      </c>
      <c r="K11" s="20"/>
      <c r="L11" s="20"/>
      <c r="M11" s="20">
        <f>(G11-U11)/100*12*0.91*0.2*0.29*0.08*0.2</f>
        <v>0.3489171119616</v>
      </c>
      <c r="N11" s="20">
        <f>(G11-U11)/100*12*0.91*0.2*0.29*0.08*0.2</f>
        <v>0.3489171119616</v>
      </c>
      <c r="O11" s="20">
        <f>(G11-U11)/100*12*0.91*0.2*0.29*0.8*0.2</f>
        <v>3.489171119616</v>
      </c>
      <c r="P11" s="20">
        <f>(G11-U11)/100*12*0.91*0.2*0.14*0.08*0.2</f>
        <v>0.1684427437056</v>
      </c>
      <c r="Q11" s="20">
        <f>(G11-U11)/100*12*0.91*0.2*0.14*0.8*0.2</f>
        <v>1.684427437056</v>
      </c>
      <c r="R11" s="20">
        <f>(G11-U11)/100*12*0.91*0.2*0.14*0.08*0.2</f>
        <v>0.1684427437056</v>
      </c>
      <c r="S11" s="20">
        <f>(G11-U11)/100*12*0.91*0.2*0.145*0.8*0.2</f>
        <v>1.744585559808</v>
      </c>
      <c r="T11" s="20">
        <f t="shared" ref="T11:T14" si="1">SUM(H11:S11)</f>
        <v>13.7280836120064</v>
      </c>
      <c r="U11" s="44">
        <f>337.71*11*0.4</f>
        <v>1485.924</v>
      </c>
    </row>
    <row r="12" ht="22.5" customHeight="1" spans="2:21">
      <c r="B12" s="18">
        <v>25</v>
      </c>
      <c r="C12" s="19"/>
      <c r="D12" s="19"/>
      <c r="E12" s="20"/>
      <c r="F12" s="20" t="s">
        <v>33</v>
      </c>
      <c r="G12" s="20">
        <v>661.8</v>
      </c>
      <c r="H12" s="20">
        <f>G12/100*20*0.91*0.2*0.4*0.08*0.2</f>
        <v>0.154172928</v>
      </c>
      <c r="I12" s="20">
        <f>G12/100*20*0.91*0.2*0.4*0.8*0.2</f>
        <v>1.54172928</v>
      </c>
      <c r="J12" s="20">
        <f>G12/100*20*0.91*0.2*0.4*0.08*0.2</f>
        <v>0.154172928</v>
      </c>
      <c r="K12" s="20"/>
      <c r="L12" s="20"/>
      <c r="M12" s="20">
        <f>G12/100*20*0.91*0.2*0.29*0.08*0.2</f>
        <v>0.1117753728</v>
      </c>
      <c r="N12" s="20">
        <f>G12/100*20*0.91*0.2*0.29*0.08*0.2</f>
        <v>0.1117753728</v>
      </c>
      <c r="O12" s="20">
        <f>G12/100*20*0.91*0.2*0.29*0.8*0.2</f>
        <v>1.117753728</v>
      </c>
      <c r="P12" s="20">
        <f>G12/100*20*0.91*0.2*0.14*0.08*0.2</f>
        <v>0.0539605248</v>
      </c>
      <c r="Q12" s="20">
        <f>G12/100*20*0.91*0.2*0.14*0.8*0.2</f>
        <v>0.539605248</v>
      </c>
      <c r="R12" s="20">
        <f>G12/100*20*0.91*0.2*0.14*0.08*0.2</f>
        <v>0.0539605248</v>
      </c>
      <c r="S12" s="20">
        <f>G12/100*20*0.91*0.3*0.15*0.8*0.2</f>
        <v>0.86722272</v>
      </c>
      <c r="T12" s="20">
        <f t="shared" si="1"/>
        <v>4.7061286272</v>
      </c>
      <c r="U12" s="44"/>
    </row>
    <row r="13" ht="22.5" customHeight="1" spans="2:21">
      <c r="B13" s="18">
        <v>28</v>
      </c>
      <c r="C13" s="19"/>
      <c r="D13" s="19"/>
      <c r="E13" s="20"/>
      <c r="F13" s="20" t="s">
        <v>27</v>
      </c>
      <c r="G13" s="20">
        <f>SUM(G11:G12)</f>
        <v>5590.84</v>
      </c>
      <c r="H13" s="20">
        <f>(G11-U12)/100*12*0.09*0.3*0.5*0.8*0.2+G12/100*20*0.09*0.3*0.5*0.8*0.2</f>
        <v>1.563504768</v>
      </c>
      <c r="I13" s="20">
        <f>(G11-U12)/100*12*0.09*0.3*0.5*0.08*0.2+G12/100*20*0.09*0.3*0.5*0.08*0.2</f>
        <v>0.1563504768</v>
      </c>
      <c r="J13" s="20">
        <f>(G11-U12)/100*12*0.09*0.3*0.5*0.08*0.2+G12/100*20*0.09*0.3*0.5*0.08*0.2</f>
        <v>0.1563504768</v>
      </c>
      <c r="K13" s="20"/>
      <c r="L13" s="20"/>
      <c r="M13" s="20"/>
      <c r="N13" s="20"/>
      <c r="O13" s="20"/>
      <c r="P13" s="20">
        <f>(G11-U12)/100*12*0.09*0.3*0.3*0.8*0.2+G12/100*20*0.09*0.3*0.3*0.8*0.2</f>
        <v>0.9381028608</v>
      </c>
      <c r="Q13" s="20">
        <f>(G11-U12)/100*12*0.09*0.3*0.3*0.08*0.2+G12/100*20*0.09*0.3*0.3*0.08*0.2</f>
        <v>0.09381028608</v>
      </c>
      <c r="R13" s="20">
        <f>(G11-U12)/100*12*0.09*0.3*0.3*0.08*0.2+G12/100*20*0.09*0.3*0.3*0.08*0.2</f>
        <v>0.09381028608</v>
      </c>
      <c r="S13" s="20">
        <f>(G11-U12)/100*12*0.09*0.3*0.15*0.8*0.2+G12/100*20*0.09*0.3*0.15*0.8*0.2</f>
        <v>0.4690514304</v>
      </c>
      <c r="T13" s="20">
        <f t="shared" si="1"/>
        <v>3.47098058496</v>
      </c>
      <c r="U13" s="44"/>
    </row>
    <row r="14" ht="22.5" customHeight="1" spans="2:21">
      <c r="B14" s="18">
        <v>47</v>
      </c>
      <c r="C14" s="19"/>
      <c r="D14" s="19"/>
      <c r="E14" s="21" t="s">
        <v>34</v>
      </c>
      <c r="F14" s="20" t="s">
        <v>35</v>
      </c>
      <c r="G14" s="20">
        <v>4138.16</v>
      </c>
      <c r="H14" s="20">
        <f>(G14-U14)/100*12*0.91*0.2*0.4*0.08*0.2</f>
        <v>0.38960044032</v>
      </c>
      <c r="I14" s="20">
        <f>(G14-U14)/100*12*0.91*0.2*0.4*0.8*0.2</f>
        <v>3.8960044032</v>
      </c>
      <c r="J14" s="20">
        <f>(G14-U14)/100*12*0.91*0.2*0.4*0.08*0.2</f>
        <v>0.38960044032</v>
      </c>
      <c r="K14" s="20"/>
      <c r="L14" s="20"/>
      <c r="M14" s="20">
        <f>(G14-U14)/100*12*0.91*0.2*0.29*0.08*0.2</f>
        <v>0.282460319232</v>
      </c>
      <c r="N14" s="20">
        <f>(G14-U14)/100*12*0.91*0.2*0.29*0.08*0.2</f>
        <v>0.282460319232</v>
      </c>
      <c r="O14" s="20">
        <f>(G14-U14)/100*12*0.91*0.2*0.29*0.8*0.2</f>
        <v>2.82460319232</v>
      </c>
      <c r="P14" s="20">
        <f>(G14-U14)/100*12*0.91*0.2*0.14*0.08*0.2</f>
        <v>0.136360154112</v>
      </c>
      <c r="Q14" s="20">
        <f>(G14-U14)/100*12*0.91*0.2*0.14*0.8*0.2</f>
        <v>1.36360154112</v>
      </c>
      <c r="R14" s="20">
        <f>(G14-U14)/100*12*0.91*0.2*0.14*0.08*0.2</f>
        <v>0.136360154112</v>
      </c>
      <c r="S14" s="20">
        <f>(G14-U14)/100*12*0.91*0.2*0.145*0.8*0.2</f>
        <v>1.41230159616</v>
      </c>
      <c r="T14" s="20">
        <f t="shared" si="1"/>
        <v>11.113352560128</v>
      </c>
      <c r="U14" s="44">
        <f>337.71*10*0.4</f>
        <v>1350.84</v>
      </c>
    </row>
    <row r="15" ht="22.5" customHeight="1" spans="2:21">
      <c r="B15" s="18">
        <v>48</v>
      </c>
      <c r="C15" s="19"/>
      <c r="D15" s="19"/>
      <c r="E15" s="21"/>
      <c r="F15" s="20" t="s">
        <v>27</v>
      </c>
      <c r="G15" s="20">
        <f>SUM(G14:G14)</f>
        <v>4138.16</v>
      </c>
      <c r="H15" s="20">
        <f>(G14-U14)/100*12*0.09*0.3*0.5*0.8*0.2</f>
        <v>0.722473344</v>
      </c>
      <c r="I15" s="20">
        <f>(G14-U14)/100*12*0.09*0.3*0.5*0.08*0.2</f>
        <v>0.0722473344</v>
      </c>
      <c r="J15" s="20">
        <f>(G14-U14)/100*12*0.09*0.3*0.5*0.08*0.2</f>
        <v>0.0722473344</v>
      </c>
      <c r="K15" s="20"/>
      <c r="L15" s="20"/>
      <c r="M15" s="20"/>
      <c r="N15" s="20"/>
      <c r="O15" s="20"/>
      <c r="P15" s="20">
        <f>(G14-U14)/100*12*0.09*0.3*0.3*0.8*0.2</f>
        <v>0.4334840064</v>
      </c>
      <c r="Q15" s="20">
        <f>(G14-U14)/100*12*0.09*0.3*0.3*0.08*0.2</f>
        <v>0.04334840064</v>
      </c>
      <c r="R15" s="20">
        <f>(G14-U14)/100*12*0.09*0.3*0.3*0.08*0.2</f>
        <v>0.04334840064</v>
      </c>
      <c r="S15" s="20">
        <f>(G14-U14)/100*12*0.09*0.3*0.15*0.8*0.2</f>
        <v>0.2167420032</v>
      </c>
      <c r="T15" s="20">
        <f t="shared" ref="T15:T16" si="2">SUM(H15:S15)</f>
        <v>1.60389082368</v>
      </c>
      <c r="U15" s="44"/>
    </row>
    <row r="16" ht="22.5" customHeight="1" spans="2:21">
      <c r="B16" s="18">
        <v>56</v>
      </c>
      <c r="C16" s="19"/>
      <c r="D16" s="19"/>
      <c r="E16" s="20" t="s">
        <v>36</v>
      </c>
      <c r="F16" s="20" t="s">
        <v>37</v>
      </c>
      <c r="G16" s="20">
        <v>4895.89</v>
      </c>
      <c r="H16" s="20">
        <f>(G16-U16)/100*12*0.91*0.2*0.4*0.08*0.2</f>
        <v>0.46166475264</v>
      </c>
      <c r="I16" s="20">
        <f>(G16-U16)/100*12*0.91*0.2*0.4*0.08*0.2</f>
        <v>0.46166475264</v>
      </c>
      <c r="J16" s="20"/>
      <c r="K16" s="20">
        <f>(G16-U16)/100*12*0.91*0.2*0.4*0.8*0.2</f>
        <v>4.6166475264</v>
      </c>
      <c r="L16" s="20"/>
      <c r="M16" s="20">
        <f>(G16-U16)/100*12*0.91*0.2*0.29*0.8*0.2</f>
        <v>3.34706945664</v>
      </c>
      <c r="N16" s="20">
        <f>(G16-U16)/100*12*0.91*0.2*0.29*0.08*0.2</f>
        <v>0.334706945664</v>
      </c>
      <c r="O16" s="20">
        <f>(G16-U16)/100*12*0.91*0.2*0.29*0.08*0.2</f>
        <v>0.334706945664</v>
      </c>
      <c r="P16" s="20">
        <f>(G16-U16)/100*12*0.91*0.2*0.14*0.08*0.2</f>
        <v>0.161582663424</v>
      </c>
      <c r="Q16" s="20">
        <f>(G16-U16)/100*12*0.91*0.2*0.14*0.8*0.2</f>
        <v>1.61582663424</v>
      </c>
      <c r="R16" s="20">
        <f>(G16-U16)/100*12*0.91*0.2*0.14*0.08*0.2</f>
        <v>0.161582663424</v>
      </c>
      <c r="S16" s="20">
        <f>(G16-U16)/100*12*0.91*0.2*0.145*0.8*0.2</f>
        <v>1.67353472832</v>
      </c>
      <c r="T16" s="20">
        <f t="shared" si="2"/>
        <v>13.168987069056</v>
      </c>
      <c r="U16" s="44">
        <f>398.25*10*0.4</f>
        <v>1593</v>
      </c>
    </row>
    <row r="17" ht="22.5" customHeight="1" spans="2:21">
      <c r="B17" s="18">
        <v>57</v>
      </c>
      <c r="C17" s="19"/>
      <c r="D17" s="19"/>
      <c r="E17" s="20"/>
      <c r="F17" s="20" t="s">
        <v>27</v>
      </c>
      <c r="G17" s="20">
        <f>SUM(G16:G16)</f>
        <v>4895.89</v>
      </c>
      <c r="H17" s="20">
        <f>(G16-U16)/100*12*0.09*0.3*0.5*0.8*0.2</f>
        <v>0.856109088</v>
      </c>
      <c r="I17" s="20">
        <f>(G16-U16)/100*12*0.09*0.3*0.5*0.08*0.2</f>
        <v>0.0856109088</v>
      </c>
      <c r="J17" s="20">
        <f>(G16-U16)/100*12*0.09*0.3*0.5*0.08*0.2</f>
        <v>0.0856109088</v>
      </c>
      <c r="K17" s="20"/>
      <c r="L17" s="20"/>
      <c r="M17" s="20"/>
      <c r="N17" s="20"/>
      <c r="O17" s="20"/>
      <c r="P17" s="20">
        <f>(G16-U16)/100*12*0.09*0.3*0.3*0.8*0.2</f>
        <v>0.5136654528</v>
      </c>
      <c r="Q17" s="20">
        <f>(G16-U16)/100*12*0.09*0.3*0.3*0.08*0.2</f>
        <v>0.05136654528</v>
      </c>
      <c r="R17" s="20">
        <f>(G16-U16)/100*12*0.09*0.3*0.3*0.08*0.2</f>
        <v>0.05136654528</v>
      </c>
      <c r="S17" s="20">
        <f>(G16-U16)/100*12*0.09*0.3*0.15*0.8*0.2</f>
        <v>0.2568327264</v>
      </c>
      <c r="T17" s="20">
        <f t="shared" ref="T17:T18" si="3">SUM(H17:S17)</f>
        <v>1.90056217536</v>
      </c>
      <c r="U17" s="44"/>
    </row>
    <row r="18" ht="22.5" customHeight="1" spans="2:21">
      <c r="B18" s="18">
        <v>64</v>
      </c>
      <c r="C18" s="19"/>
      <c r="D18" s="19"/>
      <c r="E18" s="20" t="s">
        <v>38</v>
      </c>
      <c r="F18" s="20" t="s">
        <v>39</v>
      </c>
      <c r="G18" s="20">
        <v>5294.14</v>
      </c>
      <c r="H18" s="20">
        <f>(G18-U18)/100*12*0.91*0.2*0.4*0.08*0.2</f>
        <v>0.49506422784</v>
      </c>
      <c r="I18" s="20">
        <f>(G18-U18)/100*12*0.91*0.2*0.4*0.08*0.2</f>
        <v>0.49506422784</v>
      </c>
      <c r="J18" s="20"/>
      <c r="K18" s="20">
        <f>(G18-U18)/100*12*0.91*0.2*0.4*0.8*0.2</f>
        <v>4.9506422784</v>
      </c>
      <c r="L18" s="20"/>
      <c r="M18" s="20">
        <f>(G18-U18)/100*12*0.91*0.2*0.29*0.8*0.2</f>
        <v>3.58921565184</v>
      </c>
      <c r="N18" s="20">
        <f>(G18-U18)/100*12*0.91*0.2*0.29*0.08*0.2</f>
        <v>0.358921565184</v>
      </c>
      <c r="O18" s="20">
        <f>(G18-U18)/100*12*0.91*0.2*0.29*0.08*0.2</f>
        <v>0.358921565184</v>
      </c>
      <c r="P18" s="20">
        <f>(G18-U18)/100*12*0.91*0.2*0.14*0.08*0.2</f>
        <v>0.173272479744</v>
      </c>
      <c r="Q18" s="20">
        <f>(G18-U18)/100*12*0.91*0.2*0.14*0.8*0.2</f>
        <v>1.73272479744</v>
      </c>
      <c r="R18" s="20">
        <f>(G18-U18)/100*12*0.91*0.2*0.14*0.08*0.2</f>
        <v>0.173272479744</v>
      </c>
      <c r="S18" s="20">
        <f>(G18-U18)/100*12*0.91*0.2*0.145*0.8*0.2</f>
        <v>1.79460782592</v>
      </c>
      <c r="T18" s="20">
        <f t="shared" si="3"/>
        <v>14.121707099136</v>
      </c>
      <c r="U18" s="44">
        <f>398.25*11*0.4</f>
        <v>1752.3</v>
      </c>
    </row>
    <row r="19" ht="22.5" customHeight="1" spans="2:21">
      <c r="B19" s="18">
        <v>65</v>
      </c>
      <c r="C19" s="19"/>
      <c r="D19" s="19"/>
      <c r="E19" s="20"/>
      <c r="F19" s="20" t="s">
        <v>27</v>
      </c>
      <c r="G19" s="20">
        <f>SUM(G18:G18)</f>
        <v>5294.14</v>
      </c>
      <c r="H19" s="20">
        <f>(G18-U18)/100*12*0.09*0.3*0.5*0.8*0.2</f>
        <v>0.918044928</v>
      </c>
      <c r="I19" s="20">
        <f>(G18-U18)/100*12*0.09*0.3*0.5*0.08*0.2</f>
        <v>0.0918044928</v>
      </c>
      <c r="J19" s="20">
        <f>(G18-U18)/100*12*0.09*0.3*0.5*0.08*0.2</f>
        <v>0.0918044928</v>
      </c>
      <c r="K19" s="20"/>
      <c r="L19" s="20"/>
      <c r="M19" s="20"/>
      <c r="N19" s="20"/>
      <c r="O19" s="20"/>
      <c r="P19" s="20">
        <f>(G18-U18)/100*12*0.09*0.3*0.3*0.8*0.2</f>
        <v>0.5508269568</v>
      </c>
      <c r="Q19" s="20">
        <f>(G18-U18)/100*12*0.09*0.3*0.3*0.08*0.2</f>
        <v>0.05508269568</v>
      </c>
      <c r="R19" s="20">
        <f>(G18-U18)/100*12*0.09*0.3*0.3*0.08*0.2</f>
        <v>0.05508269568</v>
      </c>
      <c r="S19" s="20">
        <f>(G18-U18)/100*12*0.09*0.3*0.15*0.8*0.2</f>
        <v>0.2754134784</v>
      </c>
      <c r="T19" s="20">
        <f t="shared" ref="T19:T22" si="4">SUM(H19:S19)</f>
        <v>2.03805974016</v>
      </c>
      <c r="U19" s="44"/>
    </row>
    <row r="20" ht="22.5" customHeight="1" spans="2:21">
      <c r="B20" s="18">
        <v>68</v>
      </c>
      <c r="C20" s="19"/>
      <c r="D20" s="19"/>
      <c r="E20" s="20" t="s">
        <v>40</v>
      </c>
      <c r="F20" s="20" t="s">
        <v>41</v>
      </c>
      <c r="G20" s="20">
        <v>4802.09</v>
      </c>
      <c r="H20" s="20">
        <f>(G20-U20)/100*12*0.91*0.2*0.4*0.08*0.2</f>
        <v>0.47420545536</v>
      </c>
      <c r="I20" s="20">
        <f>(G20-U20)/100*12*0.91*0.2*0.4*0.8*0.2</f>
        <v>4.7420545536</v>
      </c>
      <c r="J20" s="20">
        <f>(G20-U20)/100*12*0.91*0.2*0.4*0.08*0.2</f>
        <v>0.47420545536</v>
      </c>
      <c r="K20" s="20"/>
      <c r="L20" s="20"/>
      <c r="M20" s="20">
        <f>(G20-U20)/100*12*0.91*0.2*0.29*0.08*0.2</f>
        <v>0.343798955136</v>
      </c>
      <c r="N20" s="20">
        <f>(G20-U20)/100*12*0.91*0.2*0.29*0.08*0.2</f>
        <v>0.343798955136</v>
      </c>
      <c r="O20" s="20">
        <f>(G20-U20)/100*12*0.91*0.2*0.29*0.8*0.2</f>
        <v>3.43798955136</v>
      </c>
      <c r="P20" s="20">
        <f>(G20-U20)/100*12*0.91*0.2*0.14*0.08*0.2</f>
        <v>0.165971909376</v>
      </c>
      <c r="Q20" s="20">
        <f>(G20-U20)/100*12*0.91*0.2*0.14*0.8*0.2</f>
        <v>1.65971909376</v>
      </c>
      <c r="R20" s="20">
        <f>(G20-U20)/100*12*0.91*0.2*0.14*0.08*0.2</f>
        <v>0.165971909376</v>
      </c>
      <c r="S20" s="20">
        <f>(G20-U20)/100*12*0.91*0.2*0.145*0.8*0.2</f>
        <v>1.71899477568</v>
      </c>
      <c r="T20" s="20">
        <f t="shared" si="4"/>
        <v>13.526710614144</v>
      </c>
      <c r="U20" s="44">
        <f>352.37*10*0.4</f>
        <v>1409.48</v>
      </c>
    </row>
    <row r="21" ht="22.5" customHeight="1" spans="2:21">
      <c r="B21" s="18"/>
      <c r="C21" s="19"/>
      <c r="D21" s="19"/>
      <c r="E21" s="20"/>
      <c r="F21" s="20" t="s">
        <v>42</v>
      </c>
      <c r="G21" s="20">
        <v>1509.64</v>
      </c>
      <c r="H21" s="20">
        <f>G21/100*20*0.91*0.2*0.4*0.08*0.2</f>
        <v>0.3516857344</v>
      </c>
      <c r="I21" s="20">
        <f>G21/100*20*0.91*0.2*0.4*0.8*0.2</f>
        <v>3.516857344</v>
      </c>
      <c r="J21" s="20">
        <f>G21/100*20*0.91*0.2*0.4*0.08*0.2</f>
        <v>0.3516857344</v>
      </c>
      <c r="K21" s="20"/>
      <c r="L21" s="20"/>
      <c r="M21" s="20">
        <f>G21/100*20*0.91*0.2*0.29*0.08*0.2</f>
        <v>0.25497215744</v>
      </c>
      <c r="N21" s="20">
        <f>G21/100*20*0.91*0.2*0.29*0.08*0.2</f>
        <v>0.25497215744</v>
      </c>
      <c r="O21" s="20">
        <f>G21/100*20*0.91*0.2*0.29*0.8*0.2</f>
        <v>2.5497215744</v>
      </c>
      <c r="P21" s="20">
        <f>G21/100*20*0.91*0.2*0.14*0.08*0.2</f>
        <v>0.12309000704</v>
      </c>
      <c r="Q21" s="20">
        <f>G21/100*20*0.91*0.2*0.14*0.8*0.2</f>
        <v>1.2309000704</v>
      </c>
      <c r="R21" s="20">
        <f>G21/100*20*0.91*0.2*0.14*0.08*0.2</f>
        <v>0.12309000704</v>
      </c>
      <c r="S21" s="20">
        <f>G21/100*20*0.91*0.3*0.15*0.8*0.2</f>
        <v>1.978232256</v>
      </c>
      <c r="T21" s="20">
        <f t="shared" si="4"/>
        <v>10.73520704256</v>
      </c>
      <c r="U21" s="44"/>
    </row>
    <row r="22" ht="22.5" customHeight="1" spans="2:21">
      <c r="B22" s="18">
        <v>70</v>
      </c>
      <c r="C22" s="19"/>
      <c r="D22" s="19"/>
      <c r="E22" s="20"/>
      <c r="F22" s="20" t="s">
        <v>27</v>
      </c>
      <c r="G22" s="20">
        <f>SUM(G20:G21)</f>
        <v>6311.73</v>
      </c>
      <c r="H22" s="20">
        <f>(G20-U21)/100*12*0.09*0.3*0.5*0.8*0.2+G21/100*20*0.09*0.3*0.5*0.8*0.2</f>
        <v>1.896866208</v>
      </c>
      <c r="I22" s="20">
        <f>(G20-U21)/100*12*0.09*0.3*0.5*0.08*0.2+G21/100*20*0.09*0.3*0.5*0.08*0.2</f>
        <v>0.1896866208</v>
      </c>
      <c r="J22" s="20">
        <f>(G20-U21)/100*12*0.09*0.3*0.5*0.08*0.2+G21/100*20*0.09*0.3*0.5*0.08*0.2</f>
        <v>0.1896866208</v>
      </c>
      <c r="K22" s="20"/>
      <c r="L22" s="20"/>
      <c r="M22" s="20"/>
      <c r="N22" s="20"/>
      <c r="O22" s="20"/>
      <c r="P22" s="20">
        <f>(G20-U21)/100*12*0.09*0.3*0.3*0.8*0.2+G21/100*20*0.09*0.3*0.3*0.8*0.2</f>
        <v>1.1381197248</v>
      </c>
      <c r="Q22" s="20">
        <f>(G20-U21)/100*12*0.09*0.3*0.3*0.08*0.2+G21/100*20*0.09*0.3*0.3*0.08*0.2</f>
        <v>0.11381197248</v>
      </c>
      <c r="R22" s="20">
        <f>(G20-U21)/100*12*0.09*0.3*0.3*0.08*0.2+G21/100*20*0.09*0.3*0.3*0.08*0.2</f>
        <v>0.11381197248</v>
      </c>
      <c r="S22" s="20">
        <f>(G20-U21)/100*12*0.09*0.3*0.15*0.8*0.2+G21/100*20*0.09*0.3*0.15*0.8*0.2</f>
        <v>0.5690598624</v>
      </c>
      <c r="T22" s="20">
        <f t="shared" si="4"/>
        <v>4.21104298176</v>
      </c>
      <c r="U22" s="44"/>
    </row>
    <row r="23" ht="22.5" customHeight="1" spans="2:21">
      <c r="B23" s="18">
        <v>71</v>
      </c>
      <c r="C23" s="19"/>
      <c r="D23" s="19"/>
      <c r="E23" s="20" t="s">
        <v>43</v>
      </c>
      <c r="F23" s="20" t="s">
        <v>43</v>
      </c>
      <c r="G23" s="20">
        <v>15.2</v>
      </c>
      <c r="H23" s="20">
        <f>G23/100*20*0.91*0.2*0.4*0.08*0.2</f>
        <v>0.003540992</v>
      </c>
      <c r="I23" s="20">
        <f>G23/100*20*0.91*0.2*0.4*0.08*0.2</f>
        <v>0.003540992</v>
      </c>
      <c r="J23" s="20"/>
      <c r="K23" s="20"/>
      <c r="L23" s="20">
        <f>G23/100*20*0.91*0.2*0.4*0.8*0.2</f>
        <v>0.03540992</v>
      </c>
      <c r="M23" s="20">
        <f>G23/100*20*0.91*0.2*0.29*0.8*0.2</f>
        <v>0.025672192</v>
      </c>
      <c r="N23" s="20">
        <f>G23/100*20*0.91*0.2*0.29*0.08*0.2</f>
        <v>0.0025672192</v>
      </c>
      <c r="O23" s="20">
        <f>G23/100*20*0.91*0.2*0.29*0.08*0.2</f>
        <v>0.0025672192</v>
      </c>
      <c r="P23" s="20">
        <f>G23/100*20*0.91*0.2*0.14*0.08*0.2</f>
        <v>0.0012393472</v>
      </c>
      <c r="Q23" s="20">
        <f>G23/100*20*0.91*0.2*0.14*0.8*0.2</f>
        <v>0.012393472</v>
      </c>
      <c r="R23" s="20">
        <f>G23/100*20*0.91*0.2*0.14*0.08*0.2</f>
        <v>0.0012393472</v>
      </c>
      <c r="S23" s="20">
        <f>G23/100*20*0.91*0.3*0.15*0.8*0.2</f>
        <v>0.01991808</v>
      </c>
      <c r="T23" s="20">
        <f t="shared" ref="T23:T24" si="5">SUM(H23:S23)</f>
        <v>0.1080887808</v>
      </c>
      <c r="U23" s="44"/>
    </row>
    <row r="24" ht="22.5" customHeight="1" spans="2:21">
      <c r="B24" s="18"/>
      <c r="C24" s="19"/>
      <c r="D24" s="19"/>
      <c r="E24" s="20"/>
      <c r="F24" s="20" t="s">
        <v>27</v>
      </c>
      <c r="G24" s="20">
        <f>SUM(G23:G23)</f>
        <v>15.2</v>
      </c>
      <c r="H24" s="20">
        <f>G23/100*20*0.09*0.3*0.5*0.8*0.2</f>
        <v>0.0065664</v>
      </c>
      <c r="I24" s="20">
        <f>G23/100*20*0.09*0.3*0.5*0.08*0.2</f>
        <v>0.00065664</v>
      </c>
      <c r="J24" s="20">
        <f>G23/100*20*0.09*0.3*0.5*0.08*0.2</f>
        <v>0.00065664</v>
      </c>
      <c r="K24" s="20"/>
      <c r="L24" s="20"/>
      <c r="M24" s="20"/>
      <c r="N24" s="20"/>
      <c r="O24" s="20"/>
      <c r="P24" s="20">
        <f>G23/100*20*0.09*0.3*0.5*0.8*0.2</f>
        <v>0.0065664</v>
      </c>
      <c r="Q24" s="20">
        <f>G23/100*20*0.09*0.3*0.5*0.08*0.2</f>
        <v>0.00065664</v>
      </c>
      <c r="R24" s="20">
        <f>G23/100*20*0.09*0.3*0.5*0.08*0.2</f>
        <v>0.00065664</v>
      </c>
      <c r="S24" s="20">
        <f>G23/100*20*0.09*0.3*0.15*0.8*0.2</f>
        <v>0.00196992</v>
      </c>
      <c r="T24" s="20">
        <f t="shared" si="5"/>
        <v>0.01772928</v>
      </c>
      <c r="U24" s="44"/>
    </row>
    <row r="25" ht="22.5" customHeight="1" spans="2:21">
      <c r="B25" s="18"/>
      <c r="C25" s="19"/>
      <c r="D25" s="19"/>
      <c r="E25" s="20" t="s">
        <v>44</v>
      </c>
      <c r="F25" s="20" t="s">
        <v>44</v>
      </c>
      <c r="G25" s="20">
        <v>90</v>
      </c>
      <c r="H25" s="20">
        <f>G25/100*20*0.91*0.2*0.4*0.08*0.2</f>
        <v>0.0209664</v>
      </c>
      <c r="I25" s="20">
        <f>G25/100*20*0.91*0.2*0.4*0.08*0.2</f>
        <v>0.0209664</v>
      </c>
      <c r="J25" s="20"/>
      <c r="K25" s="20"/>
      <c r="L25" s="20">
        <f>G25/100*20*0.91*0.2*0.4*0.8*0.2</f>
        <v>0.209664</v>
      </c>
      <c r="M25" s="20">
        <f>G25/100*20*0.91*0.2*0.29*0.8*0.2</f>
        <v>0.1520064</v>
      </c>
      <c r="N25" s="20">
        <f>G25/100*20*0.91*0.2*0.29*0.08*0.2</f>
        <v>0.01520064</v>
      </c>
      <c r="O25" s="20">
        <f>G25/100*20*0.91*0.2*0.29*0.08*0.2</f>
        <v>0.01520064</v>
      </c>
      <c r="P25" s="20">
        <f>G25/100*20*0.91*0.2*0.14*0.08*0.2</f>
        <v>0.00733824</v>
      </c>
      <c r="Q25" s="20">
        <f>G25/100*20*0.91*0.2*0.14*0.8*0.2</f>
        <v>0.0733824</v>
      </c>
      <c r="R25" s="20">
        <f>G25/100*20*0.91*0.2*0.14*0.08*0.2</f>
        <v>0.00733824</v>
      </c>
      <c r="S25" s="20">
        <f>G25/100*20*0.91*0.3*0.15*0.8*0.2</f>
        <v>0.117936</v>
      </c>
      <c r="T25" s="20">
        <f t="shared" ref="T25" si="6">SUM(H25:S25)</f>
        <v>0.63999936</v>
      </c>
      <c r="U25" s="44"/>
    </row>
    <row r="26" ht="22.5" customHeight="1" spans="2:21">
      <c r="B26" s="18">
        <v>72</v>
      </c>
      <c r="C26" s="19"/>
      <c r="D26" s="19"/>
      <c r="E26" s="20"/>
      <c r="F26" s="20" t="s">
        <v>27</v>
      </c>
      <c r="G26" s="20">
        <f>SUM(G25:G25)</f>
        <v>90</v>
      </c>
      <c r="H26" s="20">
        <f>G25/100*20*0.09*0.3*0.5*0.8*0.2</f>
        <v>0.03888</v>
      </c>
      <c r="I26" s="20">
        <f>G25/100*20*0.09*0.3*0.5*0.08*0.2</f>
        <v>0.003888</v>
      </c>
      <c r="J26" s="20">
        <f>G25/100*20*0.09*0.3*0.5*0.08*0.2</f>
        <v>0.003888</v>
      </c>
      <c r="K26" s="20"/>
      <c r="L26" s="20"/>
      <c r="M26" s="20"/>
      <c r="N26" s="20"/>
      <c r="O26" s="20"/>
      <c r="P26" s="20">
        <f>G25/100*20*0.09*0.3*0.5*0.8*0.2</f>
        <v>0.03888</v>
      </c>
      <c r="Q26" s="20">
        <f>G25/100*20*0.09*0.3*0.5*0.08*0.2</f>
        <v>0.003888</v>
      </c>
      <c r="R26" s="20">
        <f>G25/100*20*0.09*0.3*0.5*0.08*0.2</f>
        <v>0.003888</v>
      </c>
      <c r="S26" s="20">
        <f>G25/100*20*0.09*0.3*0.15*0.8*0.2</f>
        <v>0.011664</v>
      </c>
      <c r="T26" s="20">
        <f t="shared" ref="T26" si="7">SUM(H26:S26)</f>
        <v>0.104976</v>
      </c>
      <c r="U26" s="44"/>
    </row>
    <row r="27" ht="22.5" customHeight="1" spans="2:21">
      <c r="B27" s="18">
        <v>73</v>
      </c>
      <c r="C27" s="19"/>
      <c r="D27" s="19"/>
      <c r="E27" s="20" t="s">
        <v>45</v>
      </c>
      <c r="F27" s="20" t="s">
        <v>45</v>
      </c>
      <c r="G27" s="20">
        <v>7976.74</v>
      </c>
      <c r="H27" s="20">
        <f>G27/100*25*0.91*0.2*0.4*0.8*0.2</f>
        <v>23.22826688</v>
      </c>
      <c r="I27" s="20">
        <f>G27/100*25*0.91*0.2*0.4*0.08*0.2</f>
        <v>2.322826688</v>
      </c>
      <c r="J27" s="20">
        <f>G27/100*25*0.91*0.2*0.4*0.08*0.2</f>
        <v>2.322826688</v>
      </c>
      <c r="K27" s="20"/>
      <c r="L27" s="20"/>
      <c r="M27" s="21">
        <f>G27/100*25*0.91*0.2*0.29*0.8*0.2</f>
        <v>16.840493488</v>
      </c>
      <c r="N27" s="21">
        <f>G27/100*25*0.91*0.2*0.29*0.08*0.2</f>
        <v>1.6840493488</v>
      </c>
      <c r="O27" s="21">
        <f>G27/100*25*0.91*0.2*0.29*0.08*0.2</f>
        <v>1.6840493488</v>
      </c>
      <c r="P27" s="21">
        <f>G27/100*25*0.91*0.2*0.14*0.8*0.2</f>
        <v>8.129893408</v>
      </c>
      <c r="Q27" s="21">
        <f>G27/100*25*0.91*0.2*0.14*0.08*0.2</f>
        <v>0.8129893408</v>
      </c>
      <c r="R27" s="21">
        <f>G27/100*25*0.91*0.2*0.14*0.08*0.2</f>
        <v>0.8129893408</v>
      </c>
      <c r="S27" s="21">
        <f>G27/100*25*0.91*0.2*0.145*0.8*0.2</f>
        <v>8.420246744</v>
      </c>
      <c r="T27" s="20">
        <f t="shared" si="0"/>
        <v>66.2586312752</v>
      </c>
      <c r="U27" s="44"/>
    </row>
    <row r="28" ht="22.5" customHeight="1" spans="2:21">
      <c r="B28" s="18"/>
      <c r="C28" s="19"/>
      <c r="D28" s="19"/>
      <c r="E28" s="20"/>
      <c r="F28" s="20" t="s">
        <v>46</v>
      </c>
      <c r="G28" s="20">
        <v>1999.98</v>
      </c>
      <c r="H28" s="20">
        <f>G28/100*30*0.91*0.2*0.4*0.8*0.2</f>
        <v>6.988730112</v>
      </c>
      <c r="I28" s="20">
        <f>G28/100*30*0.91*0.2*0.4*0.08*0.2</f>
        <v>0.6988730112</v>
      </c>
      <c r="J28" s="20">
        <f>G28/100*30*0.91*0.2*0.4*0.08*0.2</f>
        <v>0.6988730112</v>
      </c>
      <c r="K28" s="20"/>
      <c r="L28" s="20"/>
      <c r="M28" s="21">
        <f>G28/100*30*0.91*0.2*0.4*0.8*0.2</f>
        <v>6.988730112</v>
      </c>
      <c r="N28" s="21">
        <f>G28/100*30*0.91*0.2*0.4*0.08*0.2</f>
        <v>0.6988730112</v>
      </c>
      <c r="O28" s="21">
        <f>G28/100*30*0.91*0.2*0.4*0.08*0.2</f>
        <v>0.6988730112</v>
      </c>
      <c r="P28" s="21">
        <f>G28/100*30*0.91*0.2*0.14*0.8*0.2</f>
        <v>2.4460555392</v>
      </c>
      <c r="Q28" s="21">
        <f>G28/100*30*0.91*0.2*0.14*0.08*0.2</f>
        <v>0.24460555392</v>
      </c>
      <c r="R28" s="21">
        <f>G28/100*30*0.91*0.2*0.14*0.08*0.2</f>
        <v>0.24460555392</v>
      </c>
      <c r="S28" s="21">
        <f>G28/100*30*0.91*0.2*0.145*0.8*0.2</f>
        <v>2.5334146656</v>
      </c>
      <c r="T28" s="20">
        <f t="shared" si="0"/>
        <v>22.24163358144</v>
      </c>
      <c r="U28" s="44"/>
    </row>
    <row r="29" ht="22.5" customHeight="1" spans="2:21">
      <c r="B29" s="18">
        <v>75</v>
      </c>
      <c r="C29" s="19"/>
      <c r="D29" s="19"/>
      <c r="E29" s="22" t="s">
        <v>47</v>
      </c>
      <c r="F29" s="22"/>
      <c r="G29" s="22"/>
      <c r="H29" s="23"/>
      <c r="I29" s="23"/>
      <c r="J29" s="23"/>
      <c r="K29" s="34"/>
      <c r="L29" s="35"/>
      <c r="M29" s="36"/>
      <c r="N29" s="36"/>
      <c r="O29" s="36"/>
      <c r="P29" s="36"/>
      <c r="Q29" s="36"/>
      <c r="R29" s="36"/>
      <c r="S29" s="36"/>
      <c r="T29" s="20">
        <f t="shared" si="0"/>
        <v>0</v>
      </c>
      <c r="U29" s="45"/>
    </row>
    <row r="30" ht="22.5" customHeight="1" spans="2:21">
      <c r="B30" s="18">
        <v>76</v>
      </c>
      <c r="C30" s="19"/>
      <c r="D30" s="19"/>
      <c r="E30" s="20" t="s">
        <v>48</v>
      </c>
      <c r="F30" s="20"/>
      <c r="G30" s="20"/>
      <c r="H30" s="24"/>
      <c r="I30" s="24"/>
      <c r="J30" s="24"/>
      <c r="K30" s="37"/>
      <c r="L30" s="20"/>
      <c r="M30" s="38"/>
      <c r="N30" s="38"/>
      <c r="O30" s="38"/>
      <c r="P30" s="38"/>
      <c r="Q30" s="38"/>
      <c r="R30" s="38"/>
      <c r="S30" s="38"/>
      <c r="T30" s="20">
        <f t="shared" si="0"/>
        <v>0</v>
      </c>
      <c r="U30" s="46"/>
    </row>
    <row r="31" ht="22.5" customHeight="1" spans="2:21">
      <c r="B31" s="18">
        <v>77</v>
      </c>
      <c r="C31" s="22"/>
      <c r="D31" s="22"/>
      <c r="E31" s="21" t="s">
        <v>49</v>
      </c>
      <c r="F31" s="20"/>
      <c r="G31" s="22"/>
      <c r="H31" s="22"/>
      <c r="I31" s="22"/>
      <c r="J31" s="22">
        <f>SUM(H6:L30)*0.02</f>
        <v>1.87735593160704</v>
      </c>
      <c r="K31" s="20"/>
      <c r="L31" s="20"/>
      <c r="M31" s="22">
        <f>SUM(M6:O30)*0.02</f>
        <v>1.2573358243031</v>
      </c>
      <c r="N31" s="20"/>
      <c r="O31" s="20"/>
      <c r="P31" s="20"/>
      <c r="Q31" s="20"/>
      <c r="R31" s="20"/>
      <c r="S31" s="20"/>
      <c r="T31" s="20">
        <f t="shared" si="0"/>
        <v>3.13469175591015</v>
      </c>
      <c r="U31" s="46"/>
    </row>
    <row r="32" ht="22.5" customHeight="1" spans="2:21">
      <c r="B32" s="18">
        <v>78</v>
      </c>
      <c r="C32" s="20"/>
      <c r="D32" s="20" t="s">
        <v>50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>
        <f t="shared" si="0"/>
        <v>0</v>
      </c>
      <c r="U32" s="46"/>
    </row>
    <row r="33" ht="22.5" customHeight="1" spans="2:21">
      <c r="B33" s="18">
        <v>79</v>
      </c>
      <c r="C33" s="20"/>
      <c r="D33" s="20" t="s">
        <v>51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>
        <f t="shared" si="0"/>
        <v>0</v>
      </c>
      <c r="U33" s="46"/>
    </row>
    <row r="34" ht="22.5" customHeight="1" spans="2:21">
      <c r="B34" s="18">
        <v>80</v>
      </c>
      <c r="C34" s="20"/>
      <c r="D34" s="20" t="s">
        <v>52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>
        <f t="shared" si="0"/>
        <v>0</v>
      </c>
      <c r="U34" s="46"/>
    </row>
    <row r="35" ht="22.5" customHeight="1" spans="2:21">
      <c r="B35" s="18">
        <v>81</v>
      </c>
      <c r="C35" s="20"/>
      <c r="D35" s="20" t="s">
        <v>53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>
        <f t="shared" si="0"/>
        <v>0</v>
      </c>
      <c r="U35" s="46"/>
    </row>
    <row r="36" ht="22.5" customHeight="1" spans="2:21">
      <c r="B36" s="18">
        <v>82</v>
      </c>
      <c r="C36" s="20"/>
      <c r="D36" s="20" t="s">
        <v>54</v>
      </c>
      <c r="E36" s="20"/>
      <c r="F36" s="20"/>
      <c r="G36" s="20"/>
      <c r="H36" s="20"/>
      <c r="I36" s="20"/>
      <c r="J36" s="20">
        <f>SUM(H6:S31)*0.12</f>
        <v>26.9064154782466</v>
      </c>
      <c r="K36" s="20"/>
      <c r="L36" s="20"/>
      <c r="M36" s="20"/>
      <c r="N36" s="20"/>
      <c r="O36" s="20"/>
      <c r="P36" s="20"/>
      <c r="Q36" s="20"/>
      <c r="R36" s="20"/>
      <c r="S36" s="20"/>
      <c r="T36" s="20">
        <f t="shared" si="0"/>
        <v>26.9064154782466</v>
      </c>
      <c r="U36" s="46"/>
    </row>
    <row r="37" ht="22.5" customHeight="1" spans="2:21">
      <c r="B37" s="25" t="s">
        <v>55</v>
      </c>
      <c r="C37" s="26"/>
      <c r="D37" s="26"/>
      <c r="E37" s="26"/>
      <c r="F37" s="26"/>
      <c r="G37" s="26"/>
      <c r="H37" s="26">
        <f>SUM(H6:H36)</f>
        <v>42.769657373696</v>
      </c>
      <c r="I37" s="26">
        <f t="shared" ref="I37:T37" si="8">SUM(I6:I36)</f>
        <v>29.26410350336</v>
      </c>
      <c r="J37" s="26">
        <f t="shared" si="8"/>
        <v>40.8054433883496</v>
      </c>
      <c r="K37" s="26">
        <f t="shared" si="8"/>
        <v>9.5672898048</v>
      </c>
      <c r="L37" s="26">
        <f t="shared" si="8"/>
        <v>0.24507392</v>
      </c>
      <c r="M37" s="26">
        <f t="shared" si="8"/>
        <v>34.3875134482647</v>
      </c>
      <c r="N37" s="26">
        <f t="shared" si="8"/>
        <v>5.2388992679296</v>
      </c>
      <c r="O37" s="26">
        <f t="shared" si="8"/>
        <v>24.497714323264</v>
      </c>
      <c r="P37" s="26">
        <f t="shared" si="8"/>
        <v>17.1409041127936</v>
      </c>
      <c r="Q37" s="26">
        <f t="shared" si="8"/>
        <v>15.363690391936</v>
      </c>
      <c r="R37" s="26">
        <f t="shared" si="8"/>
        <v>2.9549631367936</v>
      </c>
      <c r="S37" s="26">
        <f t="shared" si="8"/>
        <v>28.891291792448</v>
      </c>
      <c r="T37" s="26">
        <f t="shared" si="8"/>
        <v>251.126544463635</v>
      </c>
      <c r="U37" s="46"/>
    </row>
    <row r="38" ht="22.5" customHeight="1" spans="2:21">
      <c r="B38" s="18" t="s">
        <v>56</v>
      </c>
      <c r="C38" s="20"/>
      <c r="D38" s="20">
        <f>SUM(H6:L31)</f>
        <v>95.7451525119591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47"/>
    </row>
    <row r="39" ht="22.5" customHeight="1" spans="2:21">
      <c r="B39" s="18" t="s">
        <v>57</v>
      </c>
      <c r="C39" s="20"/>
      <c r="D39" s="20">
        <f>SUM(M6:O31)</f>
        <v>64.1241270394583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47"/>
    </row>
    <row r="40" ht="22.5" customHeight="1" spans="2:21">
      <c r="B40" s="18" t="s">
        <v>58</v>
      </c>
      <c r="C40" s="20"/>
      <c r="D40" s="20">
        <f>SUM(P6:R31)</f>
        <v>35.4595576415232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47"/>
    </row>
    <row r="41" ht="22.5" customHeight="1" spans="2:21">
      <c r="B41" s="18" t="s">
        <v>59</v>
      </c>
      <c r="C41" s="20"/>
      <c r="D41" s="20">
        <f>SUM(S6:S30)</f>
        <v>28.891291792448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47"/>
    </row>
    <row r="42" ht="22.5" customHeight="1" spans="2:21">
      <c r="B42" s="27" t="s">
        <v>60</v>
      </c>
      <c r="C42" s="28"/>
      <c r="D42" s="28">
        <f>SUM(H6:S31)</f>
        <v>224.220128985388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48"/>
    </row>
    <row r="43" ht="15" customHeight="1" spans="2:21">
      <c r="B43" s="29"/>
      <c r="C43" s="29"/>
      <c r="D43" s="30"/>
      <c r="E43" s="30"/>
      <c r="F43" s="30"/>
      <c r="G43" s="30"/>
      <c r="H43" s="30"/>
      <c r="I43" s="3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</sheetData>
  <mergeCells count="42">
    <mergeCell ref="B2:U2"/>
    <mergeCell ref="H3:S3"/>
    <mergeCell ref="H4:L4"/>
    <mergeCell ref="M4:O4"/>
    <mergeCell ref="P4:R4"/>
    <mergeCell ref="B37:C37"/>
    <mergeCell ref="B38:C38"/>
    <mergeCell ref="B39:C39"/>
    <mergeCell ref="B40:C40"/>
    <mergeCell ref="B41:C41"/>
    <mergeCell ref="B42:C42"/>
    <mergeCell ref="B43:C43"/>
    <mergeCell ref="B3:B5"/>
    <mergeCell ref="C3:C5"/>
    <mergeCell ref="C6:C31"/>
    <mergeCell ref="D3:D5"/>
    <mergeCell ref="D6:D31"/>
    <mergeCell ref="E3:E5"/>
    <mergeCell ref="E6:E7"/>
    <mergeCell ref="E8:E10"/>
    <mergeCell ref="E11:E13"/>
    <mergeCell ref="E14:E15"/>
    <mergeCell ref="E16:E17"/>
    <mergeCell ref="E18:E19"/>
    <mergeCell ref="E20:E22"/>
    <mergeCell ref="E23:E24"/>
    <mergeCell ref="E25:E26"/>
    <mergeCell ref="E27:E28"/>
    <mergeCell ref="F3:F5"/>
    <mergeCell ref="G3:G5"/>
    <mergeCell ref="T3:T5"/>
    <mergeCell ref="U3:U5"/>
    <mergeCell ref="U6:U7"/>
    <mergeCell ref="U8:U10"/>
    <mergeCell ref="U11:U13"/>
    <mergeCell ref="U14:U15"/>
    <mergeCell ref="U16:U17"/>
    <mergeCell ref="U18:U19"/>
    <mergeCell ref="U20:U22"/>
    <mergeCell ref="U23:U24"/>
    <mergeCell ref="U25:U26"/>
    <mergeCell ref="U27:U2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U20"/>
  <sheetViews>
    <sheetView workbookViewId="0">
      <selection activeCell="M27" sqref="M27"/>
    </sheetView>
  </sheetViews>
  <sheetFormatPr defaultColWidth="9" defaultRowHeight="13.5"/>
  <sheetData>
    <row r="16" ht="23.25" customHeight="1" spans="2:21">
      <c r="B16" s="1" t="s">
        <v>63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8"/>
      <c r="T16" s="8"/>
      <c r="U16" s="8"/>
    </row>
    <row r="17" ht="15" spans="2:18">
      <c r="B17" s="2" t="s">
        <v>1</v>
      </c>
      <c r="C17" s="2" t="s">
        <v>2</v>
      </c>
      <c r="D17" s="2" t="s">
        <v>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7</v>
      </c>
      <c r="R17" s="2" t="s">
        <v>8</v>
      </c>
    </row>
    <row r="18" ht="15" spans="2:18">
      <c r="B18" s="2"/>
      <c r="C18" s="2"/>
      <c r="D18" s="2"/>
      <c r="E18" s="2" t="s">
        <v>9</v>
      </c>
      <c r="F18" s="2"/>
      <c r="G18" s="2"/>
      <c r="H18" s="2"/>
      <c r="I18" s="2"/>
      <c r="J18" s="2" t="s">
        <v>10</v>
      </c>
      <c r="K18" s="2"/>
      <c r="L18" s="2"/>
      <c r="M18" s="2" t="s">
        <v>11</v>
      </c>
      <c r="N18" s="2"/>
      <c r="O18" s="2"/>
      <c r="P18" s="2" t="s">
        <v>12</v>
      </c>
      <c r="Q18" s="2"/>
      <c r="R18" s="2"/>
    </row>
    <row r="19" ht="15" spans="2:18">
      <c r="B19" s="2"/>
      <c r="C19" s="2"/>
      <c r="D19" s="2"/>
      <c r="E19" s="2" t="s">
        <v>13</v>
      </c>
      <c r="F19" s="2" t="s">
        <v>14</v>
      </c>
      <c r="G19" s="2" t="s">
        <v>15</v>
      </c>
      <c r="H19" s="2" t="s">
        <v>16</v>
      </c>
      <c r="I19" s="2" t="s">
        <v>17</v>
      </c>
      <c r="J19" s="2" t="s">
        <v>18</v>
      </c>
      <c r="K19" s="7" t="s">
        <v>19</v>
      </c>
      <c r="L19" s="7" t="s">
        <v>20</v>
      </c>
      <c r="M19" s="2" t="s">
        <v>21</v>
      </c>
      <c r="N19" s="7" t="s">
        <v>22</v>
      </c>
      <c r="O19" s="7" t="s">
        <v>23</v>
      </c>
      <c r="P19" s="2" t="s">
        <v>24</v>
      </c>
      <c r="Q19" s="2"/>
      <c r="R19" s="2"/>
    </row>
    <row r="20" spans="1:18">
      <c r="A20" s="3"/>
      <c r="B20" s="4" t="s">
        <v>64</v>
      </c>
      <c r="C20" s="5"/>
      <c r="D20" s="5"/>
      <c r="E20" s="6">
        <f>'保租房建施工图工日计算表 (改后) (2)'!H37+'保租房建初步设计工日计算表 (改后)'!H37</f>
        <v>631.489164014785</v>
      </c>
      <c r="F20" s="6">
        <f>'保租房建施工图工日计算表 (改后) (2)'!I37+'保租房建初步设计工日计算表 (改后)'!I37</f>
        <v>392.416247491904</v>
      </c>
      <c r="G20" s="6">
        <f>'保租房建施工图工日计算表 (改后) (2)'!J37+'保租房建初步设计工日计算表 (改后)'!J37</f>
        <v>610.400232491749</v>
      </c>
      <c r="H20" s="6">
        <f>'保租房建施工图工日计算表 (改后) (2)'!K37+'保租房建初步设计工日计算表 (改后)'!K37</f>
        <v>129.39759460992</v>
      </c>
      <c r="I20" s="6">
        <f>'保租房建施工图工日计算表 (改后) (2)'!L37+'保租房建初步设计工日计算表 (改后)'!L37</f>
        <v>3.314624768</v>
      </c>
      <c r="J20" s="6">
        <f>'保租房建施工图工日计算表 (改后) (2)'!M37+'保租房建初步设计工日计算表 (改后)'!M37</f>
        <v>876.565608290307</v>
      </c>
      <c r="K20" s="6">
        <f>'保租房建施工图工日计算表 (改后) (2)'!N37+'保租房建初步设计工日计算表 (改后)'!N37</f>
        <v>126.521131974566</v>
      </c>
      <c r="L20" s="6">
        <f>'保租房建施工图工日计算表 (改后) (2)'!O37+'保租房建初步设计工日计算表 (改后)'!O37</f>
        <v>437.569004728512</v>
      </c>
      <c r="M20" s="6">
        <f>'保租房建施工图工日计算表 (改后) (2)'!P37+'保租房建初步设计工日计算表 (改后)'!P37</f>
        <v>279.910050587133</v>
      </c>
      <c r="N20" s="6">
        <f>'保租房建施工图工日计算表 (改后) (2)'!Q37+'保租房建初步设计工日计算表 (改后)'!Q37</f>
        <v>191.927694364096</v>
      </c>
      <c r="O20" s="6">
        <f>'保租房建施工图工日计算表 (改后) (2)'!R37+'保租房建初步设计工日计算表 (改后)'!R37</f>
        <v>79.1005131634816</v>
      </c>
      <c r="P20" s="6">
        <f>'保租房建施工图工日计算表 (改后) (2)'!S37+'保租房建初步设计工日计算表 (改后)'!S37</f>
        <v>472.876419692734</v>
      </c>
      <c r="Q20" s="6">
        <f>'保租房建施工图工日计算表 (改后) (2)'!T37+'保租房建初步设计工日计算表 (改后)'!T37</f>
        <v>4231.48828617719</v>
      </c>
      <c r="R20" s="9"/>
    </row>
  </sheetData>
  <mergeCells count="11">
    <mergeCell ref="B16:R16"/>
    <mergeCell ref="E17:P17"/>
    <mergeCell ref="E18:I18"/>
    <mergeCell ref="J18:L18"/>
    <mergeCell ref="M18:O18"/>
    <mergeCell ref="B20:D20"/>
    <mergeCell ref="B17:B19"/>
    <mergeCell ref="C17:C19"/>
    <mergeCell ref="D17:D19"/>
    <mergeCell ref="Q17:Q19"/>
    <mergeCell ref="R17:R1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保租房建施工图工日计算表 (改后) (2)</vt:lpstr>
      <vt:lpstr>保租房建初步设计工日计算表 (改后)</vt:lpstr>
      <vt:lpstr>保租房两阶段合计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Administrator</cp:lastModifiedBy>
  <cp:revision>1</cp:revision>
  <dcterms:created xsi:type="dcterms:W3CDTF">2014-04-18T07:33:00Z</dcterms:created>
  <cp:lastPrinted>2021-01-14T04:12:00Z</cp:lastPrinted>
  <dcterms:modified xsi:type="dcterms:W3CDTF">2025-05-27T01:10:12Z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1A59AC21FEEB4F74BB43C9129AF0D543_13</vt:lpwstr>
  </property>
</Properties>
</file>