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9" activeTab="12"/>
  </bookViews>
  <sheets>
    <sheet name="新兴高速房建工程初设" sheetId="1" r:id="rId1"/>
    <sheet name="丰昌高速房建工程" sheetId="2" r:id="rId2"/>
    <sheet name="油墩街收费改造" sheetId="3" r:id="rId3"/>
    <sheet name="瑞洪收费站改扩建" sheetId="4" r:id="rId4"/>
    <sheet name="抚州管理中心2024年收费站大棚维修工程" sheetId="5" r:id="rId5"/>
    <sheet name="2024年新建养护应急仓库专项工程" sheetId="6" r:id="rId6"/>
    <sheet name="南昌东管理中心南新养护站应急仓库建筑工程" sheetId="7" r:id="rId7"/>
    <sheet name="昌北机场新增综合服务站" sheetId="8" r:id="rId8"/>
    <sheet name="修水收费所房屋维修改造工程" sheetId="9" r:id="rId9"/>
    <sheet name="南昌南房建地基下沉改造工程" sheetId="10" r:id="rId10"/>
    <sheet name="南昌西管理中心上富站路政综合楼加固改造工程" sheetId="11" r:id="rId11"/>
    <sheet name="（暂不计）麻丘管理中心综合楼改造工程" sheetId="12" r:id="rId12"/>
    <sheet name="九江管理中心提质升级" sheetId="13" r:id="rId13"/>
    <sheet name="新兴、丰昌投标" sheetId="14" r:id="rId14"/>
  </sheets>
  <calcPr calcId="144525"/>
</workbook>
</file>

<file path=xl/sharedStrings.xml><?xml version="1.0" encoding="utf-8"?>
<sst xmlns="http://schemas.openxmlformats.org/spreadsheetml/2006/main" count="624" uniqueCount="153">
  <si>
    <t>新兴高速房建工程初设工日计算表</t>
  </si>
  <si>
    <t>序号</t>
  </si>
  <si>
    <t>设计阶段</t>
  </si>
  <si>
    <t>子项名称</t>
  </si>
  <si>
    <t>单体名称</t>
  </si>
  <si>
    <t>建筑面积</t>
  </si>
  <si>
    <t>总工日</t>
  </si>
  <si>
    <t>建筑专业</t>
  </si>
  <si>
    <t>给排水专业</t>
  </si>
  <si>
    <t>电气专业</t>
  </si>
  <si>
    <t>肖超群</t>
  </si>
  <si>
    <t>熊高亮</t>
  </si>
  <si>
    <t>周予进</t>
  </si>
  <si>
    <t>魏强</t>
  </si>
  <si>
    <t>质量分</t>
  </si>
  <si>
    <t>朱凤琪</t>
  </si>
  <si>
    <t>温春辉</t>
  </si>
  <si>
    <t>梁翾翾</t>
  </si>
  <si>
    <t>周金民</t>
  </si>
  <si>
    <t>初设</t>
  </si>
  <si>
    <t>溧江收费站</t>
  </si>
  <si>
    <t>总图</t>
  </si>
  <si>
    <t>新干东收费站</t>
  </si>
  <si>
    <t>峡江东收费站</t>
  </si>
  <si>
    <t>八都收费站</t>
  </si>
  <si>
    <t>永丰西收费站</t>
  </si>
  <si>
    <t>冠山收费站</t>
  </si>
  <si>
    <t>沙溪收费站</t>
  </si>
  <si>
    <t>东固西收费站</t>
  </si>
  <si>
    <t>枫边收费站</t>
  </si>
  <si>
    <t>新干东服务区</t>
  </si>
  <si>
    <t>永丰西服务区</t>
  </si>
  <si>
    <t>吉水南服务区</t>
  </si>
  <si>
    <t>枫边服务区</t>
  </si>
  <si>
    <t>综合服务站</t>
  </si>
  <si>
    <t>单体</t>
  </si>
  <si>
    <t>收费站宿舍楼一</t>
  </si>
  <si>
    <t>收费站宿舍楼二</t>
  </si>
  <si>
    <t>收费站宿舍楼三</t>
  </si>
  <si>
    <t>食堂</t>
  </si>
  <si>
    <t>应急柴油发电机房</t>
  </si>
  <si>
    <t>管理所办公楼</t>
  </si>
  <si>
    <t>管理所宿舍楼</t>
  </si>
  <si>
    <t>管理所设备房</t>
  </si>
  <si>
    <t>遂道管理所综合楼</t>
  </si>
  <si>
    <t>遂道管理所门卫</t>
  </si>
  <si>
    <t>养护工区综合楼</t>
  </si>
  <si>
    <t>养护工区设备库</t>
  </si>
  <si>
    <t>路政中队综合楼</t>
  </si>
  <si>
    <t>交警中队综合楼</t>
  </si>
  <si>
    <t>双边服务区设备房</t>
  </si>
  <si>
    <t>单边服务区设备房</t>
  </si>
  <si>
    <t>服务区维修车间</t>
  </si>
  <si>
    <t>双边服务区两室</t>
  </si>
  <si>
    <t>单边服务区两室</t>
  </si>
  <si>
    <t>双边服务区综合楼</t>
  </si>
  <si>
    <t>双边服务区宿舍楼</t>
  </si>
  <si>
    <t>单边服务区综合楼</t>
  </si>
  <si>
    <t>单边服务区宿舍楼</t>
  </si>
  <si>
    <t>项目负责人</t>
  </si>
  <si>
    <t>合计</t>
  </si>
  <si>
    <t>项目总工日：</t>
  </si>
  <si>
    <t>张瑞琪</t>
  </si>
  <si>
    <t>叶于钧</t>
  </si>
  <si>
    <t>刘国印</t>
  </si>
  <si>
    <t>太和收费站</t>
  </si>
  <si>
    <t>南丰北收费站</t>
  </si>
  <si>
    <t>宜黄东收费站</t>
  </si>
  <si>
    <t>崇仁收费站</t>
  </si>
  <si>
    <t>抚州西收费站</t>
  </si>
  <si>
    <t>淘沙收费站</t>
  </si>
  <si>
    <t>白土收费站</t>
  </si>
  <si>
    <t>黄马收费站</t>
  </si>
  <si>
    <t>向塘收费站</t>
  </si>
  <si>
    <t>八一主线收费站</t>
  </si>
  <si>
    <t>南丰北服务区</t>
  </si>
  <si>
    <t>宜黄东服务区</t>
  </si>
  <si>
    <t>崇仁服务区</t>
  </si>
  <si>
    <t>丰城孺子服务区</t>
  </si>
  <si>
    <t>油墩街收费站改造工程初设工日计算表</t>
  </si>
  <si>
    <t>备注</t>
  </si>
  <si>
    <t>结构专业</t>
  </si>
  <si>
    <t>杨捷</t>
  </si>
  <si>
    <t>沙子韬</t>
  </si>
  <si>
    <t>郭勤</t>
  </si>
  <si>
    <t>谢近轲</t>
  </si>
  <si>
    <t>左淦龙</t>
  </si>
  <si>
    <t>施工图方案</t>
  </si>
  <si>
    <t>施工图</t>
  </si>
  <si>
    <t>建筑专业负责人</t>
  </si>
  <si>
    <t>结构专业负责人</t>
  </si>
  <si>
    <t>给排水专业负责人</t>
  </si>
  <si>
    <t>电气专业负责人</t>
  </si>
  <si>
    <t>瑞洪收费站改扩建工程初设工日计算表</t>
  </si>
  <si>
    <t>叶于均</t>
  </si>
  <si>
    <t>刘扬</t>
  </si>
  <si>
    <t>便民中心</t>
  </si>
  <si>
    <t>收费大棚</t>
  </si>
  <si>
    <t>改扩建项目乘以1.3</t>
  </si>
  <si>
    <t>抚州管理中心2024年收费站大棚维修工程初设工日计算表</t>
  </si>
  <si>
    <t>建筑、结构专业</t>
  </si>
  <si>
    <t>白舍收费站</t>
  </si>
  <si>
    <t>高田收费站</t>
  </si>
  <si>
    <t>南丰收费站</t>
  </si>
  <si>
    <t>金溪收费站</t>
  </si>
  <si>
    <t>赤水收费站</t>
  </si>
  <si>
    <t>南城东收费站</t>
  </si>
  <si>
    <t>建筑、结构专业负责人</t>
  </si>
  <si>
    <t>2024年新建养护应急仓库专项工程初设工日计算表</t>
  </si>
  <si>
    <t>设备库</t>
  </si>
  <si>
    <t>广昌养护站</t>
  </si>
  <si>
    <t>黎川养护站</t>
  </si>
  <si>
    <t>洪门养护站</t>
  </si>
  <si>
    <t>南昌东管理中心南新养护站应急仓库建筑工程初设工日计算表</t>
  </si>
  <si>
    <t>南亲养护站</t>
  </si>
  <si>
    <t>昌北机场新增综合服务站工程初设工日计算表</t>
  </si>
  <si>
    <t>昌北机场收费站</t>
  </si>
  <si>
    <t>修水收费所房屋维修改造工程初设工日计算表</t>
  </si>
  <si>
    <t>宿舍楼改造</t>
  </si>
  <si>
    <t>修水收费所</t>
  </si>
  <si>
    <t>考虑改扩建1.3系数</t>
  </si>
  <si>
    <t>南昌南房建地基下沉改造工程初设工日计算表</t>
  </si>
  <si>
    <t>弋阳收费站</t>
  </si>
  <si>
    <t>食堂、发电房、宿舍楼</t>
  </si>
  <si>
    <t>东乡西收费站</t>
  </si>
  <si>
    <t>发电机房</t>
  </si>
  <si>
    <t>罗湖收费站</t>
  </si>
  <si>
    <t>杜市站收费站</t>
  </si>
  <si>
    <t>宿舍楼</t>
  </si>
  <si>
    <t>桥东收费站</t>
  </si>
  <si>
    <t>办公楼、宿舍楼</t>
  </si>
  <si>
    <t>新干北收费站</t>
  </si>
  <si>
    <t>南昌西管理中心上富站路政综合楼加固改造工程初设工日计算表</t>
  </si>
  <si>
    <t>政综合楼加固改造</t>
  </si>
  <si>
    <t>上富收费站</t>
  </si>
  <si>
    <t>麻丘管理中心综合楼改造工程初设工日计算表</t>
  </si>
  <si>
    <t>方案</t>
  </si>
  <si>
    <t>麻丘管理中心</t>
  </si>
  <si>
    <t>综合楼</t>
  </si>
  <si>
    <t>九江管理中心提质升级工程初设工日计算表</t>
  </si>
  <si>
    <t>九江管理中心</t>
  </si>
  <si>
    <t>宿舍楼一</t>
  </si>
  <si>
    <t>宿舍楼二</t>
  </si>
  <si>
    <t>通用图单体</t>
  </si>
  <si>
    <t>序
号</t>
  </si>
  <si>
    <t>项目名称</t>
  </si>
  <si>
    <t>涉及人员</t>
  </si>
  <si>
    <t>现金结算</t>
  </si>
  <si>
    <t>新兴初设</t>
  </si>
  <si>
    <t>主标：魏强 
 主陪：张瑞琪、沙子韬、刘国印
陪标：熊高亮、叶于钧、胡志雄</t>
  </si>
  <si>
    <t>主标2000元，主陪1500元,陪标1000元</t>
  </si>
  <si>
    <t>丰昌初设</t>
  </si>
  <si>
    <t>主标：魏强 
 主陪：张瑞琪、沙子韬、刘国印
陪标：叶于钧、杨捷、邓磊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</si>
</sst>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;[Red]0.00"/>
    <numFmt numFmtId="178" formatCode="0.0_ "/>
  </numFmts>
  <fonts count="28">
    <font>
      <sz val="11"/>
      <color indexed="8"/>
      <name val="宋体"/>
      <charset val="134"/>
    </font>
    <font>
      <sz val="10"/>
      <name val="微软雅黑"/>
      <charset val="134"/>
    </font>
    <font>
      <sz val="11"/>
      <name val="等线"/>
      <charset val="134"/>
    </font>
    <font>
      <sz val="10"/>
      <color rgb="FF000000"/>
      <name val="Microsoft YaHei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5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53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4" applyNumberFormat="0" applyFill="0" applyAlignment="0" applyProtection="0">
      <alignment vertical="center"/>
    </xf>
    <xf numFmtId="0" fontId="20" fillId="0" borderId="54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55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56" applyNumberFormat="0" applyAlignment="0" applyProtection="0">
      <alignment vertical="center"/>
    </xf>
    <xf numFmtId="0" fontId="22" fillId="11" borderId="52" applyNumberFormat="0" applyAlignment="0" applyProtection="0">
      <alignment vertical="center"/>
    </xf>
    <xf numFmtId="0" fontId="23" fillId="12" borderId="57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0" borderId="59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37">
    <xf numFmtId="0" fontId="0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>
      <alignment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177" fontId="5" fillId="0" borderId="16" xfId="0" applyNumberFormat="1" applyFont="1" applyFill="1" applyBorder="1" applyAlignment="1">
      <alignment horizontal="center" vertical="center"/>
    </xf>
    <xf numFmtId="177" fontId="5" fillId="0" borderId="16" xfId="0" applyNumberFormat="1" applyFont="1" applyFill="1" applyBorder="1" applyAlignment="1">
      <alignment horizontal="left" vertical="center"/>
    </xf>
    <xf numFmtId="177" fontId="5" fillId="0" borderId="17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77" fontId="5" fillId="0" borderId="23" xfId="0" applyNumberFormat="1" applyFont="1" applyFill="1" applyBorder="1" applyAlignment="1">
      <alignment horizontal="center" vertical="center"/>
    </xf>
    <xf numFmtId="177" fontId="5" fillId="0" borderId="21" xfId="0" applyNumberFormat="1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7" fontId="5" fillId="0" borderId="24" xfId="0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/>
    </xf>
    <xf numFmtId="176" fontId="5" fillId="0" borderId="29" xfId="0" applyNumberFormat="1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0" fontId="0" fillId="0" borderId="32" xfId="0" applyFont="1" applyFill="1" applyBorder="1">
      <alignment vertical="center"/>
    </xf>
    <xf numFmtId="0" fontId="5" fillId="0" borderId="3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/>
    </xf>
    <xf numFmtId="176" fontId="5" fillId="0" borderId="16" xfId="0" applyNumberFormat="1" applyFont="1" applyFill="1" applyBorder="1" applyAlignment="1">
      <alignment horizontal="center" vertical="center"/>
    </xf>
    <xf numFmtId="177" fontId="5" fillId="0" borderId="13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176" fontId="5" fillId="0" borderId="12" xfId="0" applyNumberFormat="1" applyFont="1" applyFill="1" applyBorder="1" applyAlignment="1">
      <alignment horizontal="center" vertical="center"/>
    </xf>
    <xf numFmtId="177" fontId="5" fillId="0" borderId="12" xfId="0" applyNumberFormat="1" applyFont="1" applyFill="1" applyBorder="1" applyAlignment="1">
      <alignment horizontal="center" vertical="center"/>
    </xf>
    <xf numFmtId="177" fontId="5" fillId="0" borderId="3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vertical="center"/>
    </xf>
    <xf numFmtId="0" fontId="6" fillId="0" borderId="16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4" fillId="0" borderId="14" xfId="0" applyFont="1" applyFill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176" fontId="5" fillId="0" borderId="42" xfId="0" applyNumberFormat="1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5" fillId="0" borderId="18" xfId="0" applyNumberFormat="1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177" fontId="5" fillId="0" borderId="25" xfId="0" applyNumberFormat="1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177" fontId="5" fillId="0" borderId="45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78" fontId="5" fillId="0" borderId="20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6" fontId="5" fillId="0" borderId="47" xfId="0" applyNumberFormat="1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"/>
  <sheetViews>
    <sheetView workbookViewId="0">
      <pane ySplit="4" topLeftCell="A38" activePane="bottomLeft" state="frozen"/>
      <selection/>
      <selection pane="bottomLeft" activeCell="F44" sqref="F44:Q44"/>
    </sheetView>
  </sheetViews>
  <sheetFormatPr defaultColWidth="9" defaultRowHeight="13.5"/>
  <cols>
    <col min="1" max="1" width="7.875" customWidth="1"/>
    <col min="2" max="2" width="9.625" customWidth="1"/>
    <col min="3" max="3" width="18.875" customWidth="1"/>
    <col min="4" max="4" width="15.15" customWidth="1"/>
    <col min="5" max="5" width="15.775" customWidth="1"/>
    <col min="6" max="11" width="9.025" customWidth="1"/>
    <col min="13" max="17" width="10.125" customWidth="1"/>
    <col min="18" max="18" width="10.375" customWidth="1"/>
  </cols>
  <sheetData>
    <row r="1" ht="45" customHeight="1" spans="1:17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ht="45" customHeight="1" spans="1:17">
      <c r="A2" s="132" t="s">
        <v>1</v>
      </c>
      <c r="B2" s="133" t="s">
        <v>2</v>
      </c>
      <c r="C2" s="133" t="s">
        <v>3</v>
      </c>
      <c r="D2" s="134" t="s">
        <v>4</v>
      </c>
      <c r="E2" s="135" t="s">
        <v>5</v>
      </c>
      <c r="F2" s="131"/>
      <c r="G2" s="131"/>
      <c r="H2" s="131"/>
      <c r="I2" s="131"/>
      <c r="J2" s="131"/>
      <c r="K2" s="7"/>
      <c r="L2" s="7"/>
      <c r="M2" s="7"/>
      <c r="N2" s="7"/>
      <c r="O2" s="7"/>
      <c r="P2" s="7"/>
      <c r="Q2" s="136" t="s">
        <v>6</v>
      </c>
    </row>
    <row r="3" ht="45" customHeight="1" spans="1:17">
      <c r="A3" s="13"/>
      <c r="B3" s="9"/>
      <c r="C3" s="9"/>
      <c r="D3" s="10"/>
      <c r="E3" s="11"/>
      <c r="F3" s="14" t="s">
        <v>7</v>
      </c>
      <c r="G3" s="14"/>
      <c r="H3" s="14"/>
      <c r="I3" s="14"/>
      <c r="J3" s="14"/>
      <c r="K3" s="11" t="s">
        <v>8</v>
      </c>
      <c r="L3" s="11"/>
      <c r="M3" s="11"/>
      <c r="N3" s="11"/>
      <c r="O3" s="40" t="s">
        <v>9</v>
      </c>
      <c r="P3" s="14"/>
      <c r="Q3" s="41"/>
    </row>
    <row r="4" ht="45" customHeight="1" spans="1:17">
      <c r="A4" s="13"/>
      <c r="B4" s="121"/>
      <c r="C4" s="121"/>
      <c r="D4" s="10"/>
      <c r="E4" s="11"/>
      <c r="F4" s="122" t="s">
        <v>10</v>
      </c>
      <c r="G4" s="122" t="s">
        <v>11</v>
      </c>
      <c r="H4" s="122" t="s">
        <v>12</v>
      </c>
      <c r="I4" s="122" t="s">
        <v>13</v>
      </c>
      <c r="J4" s="122" t="s">
        <v>14</v>
      </c>
      <c r="K4" s="122" t="s">
        <v>15</v>
      </c>
      <c r="L4" s="122" t="s">
        <v>16</v>
      </c>
      <c r="M4" s="122" t="s">
        <v>17</v>
      </c>
      <c r="N4" s="122" t="s">
        <v>14</v>
      </c>
      <c r="O4" s="122" t="s">
        <v>18</v>
      </c>
      <c r="P4" s="122" t="s">
        <v>14</v>
      </c>
      <c r="Q4" s="41"/>
    </row>
    <row r="5" ht="45" customHeight="1" spans="1:17">
      <c r="A5" s="59">
        <f>1</f>
        <v>1</v>
      </c>
      <c r="B5" s="90" t="s">
        <v>19</v>
      </c>
      <c r="C5" s="91" t="s">
        <v>20</v>
      </c>
      <c r="D5" s="123" t="s">
        <v>21</v>
      </c>
      <c r="E5" s="124">
        <v>2674.68</v>
      </c>
      <c r="F5" s="29">
        <f>E5/100*5*0.15*0.6*0.82</f>
        <v>9.8695692</v>
      </c>
      <c r="G5" s="29"/>
      <c r="H5" s="29">
        <f>E5/100*5*0.15*0.6*0.08</f>
        <v>0.9628848</v>
      </c>
      <c r="I5" s="29">
        <f t="shared" ref="I5:I17" si="0">E5/100*5*0.15*0.6*0.08</f>
        <v>0.9628848</v>
      </c>
      <c r="J5" s="29"/>
      <c r="K5" s="29">
        <f>E5/100*5*0.15*0.27*0.08</f>
        <v>0.43329816</v>
      </c>
      <c r="L5" s="29">
        <f>E5/100*5*0.15*0.27*0.82</f>
        <v>4.44130614</v>
      </c>
      <c r="M5" s="29">
        <f t="shared" ref="M5:M17" si="1">E5/100*5*0.15*0.27*0.08</f>
        <v>0.43329816</v>
      </c>
      <c r="N5" s="29"/>
      <c r="O5" s="29">
        <f t="shared" ref="O5:O17" si="2">E5/100*5*0.15*0.13*0.82</f>
        <v>2.13840666</v>
      </c>
      <c r="P5" s="29"/>
      <c r="Q5" s="120"/>
    </row>
    <row r="6" ht="45" customHeight="1" spans="1:17">
      <c r="A6" s="59">
        <f t="shared" ref="A6:A17" si="3">A5+1</f>
        <v>2</v>
      </c>
      <c r="B6" s="25"/>
      <c r="C6" s="90" t="s">
        <v>22</v>
      </c>
      <c r="D6" s="123" t="s">
        <v>21</v>
      </c>
      <c r="E6" s="124">
        <v>3484.51</v>
      </c>
      <c r="F6" s="29">
        <f>E6/100*5*0.15*0.6*0.82</f>
        <v>12.8578419</v>
      </c>
      <c r="G6" s="29"/>
      <c r="H6" s="29">
        <f>E6/100*5*0.15*0.6*0.08</f>
        <v>1.2544236</v>
      </c>
      <c r="I6" s="29">
        <f t="shared" si="0"/>
        <v>1.2544236</v>
      </c>
      <c r="J6" s="29"/>
      <c r="K6" s="29">
        <f>E6/100*5*0.15*0.27*0.08</f>
        <v>0.56449062</v>
      </c>
      <c r="L6" s="29">
        <f>E6/100*5*0.15*0.27*0.82</f>
        <v>5.786028855</v>
      </c>
      <c r="M6" s="29">
        <f t="shared" si="1"/>
        <v>0.56449062</v>
      </c>
      <c r="N6" s="29"/>
      <c r="O6" s="29">
        <f t="shared" si="2"/>
        <v>2.785865745</v>
      </c>
      <c r="P6" s="29"/>
      <c r="Q6" s="89"/>
    </row>
    <row r="7" ht="45" customHeight="1" spans="1:17">
      <c r="A7" s="59">
        <f t="shared" si="3"/>
        <v>3</v>
      </c>
      <c r="B7" s="25"/>
      <c r="C7" s="91" t="s">
        <v>23</v>
      </c>
      <c r="D7" s="123" t="s">
        <v>21</v>
      </c>
      <c r="E7" s="124">
        <v>2775.15</v>
      </c>
      <c r="F7" s="29">
        <f>E7/100*5*0.15*0.6*0.82</f>
        <v>10.2403035</v>
      </c>
      <c r="G7" s="29"/>
      <c r="H7" s="29">
        <f>E7/100*5*0.15*0.6*0.08</f>
        <v>0.999054</v>
      </c>
      <c r="I7" s="29">
        <f t="shared" si="0"/>
        <v>0.999054</v>
      </c>
      <c r="J7" s="29"/>
      <c r="K7" s="29">
        <f>E7/100*5*0.15*0.27*0.08</f>
        <v>0.4495743</v>
      </c>
      <c r="L7" s="29">
        <f>E7/100*5*0.15*0.27*0.82</f>
        <v>4.608136575</v>
      </c>
      <c r="M7" s="29">
        <f t="shared" si="1"/>
        <v>0.4495743</v>
      </c>
      <c r="N7" s="29"/>
      <c r="O7" s="29">
        <f t="shared" si="2"/>
        <v>2.218732425</v>
      </c>
      <c r="P7" s="29"/>
      <c r="Q7" s="89"/>
    </row>
    <row r="8" ht="45" customHeight="1" spans="1:17">
      <c r="A8" s="59">
        <f t="shared" si="3"/>
        <v>4</v>
      </c>
      <c r="B8" s="25"/>
      <c r="C8" s="91" t="s">
        <v>24</v>
      </c>
      <c r="D8" s="123" t="s">
        <v>21</v>
      </c>
      <c r="E8" s="124">
        <v>1099.27</v>
      </c>
      <c r="F8" s="29">
        <f>E8/100*5*0.15*0.6*0.82</f>
        <v>4.0563063</v>
      </c>
      <c r="G8" s="29"/>
      <c r="H8" s="29">
        <f>E8/100*5*0.15*0.6*0.08</f>
        <v>0.3957372</v>
      </c>
      <c r="I8" s="29">
        <f t="shared" si="0"/>
        <v>0.3957372</v>
      </c>
      <c r="J8" s="125"/>
      <c r="K8" s="29">
        <f>E8/100*5*0.15*0.27*0.08</f>
        <v>0.17808174</v>
      </c>
      <c r="L8" s="29">
        <f>E8/100*5*0.15*0.27*0.82</f>
        <v>1.825337835</v>
      </c>
      <c r="M8" s="29">
        <f t="shared" si="1"/>
        <v>0.17808174</v>
      </c>
      <c r="N8" s="125"/>
      <c r="O8" s="29">
        <f t="shared" si="2"/>
        <v>0.878866365</v>
      </c>
      <c r="P8" s="29"/>
      <c r="Q8" s="89"/>
    </row>
    <row r="9" ht="45" customHeight="1" spans="1:17">
      <c r="A9" s="59">
        <f t="shared" si="3"/>
        <v>5</v>
      </c>
      <c r="B9" s="25"/>
      <c r="C9" s="91" t="s">
        <v>25</v>
      </c>
      <c r="D9" s="123" t="s">
        <v>21</v>
      </c>
      <c r="E9" s="124">
        <v>4781.84</v>
      </c>
      <c r="F9" s="29">
        <f>E9/100*5*0.15*0.6*0.08</f>
        <v>1.7214624</v>
      </c>
      <c r="G9" s="29">
        <f>E9/100*5*0.15*0.6*0.82</f>
        <v>17.6449896</v>
      </c>
      <c r="H9" s="29"/>
      <c r="I9" s="29">
        <f t="shared" si="0"/>
        <v>1.7214624</v>
      </c>
      <c r="J9" s="125"/>
      <c r="K9" s="29">
        <f>E9/100*5*0.15*0.27*0.08</f>
        <v>0.77465808</v>
      </c>
      <c r="L9" s="29">
        <f>E9/100*5*0.15*0.27*0.82</f>
        <v>7.94024532</v>
      </c>
      <c r="M9" s="29">
        <f t="shared" si="1"/>
        <v>0.77465808</v>
      </c>
      <c r="N9" s="125"/>
      <c r="O9" s="29">
        <f t="shared" si="2"/>
        <v>3.82308108</v>
      </c>
      <c r="P9" s="29"/>
      <c r="Q9" s="89"/>
    </row>
    <row r="10" ht="45" customHeight="1" spans="1:17">
      <c r="A10" s="59">
        <f t="shared" si="3"/>
        <v>6</v>
      </c>
      <c r="B10" s="25"/>
      <c r="C10" s="91" t="s">
        <v>26</v>
      </c>
      <c r="D10" s="123" t="s">
        <v>21</v>
      </c>
      <c r="E10" s="124">
        <v>3484.51</v>
      </c>
      <c r="F10" s="29">
        <f>E10/100*5*0.15*0.6*0.08</f>
        <v>1.2544236</v>
      </c>
      <c r="G10" s="125"/>
      <c r="H10" s="29">
        <f>E10/100*5*0.15*0.6*0.82</f>
        <v>12.8578419</v>
      </c>
      <c r="I10" s="29">
        <f t="shared" si="0"/>
        <v>1.2544236</v>
      </c>
      <c r="J10" s="125"/>
      <c r="K10" s="29">
        <f>E10/100*5*0.15*0.27*0.82</f>
        <v>5.786028855</v>
      </c>
      <c r="L10" s="29">
        <f>E10/100*5*0.15*0.27*0.08</f>
        <v>0.56449062</v>
      </c>
      <c r="M10" s="29">
        <f t="shared" si="1"/>
        <v>0.56449062</v>
      </c>
      <c r="N10" s="125"/>
      <c r="O10" s="29">
        <f t="shared" si="2"/>
        <v>2.785865745</v>
      </c>
      <c r="P10" s="29"/>
      <c r="Q10" s="89"/>
    </row>
    <row r="11" ht="45" customHeight="1" spans="1:17">
      <c r="A11" s="59">
        <f t="shared" si="3"/>
        <v>7</v>
      </c>
      <c r="B11" s="25"/>
      <c r="C11" s="91" t="s">
        <v>27</v>
      </c>
      <c r="D11" s="123" t="s">
        <v>21</v>
      </c>
      <c r="E11" s="124">
        <v>1099.27</v>
      </c>
      <c r="F11" s="29">
        <f>E11/100*5*0.15*0.6*0.08</f>
        <v>0.3957372</v>
      </c>
      <c r="G11" s="125"/>
      <c r="H11" s="29">
        <f>E11/100*5*0.15*0.6*0.82</f>
        <v>4.0563063</v>
      </c>
      <c r="I11" s="29">
        <f t="shared" si="0"/>
        <v>0.3957372</v>
      </c>
      <c r="J11" s="125"/>
      <c r="K11" s="29">
        <f>E11/100*5*0.15*0.27*0.82</f>
        <v>1.825337835</v>
      </c>
      <c r="L11" s="29">
        <f>E11/100*5*0.15*0.27*0.08</f>
        <v>0.17808174</v>
      </c>
      <c r="M11" s="29">
        <f t="shared" si="1"/>
        <v>0.17808174</v>
      </c>
      <c r="N11" s="125"/>
      <c r="O11" s="29">
        <f t="shared" si="2"/>
        <v>0.878866365</v>
      </c>
      <c r="P11" s="29"/>
      <c r="Q11" s="89"/>
    </row>
    <row r="12" ht="45" customHeight="1" spans="1:17">
      <c r="A12" s="59">
        <f t="shared" si="3"/>
        <v>8</v>
      </c>
      <c r="B12" s="25"/>
      <c r="C12" s="91" t="s">
        <v>28</v>
      </c>
      <c r="D12" s="123" t="s">
        <v>21</v>
      </c>
      <c r="E12" s="124">
        <v>5903.2</v>
      </c>
      <c r="F12" s="29">
        <f>E12/100*5*0.15*0.6*0.08</f>
        <v>2.125152</v>
      </c>
      <c r="G12" s="29">
        <f>E12/100*5*0.15*0.6*0.82</f>
        <v>21.782808</v>
      </c>
      <c r="H12" s="125"/>
      <c r="I12" s="29">
        <f t="shared" si="0"/>
        <v>2.125152</v>
      </c>
      <c r="J12" s="125"/>
      <c r="K12" s="29">
        <f>E12/100*5*0.15*0.27*0.08</f>
        <v>0.9563184</v>
      </c>
      <c r="L12" s="29">
        <f>E12/100*5*0.15*0.27*0.82</f>
        <v>9.8022636</v>
      </c>
      <c r="M12" s="29">
        <f t="shared" si="1"/>
        <v>0.9563184</v>
      </c>
      <c r="N12" s="125"/>
      <c r="O12" s="29">
        <f t="shared" si="2"/>
        <v>4.7196084</v>
      </c>
      <c r="P12" s="29"/>
      <c r="Q12" s="89"/>
    </row>
    <row r="13" ht="45" customHeight="1" spans="1:17">
      <c r="A13" s="59">
        <f t="shared" si="3"/>
        <v>9</v>
      </c>
      <c r="B13" s="25"/>
      <c r="C13" s="91" t="s">
        <v>29</v>
      </c>
      <c r="D13" s="123" t="s">
        <v>21</v>
      </c>
      <c r="E13" s="124">
        <v>1099.27</v>
      </c>
      <c r="F13" s="29">
        <f>E13/100*5*0.15*0.6*0.82</f>
        <v>4.0563063</v>
      </c>
      <c r="G13" s="125"/>
      <c r="H13" s="29">
        <f>E13/100*5*0.15*0.6*0.82</f>
        <v>4.0563063</v>
      </c>
      <c r="I13" s="29">
        <f t="shared" si="0"/>
        <v>0.3957372</v>
      </c>
      <c r="J13" s="125"/>
      <c r="K13" s="29">
        <f>E13/100*5*0.15*0.27*0.08</f>
        <v>0.17808174</v>
      </c>
      <c r="L13" s="29">
        <f>E13/100*5*0.15*0.27*0.82</f>
        <v>1.825337835</v>
      </c>
      <c r="M13" s="29">
        <f t="shared" si="1"/>
        <v>0.17808174</v>
      </c>
      <c r="N13" s="125"/>
      <c r="O13" s="29">
        <f t="shared" si="2"/>
        <v>0.878866365</v>
      </c>
      <c r="P13" s="29"/>
      <c r="Q13" s="89"/>
    </row>
    <row r="14" ht="45" customHeight="1" spans="1:17">
      <c r="A14" s="59">
        <f t="shared" si="3"/>
        <v>10</v>
      </c>
      <c r="B14" s="25"/>
      <c r="C14" s="91" t="s">
        <v>30</v>
      </c>
      <c r="D14" s="123" t="s">
        <v>21</v>
      </c>
      <c r="E14" s="124">
        <v>5498.02</v>
      </c>
      <c r="F14" s="29">
        <f>E14/100*5*0.15*0.6*0.82</f>
        <v>20.2876938</v>
      </c>
      <c r="G14" s="125"/>
      <c r="H14" s="29">
        <f>E17/100*5*0.15*0.6*0.08</f>
        <v>1.9792728</v>
      </c>
      <c r="I14" s="29">
        <f t="shared" si="0"/>
        <v>1.9792872</v>
      </c>
      <c r="J14" s="125"/>
      <c r="K14" s="29">
        <f>E14/100*5*0.15*0.27*0.08</f>
        <v>0.89067924</v>
      </c>
      <c r="L14" s="29">
        <f>E14/100*5*0.15*0.27*0.82</f>
        <v>9.12946221</v>
      </c>
      <c r="M14" s="29">
        <f t="shared" si="1"/>
        <v>0.89067924</v>
      </c>
      <c r="N14" s="125"/>
      <c r="O14" s="29">
        <f t="shared" si="2"/>
        <v>4.39566699</v>
      </c>
      <c r="P14" s="29"/>
      <c r="Q14" s="89"/>
    </row>
    <row r="15" ht="45" customHeight="1" spans="1:17">
      <c r="A15" s="59">
        <f t="shared" si="3"/>
        <v>11</v>
      </c>
      <c r="B15" s="25"/>
      <c r="C15" s="91" t="s">
        <v>31</v>
      </c>
      <c r="D15" s="123" t="s">
        <v>21</v>
      </c>
      <c r="E15" s="124">
        <v>5498.02</v>
      </c>
      <c r="F15" s="29">
        <f>E15/100*5*0.15*0.6*0.08</f>
        <v>1.9792872</v>
      </c>
      <c r="G15" s="29">
        <f>E15/100*5*0.15*0.6*0.82</f>
        <v>20.2876938</v>
      </c>
      <c r="H15" s="125"/>
      <c r="I15" s="29">
        <f t="shared" si="0"/>
        <v>1.9792872</v>
      </c>
      <c r="J15" s="125"/>
      <c r="K15" s="29">
        <f>E15/100*5*0.15*0.27*0.08</f>
        <v>0.89067924</v>
      </c>
      <c r="L15" s="29">
        <f>E15/100*5*0.15*0.27*0.82</f>
        <v>9.12946221</v>
      </c>
      <c r="M15" s="29">
        <f t="shared" si="1"/>
        <v>0.89067924</v>
      </c>
      <c r="N15" s="125"/>
      <c r="O15" s="29">
        <f t="shared" si="2"/>
        <v>4.39566699</v>
      </c>
      <c r="P15" s="29"/>
      <c r="Q15" s="89"/>
    </row>
    <row r="16" ht="45" customHeight="1" spans="1:17">
      <c r="A16" s="59">
        <f t="shared" si="3"/>
        <v>12</v>
      </c>
      <c r="B16" s="25"/>
      <c r="C16" s="91" t="s">
        <v>32</v>
      </c>
      <c r="D16" s="123" t="s">
        <v>21</v>
      </c>
      <c r="E16" s="124">
        <v>5498.02</v>
      </c>
      <c r="F16" s="29">
        <f>E16/100*5*0.15*0.6*0.08</f>
        <v>1.9792872</v>
      </c>
      <c r="G16" s="125"/>
      <c r="H16" s="29">
        <f>E16/100*5*0.15*0.6*0.82</f>
        <v>20.2876938</v>
      </c>
      <c r="I16" s="29">
        <f t="shared" si="0"/>
        <v>1.9792872</v>
      </c>
      <c r="J16" s="125"/>
      <c r="K16" s="29">
        <f>E16/100*5*0.15*0.27*0.82</f>
        <v>9.12946221</v>
      </c>
      <c r="L16" s="29">
        <f>E16/100*5*0.15*0.27*0.08</f>
        <v>0.89067924</v>
      </c>
      <c r="M16" s="29">
        <f t="shared" si="1"/>
        <v>0.89067924</v>
      </c>
      <c r="N16" s="125"/>
      <c r="O16" s="29">
        <f t="shared" si="2"/>
        <v>4.39566699</v>
      </c>
      <c r="P16" s="29"/>
      <c r="Q16" s="89"/>
    </row>
    <row r="17" ht="45" customHeight="1" spans="1:17">
      <c r="A17" s="59">
        <f t="shared" si="3"/>
        <v>13</v>
      </c>
      <c r="B17" s="25"/>
      <c r="C17" s="91" t="s">
        <v>33</v>
      </c>
      <c r="D17" s="123" t="s">
        <v>21</v>
      </c>
      <c r="E17" s="124">
        <v>5497.98</v>
      </c>
      <c r="F17" s="29">
        <f>E17/100*5*0.15*0.6*0.82</f>
        <v>20.2875462</v>
      </c>
      <c r="G17" s="125"/>
      <c r="H17" s="29">
        <f>E17/100*5*0.15*0.6*0.08</f>
        <v>1.9792728</v>
      </c>
      <c r="I17" s="29">
        <f t="shared" si="0"/>
        <v>1.9792728</v>
      </c>
      <c r="J17" s="125"/>
      <c r="K17" s="29">
        <f>E17/100*5*0.15*0.27*0.08</f>
        <v>0.89067276</v>
      </c>
      <c r="L17" s="29">
        <f>E17/100*5*0.15*0.27*0.82</f>
        <v>9.12939579</v>
      </c>
      <c r="M17" s="29">
        <f t="shared" si="1"/>
        <v>0.89067276</v>
      </c>
      <c r="N17" s="125"/>
      <c r="O17" s="29">
        <f t="shared" si="2"/>
        <v>4.39563501</v>
      </c>
      <c r="P17" s="29"/>
      <c r="Q17" s="89"/>
    </row>
    <row r="18" ht="45" customHeight="1" spans="1:17">
      <c r="A18" s="59">
        <v>14</v>
      </c>
      <c r="B18" s="25"/>
      <c r="C18" s="91" t="s">
        <v>34</v>
      </c>
      <c r="D18" s="123" t="s">
        <v>35</v>
      </c>
      <c r="E18" s="127">
        <v>353.49</v>
      </c>
      <c r="F18" s="125">
        <f>E18/100*15*0.2*0.4*0.82*0.855</f>
        <v>2.973982068</v>
      </c>
      <c r="G18" s="125"/>
      <c r="H18" s="125"/>
      <c r="I18" s="125"/>
      <c r="J18" s="125"/>
      <c r="K18" s="125"/>
      <c r="L18" s="125"/>
      <c r="M18" s="125"/>
      <c r="N18" s="125"/>
      <c r="O18" s="27"/>
      <c r="P18" s="29"/>
      <c r="Q18" s="89"/>
    </row>
    <row r="19" ht="45" customHeight="1" spans="1:17">
      <c r="A19" s="59">
        <v>15</v>
      </c>
      <c r="B19" s="25"/>
      <c r="C19" s="91" t="s">
        <v>36</v>
      </c>
      <c r="D19" s="123" t="s">
        <v>35</v>
      </c>
      <c r="E19" s="127">
        <v>466.57</v>
      </c>
      <c r="F19" s="125"/>
      <c r="G19" s="125"/>
      <c r="H19" s="125">
        <f>E19/100*15*0.2*0.4*0.82*0.855</f>
        <v>3.925346724</v>
      </c>
      <c r="I19" s="125"/>
      <c r="J19" s="125"/>
      <c r="K19" s="125"/>
      <c r="L19" s="125"/>
      <c r="M19" s="125"/>
      <c r="N19" s="125"/>
      <c r="O19" s="27"/>
      <c r="P19" s="29"/>
      <c r="Q19" s="89"/>
    </row>
    <row r="20" ht="45" customHeight="1" spans="1:17">
      <c r="A20" s="59">
        <v>16</v>
      </c>
      <c r="B20" s="25"/>
      <c r="C20" s="91" t="s">
        <v>37</v>
      </c>
      <c r="D20" s="123" t="s">
        <v>35</v>
      </c>
      <c r="E20" s="127">
        <v>565.97</v>
      </c>
      <c r="F20" s="125"/>
      <c r="G20" s="125"/>
      <c r="H20" s="125">
        <f>E20/100*15*0.2*0.4*0.82*0.855</f>
        <v>4.761618804</v>
      </c>
      <c r="I20" s="125"/>
      <c r="J20" s="125"/>
      <c r="K20" s="125"/>
      <c r="L20" s="125"/>
      <c r="M20" s="125"/>
      <c r="N20" s="125"/>
      <c r="O20" s="27"/>
      <c r="P20" s="29"/>
      <c r="Q20" s="89"/>
    </row>
    <row r="21" ht="45" customHeight="1" spans="1:17">
      <c r="A21" s="59">
        <v>17</v>
      </c>
      <c r="B21" s="25"/>
      <c r="C21" s="91" t="s">
        <v>38</v>
      </c>
      <c r="D21" s="123" t="s">
        <v>35</v>
      </c>
      <c r="E21" s="127">
        <v>666.44</v>
      </c>
      <c r="F21" s="125"/>
      <c r="G21" s="125"/>
      <c r="H21" s="125">
        <f>E21/100*15*0.2*0.4*0.82*0.855</f>
        <v>5.606893008</v>
      </c>
      <c r="I21" s="125"/>
      <c r="J21" s="125"/>
      <c r="K21" s="125"/>
      <c r="L21" s="125"/>
      <c r="M21" s="125"/>
      <c r="N21" s="125"/>
      <c r="O21" s="27"/>
      <c r="P21" s="29"/>
      <c r="Q21" s="89"/>
    </row>
    <row r="22" ht="45" customHeight="1" spans="1:17">
      <c r="A22" s="59">
        <v>18</v>
      </c>
      <c r="B22" s="25"/>
      <c r="C22" s="91" t="s">
        <v>39</v>
      </c>
      <c r="D22" s="123" t="s">
        <v>35</v>
      </c>
      <c r="E22" s="127">
        <v>134.2</v>
      </c>
      <c r="F22" s="125"/>
      <c r="G22" s="125"/>
      <c r="H22" s="125"/>
      <c r="I22" s="125">
        <f t="shared" ref="I22:I41" si="4">E22/100*5*0.2*0.4*0.82*0.25</f>
        <v>0.110044</v>
      </c>
      <c r="J22" s="125"/>
      <c r="K22" s="125"/>
      <c r="L22" s="125"/>
      <c r="M22" s="125"/>
      <c r="N22" s="125"/>
      <c r="O22" s="27"/>
      <c r="P22" s="29"/>
      <c r="Q22" s="89"/>
    </row>
    <row r="23" ht="45" customHeight="1" spans="1:17">
      <c r="A23" s="59">
        <v>19</v>
      </c>
      <c r="B23" s="25"/>
      <c r="C23" s="91" t="s">
        <v>40</v>
      </c>
      <c r="D23" s="123" t="s">
        <v>35</v>
      </c>
      <c r="E23" s="127">
        <v>45.61</v>
      </c>
      <c r="F23" s="125"/>
      <c r="G23" s="125"/>
      <c r="H23" s="125"/>
      <c r="I23" s="125">
        <f t="shared" si="4"/>
        <v>0.0374002</v>
      </c>
      <c r="J23" s="125"/>
      <c r="K23" s="125"/>
      <c r="L23" s="125"/>
      <c r="M23" s="125"/>
      <c r="N23" s="125"/>
      <c r="O23" s="27"/>
      <c r="P23" s="29"/>
      <c r="Q23" s="89"/>
    </row>
    <row r="24" ht="45" customHeight="1" spans="1:17">
      <c r="A24" s="59">
        <v>20</v>
      </c>
      <c r="B24" s="25"/>
      <c r="C24" s="91" t="s">
        <v>41</v>
      </c>
      <c r="D24" s="123" t="s">
        <v>35</v>
      </c>
      <c r="E24" s="127">
        <v>1126.98</v>
      </c>
      <c r="F24" s="125"/>
      <c r="G24" s="125"/>
      <c r="H24" s="125"/>
      <c r="I24" s="125">
        <f t="shared" si="4"/>
        <v>0.9241236</v>
      </c>
      <c r="J24" s="125"/>
      <c r="K24" s="125"/>
      <c r="L24" s="125"/>
      <c r="M24" s="125"/>
      <c r="N24" s="125"/>
      <c r="O24" s="27"/>
      <c r="P24" s="29"/>
      <c r="Q24" s="89"/>
    </row>
    <row r="25" ht="45" customHeight="1" spans="1:17">
      <c r="A25" s="59">
        <v>21</v>
      </c>
      <c r="B25" s="25"/>
      <c r="C25" s="91" t="s">
        <v>42</v>
      </c>
      <c r="D25" s="123" t="s">
        <v>35</v>
      </c>
      <c r="E25" s="127">
        <v>1438.2</v>
      </c>
      <c r="F25" s="125"/>
      <c r="G25" s="125"/>
      <c r="H25" s="125"/>
      <c r="I25" s="125">
        <f t="shared" si="4"/>
        <v>1.179324</v>
      </c>
      <c r="J25" s="125"/>
      <c r="K25" s="125"/>
      <c r="L25" s="125"/>
      <c r="M25" s="125"/>
      <c r="N25" s="125"/>
      <c r="O25" s="27"/>
      <c r="P25" s="29"/>
      <c r="Q25" s="89"/>
    </row>
    <row r="26" ht="45" customHeight="1" spans="1:17">
      <c r="A26" s="59">
        <v>22</v>
      </c>
      <c r="B26" s="25"/>
      <c r="C26" s="91" t="s">
        <v>43</v>
      </c>
      <c r="D26" s="123" t="s">
        <v>35</v>
      </c>
      <c r="E26" s="127">
        <v>287.76</v>
      </c>
      <c r="F26" s="125"/>
      <c r="G26" s="125"/>
      <c r="H26" s="125"/>
      <c r="I26" s="125">
        <f t="shared" si="4"/>
        <v>0.2359632</v>
      </c>
      <c r="J26" s="125"/>
      <c r="K26" s="125"/>
      <c r="L26" s="125"/>
      <c r="M26" s="125"/>
      <c r="N26" s="125"/>
      <c r="O26" s="27"/>
      <c r="P26" s="29"/>
      <c r="Q26" s="89"/>
    </row>
    <row r="27" ht="45" customHeight="1" spans="1:17">
      <c r="A27" s="59">
        <v>23</v>
      </c>
      <c r="B27" s="25"/>
      <c r="C27" s="91" t="s">
        <v>44</v>
      </c>
      <c r="D27" s="123" t="s">
        <v>35</v>
      </c>
      <c r="E27" s="127">
        <v>1088.16</v>
      </c>
      <c r="F27" s="125"/>
      <c r="G27" s="125"/>
      <c r="H27" s="125"/>
      <c r="I27" s="125">
        <f t="shared" si="4"/>
        <v>0.8922912</v>
      </c>
      <c r="J27" s="125"/>
      <c r="K27" s="125"/>
      <c r="L27" s="125"/>
      <c r="M27" s="125"/>
      <c r="N27" s="125"/>
      <c r="O27" s="27"/>
      <c r="P27" s="29"/>
      <c r="Q27" s="89"/>
    </row>
    <row r="28" ht="45" customHeight="1" spans="1:17">
      <c r="A28" s="59">
        <v>24</v>
      </c>
      <c r="B28" s="25"/>
      <c r="C28" s="91" t="s">
        <v>45</v>
      </c>
      <c r="D28" s="123" t="s">
        <v>35</v>
      </c>
      <c r="E28" s="127">
        <v>33.28</v>
      </c>
      <c r="F28" s="125"/>
      <c r="G28" s="125"/>
      <c r="H28" s="125"/>
      <c r="I28" s="125">
        <f t="shared" si="4"/>
        <v>0.0272896</v>
      </c>
      <c r="J28" s="125"/>
      <c r="K28" s="125"/>
      <c r="L28" s="125"/>
      <c r="M28" s="125"/>
      <c r="N28" s="125"/>
      <c r="O28" s="27"/>
      <c r="P28" s="29"/>
      <c r="Q28" s="89"/>
    </row>
    <row r="29" ht="45" customHeight="1" spans="1:17">
      <c r="A29" s="59">
        <v>25</v>
      </c>
      <c r="B29" s="25"/>
      <c r="C29" s="91" t="s">
        <v>46</v>
      </c>
      <c r="D29" s="123" t="s">
        <v>35</v>
      </c>
      <c r="E29" s="127">
        <v>1070.3</v>
      </c>
      <c r="F29" s="125"/>
      <c r="G29" s="125"/>
      <c r="H29" s="125"/>
      <c r="I29" s="125">
        <f t="shared" si="4"/>
        <v>0.877646</v>
      </c>
      <c r="J29" s="125"/>
      <c r="K29" s="125"/>
      <c r="L29" s="125"/>
      <c r="M29" s="125"/>
      <c r="N29" s="125"/>
      <c r="O29" s="27"/>
      <c r="P29" s="29"/>
      <c r="Q29" s="89"/>
    </row>
    <row r="30" ht="45" customHeight="1" spans="1:17">
      <c r="A30" s="59">
        <v>26</v>
      </c>
      <c r="B30" s="25"/>
      <c r="C30" s="91" t="s">
        <v>47</v>
      </c>
      <c r="D30" s="123" t="s">
        <v>35</v>
      </c>
      <c r="E30" s="127">
        <v>292.02</v>
      </c>
      <c r="F30" s="125"/>
      <c r="G30" s="125"/>
      <c r="H30" s="125"/>
      <c r="I30" s="125">
        <f t="shared" si="4"/>
        <v>0.2394564</v>
      </c>
      <c r="J30" s="125"/>
      <c r="K30" s="125"/>
      <c r="L30" s="125"/>
      <c r="M30" s="125"/>
      <c r="N30" s="125"/>
      <c r="O30" s="27"/>
      <c r="P30" s="29"/>
      <c r="Q30" s="89"/>
    </row>
    <row r="31" ht="45" customHeight="1" spans="1:17">
      <c r="A31" s="59">
        <v>27</v>
      </c>
      <c r="B31" s="25"/>
      <c r="C31" s="91" t="s">
        <v>48</v>
      </c>
      <c r="D31" s="123" t="s">
        <v>35</v>
      </c>
      <c r="E31" s="127">
        <v>1192.62</v>
      </c>
      <c r="F31" s="125"/>
      <c r="G31" s="125"/>
      <c r="H31" s="125"/>
      <c r="I31" s="125">
        <f t="shared" si="4"/>
        <v>0.9779484</v>
      </c>
      <c r="J31" s="125"/>
      <c r="K31" s="125"/>
      <c r="L31" s="125"/>
      <c r="M31" s="125"/>
      <c r="N31" s="125"/>
      <c r="O31" s="27"/>
      <c r="P31" s="29"/>
      <c r="Q31" s="89"/>
    </row>
    <row r="32" ht="45" customHeight="1" spans="1:17">
      <c r="A32" s="59">
        <v>28</v>
      </c>
      <c r="B32" s="25"/>
      <c r="C32" s="91" t="s">
        <v>49</v>
      </c>
      <c r="D32" s="123" t="s">
        <v>35</v>
      </c>
      <c r="E32" s="127">
        <v>1192.62</v>
      </c>
      <c r="F32" s="125"/>
      <c r="G32" s="125"/>
      <c r="H32" s="125"/>
      <c r="I32" s="125">
        <f t="shared" si="4"/>
        <v>0.9779484</v>
      </c>
      <c r="J32" s="125"/>
      <c r="K32" s="125"/>
      <c r="L32" s="125"/>
      <c r="M32" s="125"/>
      <c r="N32" s="125"/>
      <c r="O32" s="27"/>
      <c r="P32" s="29"/>
      <c r="Q32" s="89"/>
    </row>
    <row r="33" ht="45" customHeight="1" spans="1:17">
      <c r="A33" s="59">
        <v>29</v>
      </c>
      <c r="B33" s="25"/>
      <c r="C33" s="91" t="s">
        <v>50</v>
      </c>
      <c r="D33" s="123" t="s">
        <v>35</v>
      </c>
      <c r="E33" s="127">
        <v>45.61</v>
      </c>
      <c r="F33" s="125"/>
      <c r="G33" s="125"/>
      <c r="H33" s="125"/>
      <c r="I33" s="125">
        <f t="shared" si="4"/>
        <v>0.0374002</v>
      </c>
      <c r="J33" s="125"/>
      <c r="K33" s="125"/>
      <c r="L33" s="125"/>
      <c r="M33" s="125"/>
      <c r="N33" s="125"/>
      <c r="O33" s="27"/>
      <c r="P33" s="29"/>
      <c r="Q33" s="89"/>
    </row>
    <row r="34" ht="45" customHeight="1" spans="1:17">
      <c r="A34" s="59">
        <v>30</v>
      </c>
      <c r="B34" s="25"/>
      <c r="C34" s="91" t="s">
        <v>51</v>
      </c>
      <c r="D34" s="123" t="s">
        <v>35</v>
      </c>
      <c r="E34" s="127">
        <v>374.3</v>
      </c>
      <c r="F34" s="125"/>
      <c r="G34" s="125"/>
      <c r="H34" s="125"/>
      <c r="I34" s="125">
        <f t="shared" si="4"/>
        <v>0.306926</v>
      </c>
      <c r="J34" s="125"/>
      <c r="K34" s="125"/>
      <c r="L34" s="125"/>
      <c r="M34" s="125"/>
      <c r="N34" s="125"/>
      <c r="O34" s="27"/>
      <c r="P34" s="29"/>
      <c r="Q34" s="89"/>
    </row>
    <row r="35" ht="45" customHeight="1" spans="1:17">
      <c r="A35" s="59">
        <v>31</v>
      </c>
      <c r="B35" s="25"/>
      <c r="C35" s="91" t="s">
        <v>52</v>
      </c>
      <c r="D35" s="123" t="s">
        <v>35</v>
      </c>
      <c r="E35" s="127">
        <v>204</v>
      </c>
      <c r="F35" s="125"/>
      <c r="G35" s="125"/>
      <c r="H35" s="125"/>
      <c r="I35" s="125">
        <f t="shared" si="4"/>
        <v>0.16728</v>
      </c>
      <c r="J35" s="125"/>
      <c r="K35" s="125"/>
      <c r="L35" s="125"/>
      <c r="M35" s="125"/>
      <c r="N35" s="125"/>
      <c r="O35" s="27"/>
      <c r="P35" s="29"/>
      <c r="Q35" s="89"/>
    </row>
    <row r="36" ht="45" customHeight="1" spans="1:17">
      <c r="A36" s="59">
        <v>32</v>
      </c>
      <c r="B36" s="25"/>
      <c r="C36" s="91" t="s">
        <v>53</v>
      </c>
      <c r="D36" s="123" t="s">
        <v>35</v>
      </c>
      <c r="E36" s="127">
        <v>118.8</v>
      </c>
      <c r="F36" s="125"/>
      <c r="G36" s="125"/>
      <c r="H36" s="125"/>
      <c r="I36" s="125">
        <f t="shared" si="4"/>
        <v>0.097416</v>
      </c>
      <c r="J36" s="125"/>
      <c r="K36" s="125"/>
      <c r="L36" s="125"/>
      <c r="M36" s="125"/>
      <c r="N36" s="125"/>
      <c r="O36" s="27"/>
      <c r="P36" s="29"/>
      <c r="Q36" s="89"/>
    </row>
    <row r="37" ht="45" customHeight="1" spans="1:17">
      <c r="A37" s="59">
        <v>33</v>
      </c>
      <c r="B37" s="25"/>
      <c r="C37" s="91" t="s">
        <v>54</v>
      </c>
      <c r="D37" s="123" t="s">
        <v>35</v>
      </c>
      <c r="E37" s="127">
        <v>112.24</v>
      </c>
      <c r="F37" s="125"/>
      <c r="G37" s="125"/>
      <c r="H37" s="125"/>
      <c r="I37" s="125">
        <f t="shared" si="4"/>
        <v>0.0920368</v>
      </c>
      <c r="J37" s="125"/>
      <c r="K37" s="125"/>
      <c r="L37" s="125"/>
      <c r="M37" s="125"/>
      <c r="N37" s="125"/>
      <c r="O37" s="27"/>
      <c r="P37" s="29"/>
      <c r="Q37" s="89"/>
    </row>
    <row r="38" ht="45" customHeight="1" spans="1:17">
      <c r="A38" s="59">
        <v>34</v>
      </c>
      <c r="B38" s="25"/>
      <c r="C38" s="91" t="s">
        <v>55</v>
      </c>
      <c r="D38" s="123" t="s">
        <v>35</v>
      </c>
      <c r="E38" s="127">
        <v>1886.5</v>
      </c>
      <c r="F38" s="125"/>
      <c r="G38" s="125"/>
      <c r="H38" s="125"/>
      <c r="I38" s="125">
        <f t="shared" si="4"/>
        <v>1.54693</v>
      </c>
      <c r="J38" s="125"/>
      <c r="K38" s="125"/>
      <c r="L38" s="125"/>
      <c r="M38" s="125"/>
      <c r="N38" s="125"/>
      <c r="O38" s="27"/>
      <c r="P38" s="29"/>
      <c r="Q38" s="89"/>
    </row>
    <row r="39" ht="45" customHeight="1" spans="1:17">
      <c r="A39" s="59">
        <v>35</v>
      </c>
      <c r="B39" s="25"/>
      <c r="C39" s="91" t="s">
        <v>56</v>
      </c>
      <c r="D39" s="123" t="s">
        <v>35</v>
      </c>
      <c r="E39" s="127">
        <v>1107</v>
      </c>
      <c r="F39" s="125"/>
      <c r="G39" s="125"/>
      <c r="H39" s="125"/>
      <c r="I39" s="125">
        <f t="shared" si="4"/>
        <v>0.90774</v>
      </c>
      <c r="J39" s="125"/>
      <c r="K39" s="125"/>
      <c r="L39" s="125"/>
      <c r="M39" s="125"/>
      <c r="N39" s="125"/>
      <c r="O39" s="27"/>
      <c r="P39" s="29"/>
      <c r="Q39" s="89"/>
    </row>
    <row r="40" ht="45" customHeight="1" spans="1:17">
      <c r="A40" s="59">
        <v>36</v>
      </c>
      <c r="B40" s="25"/>
      <c r="C40" s="91" t="s">
        <v>57</v>
      </c>
      <c r="D40" s="123" t="s">
        <v>35</v>
      </c>
      <c r="E40" s="127">
        <v>3165.24</v>
      </c>
      <c r="F40" s="125"/>
      <c r="G40" s="125"/>
      <c r="H40" s="125"/>
      <c r="I40" s="125">
        <f t="shared" si="4"/>
        <v>2.5954968</v>
      </c>
      <c r="J40" s="125"/>
      <c r="K40" s="125"/>
      <c r="L40" s="125"/>
      <c r="M40" s="125"/>
      <c r="N40" s="125"/>
      <c r="O40" s="27"/>
      <c r="P40" s="29"/>
      <c r="Q40" s="89"/>
    </row>
    <row r="41" ht="45" customHeight="1" spans="1:17">
      <c r="A41" s="59">
        <v>37</v>
      </c>
      <c r="B41" s="25"/>
      <c r="C41" s="91" t="s">
        <v>58</v>
      </c>
      <c r="D41" s="123" t="s">
        <v>35</v>
      </c>
      <c r="E41" s="127">
        <v>1438.2</v>
      </c>
      <c r="F41" s="125"/>
      <c r="G41" s="125"/>
      <c r="H41" s="125"/>
      <c r="I41" s="125">
        <f t="shared" si="4"/>
        <v>1.179324</v>
      </c>
      <c r="J41" s="125"/>
      <c r="K41" s="125"/>
      <c r="L41" s="125"/>
      <c r="M41" s="125"/>
      <c r="N41" s="125"/>
      <c r="O41" s="27"/>
      <c r="P41" s="29"/>
      <c r="Q41" s="89"/>
    </row>
    <row r="42" ht="45" customHeight="1" spans="1:17">
      <c r="A42" s="59">
        <v>38</v>
      </c>
      <c r="B42" s="25"/>
      <c r="C42" s="91"/>
      <c r="D42" s="26" t="s">
        <v>59</v>
      </c>
      <c r="E42" s="125"/>
      <c r="F42" s="125"/>
      <c r="G42" s="125"/>
      <c r="H42" s="125"/>
      <c r="I42" s="125">
        <f>SUM(F5:P41)*0.15</f>
        <v>57.3724418495999</v>
      </c>
      <c r="J42" s="125"/>
      <c r="K42" s="125"/>
      <c r="L42" s="125"/>
      <c r="M42" s="125"/>
      <c r="N42" s="125"/>
      <c r="O42" s="27"/>
      <c r="P42" s="29"/>
      <c r="Q42" s="45"/>
    </row>
    <row r="43" ht="45" customHeight="1" spans="1:17">
      <c r="A43" s="128" t="s">
        <v>60</v>
      </c>
      <c r="B43" s="129"/>
      <c r="C43" s="26"/>
      <c r="D43" s="26"/>
      <c r="E43" s="29"/>
      <c r="F43" s="29">
        <f>SUM(F5:F42)</f>
        <v>94.084898868</v>
      </c>
      <c r="G43" s="29">
        <f>SUM(G5:G42)</f>
        <v>59.7154914</v>
      </c>
      <c r="H43" s="29">
        <f>SUM(H5:H42)</f>
        <v>63.122652036</v>
      </c>
      <c r="I43" s="29">
        <f>SUM(I5:I42)</f>
        <v>88.2041730495999</v>
      </c>
      <c r="J43" s="29"/>
      <c r="K43" s="29">
        <f>SUM(K5:K42)</f>
        <v>22.94736318</v>
      </c>
      <c r="L43" s="29">
        <f>SUM(L5:L42)</f>
        <v>65.25022797</v>
      </c>
      <c r="M43" s="29">
        <f>SUM(M5:M42)</f>
        <v>7.83978588</v>
      </c>
      <c r="N43" s="29"/>
      <c r="O43" s="29">
        <f>SUM(O5:O42)</f>
        <v>38.69079513</v>
      </c>
      <c r="P43" s="29"/>
      <c r="Q43" s="45"/>
    </row>
    <row r="44" ht="45" customHeight="1" spans="1:18">
      <c r="A44" s="33" t="s">
        <v>61</v>
      </c>
      <c r="B44" s="34"/>
      <c r="C44" s="35"/>
      <c r="D44" s="35"/>
      <c r="E44" s="36"/>
      <c r="F44" s="37">
        <f>SUM(F43:Q43)</f>
        <v>439.8553875136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47"/>
      <c r="R44" s="48"/>
    </row>
  </sheetData>
  <mergeCells count="15">
    <mergeCell ref="A1:Q1"/>
    <mergeCell ref="F2:P2"/>
    <mergeCell ref="F3:J3"/>
    <mergeCell ref="K3:N3"/>
    <mergeCell ref="O3:P3"/>
    <mergeCell ref="A43:B43"/>
    <mergeCell ref="A44:B44"/>
    <mergeCell ref="F44:Q44"/>
    <mergeCell ref="A2:A4"/>
    <mergeCell ref="B2:B4"/>
    <mergeCell ref="B5:B42"/>
    <mergeCell ref="C2:C4"/>
    <mergeCell ref="D2:D4"/>
    <mergeCell ref="E2:E4"/>
    <mergeCell ref="Q2:Q4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85" zoomScaleNormal="85" workbookViewId="0">
      <selection activeCell="M8" sqref="M8"/>
    </sheetView>
  </sheetViews>
  <sheetFormatPr defaultColWidth="9" defaultRowHeight="13.5"/>
  <cols>
    <col min="1" max="1" width="7.875" customWidth="1"/>
    <col min="2" max="2" width="9.625" customWidth="1"/>
    <col min="3" max="3" width="16.75" customWidth="1"/>
    <col min="4" max="4" width="22.2" customWidth="1"/>
    <col min="5" max="5" width="15.775" customWidth="1"/>
    <col min="6" max="9" width="9.025" customWidth="1"/>
    <col min="10" max="10" width="10.125" customWidth="1"/>
    <col min="11" max="11" width="8.81666666666667" customWidth="1"/>
  </cols>
  <sheetData>
    <row r="1" ht="45" customHeight="1" spans="1:10">
      <c r="A1" s="6" t="s">
        <v>121</v>
      </c>
      <c r="B1" s="7"/>
      <c r="C1" s="7"/>
      <c r="D1" s="7"/>
      <c r="E1" s="7"/>
      <c r="F1" s="7"/>
      <c r="G1" s="7"/>
      <c r="H1" s="7"/>
      <c r="I1" s="7"/>
      <c r="J1" s="38"/>
    </row>
    <row r="2" ht="45" customHeight="1" spans="1:10">
      <c r="A2" s="71" t="s">
        <v>1</v>
      </c>
      <c r="B2" s="72" t="s">
        <v>2</v>
      </c>
      <c r="C2" s="72" t="s">
        <v>3</v>
      </c>
      <c r="D2" s="73" t="s">
        <v>4</v>
      </c>
      <c r="E2" s="74" t="s">
        <v>5</v>
      </c>
      <c r="F2" s="75"/>
      <c r="G2" s="75"/>
      <c r="H2" s="75"/>
      <c r="I2" s="75"/>
      <c r="J2" s="86" t="s">
        <v>6</v>
      </c>
    </row>
    <row r="3" ht="45" customHeight="1" spans="1:10">
      <c r="A3" s="76"/>
      <c r="B3" s="72"/>
      <c r="C3" s="72"/>
      <c r="D3" s="73"/>
      <c r="E3" s="74"/>
      <c r="F3" s="77" t="s">
        <v>81</v>
      </c>
      <c r="G3" s="78"/>
      <c r="H3" s="78"/>
      <c r="I3" s="78"/>
      <c r="J3" s="87"/>
    </row>
    <row r="4" ht="45" customHeight="1" spans="1:10">
      <c r="A4" s="79"/>
      <c r="B4" s="80"/>
      <c r="C4" s="80"/>
      <c r="D4" s="81"/>
      <c r="E4" s="82"/>
      <c r="F4" s="83" t="s">
        <v>13</v>
      </c>
      <c r="G4" s="83" t="s">
        <v>83</v>
      </c>
      <c r="H4" s="83" t="s">
        <v>11</v>
      </c>
      <c r="I4" s="83" t="s">
        <v>14</v>
      </c>
      <c r="J4" s="88"/>
    </row>
    <row r="5" ht="45" customHeight="1" spans="1:10">
      <c r="A5" s="84">
        <v>1</v>
      </c>
      <c r="B5" s="25" t="s">
        <v>88</v>
      </c>
      <c r="C5" s="32" t="s">
        <v>122</v>
      </c>
      <c r="D5" s="67" t="s">
        <v>123</v>
      </c>
      <c r="E5" s="85">
        <f>375.38+168+1455.25</f>
        <v>1998.63</v>
      </c>
      <c r="F5" s="31">
        <f>E5/100*15*0.855*0.6*0.388*0.82*0.4</f>
        <v>19.572513238224</v>
      </c>
      <c r="G5" s="31">
        <f t="shared" ref="G5:G10" si="0">E5/100*15*0.855*0.6*0.388*0.08*0.4</f>
        <v>1.909513486656</v>
      </c>
      <c r="H5" s="31">
        <f t="shared" ref="H5:H10" si="1">E5/100*15*0.855*0.6*0.388*0.08*0.4</f>
        <v>1.909513486656</v>
      </c>
      <c r="I5" s="66"/>
      <c r="J5" s="89"/>
    </row>
    <row r="6" ht="45" customHeight="1" spans="1:10">
      <c r="A6" s="63">
        <v>2</v>
      </c>
      <c r="B6" s="25"/>
      <c r="C6" s="67" t="s">
        <v>124</v>
      </c>
      <c r="D6" s="68" t="s">
        <v>125</v>
      </c>
      <c r="E6" s="66">
        <v>168</v>
      </c>
      <c r="F6" s="31">
        <f>E6/100*15*0.855*0.6*0.388*0.82*0.4</f>
        <v>1.6452180864</v>
      </c>
      <c r="G6" s="31">
        <f t="shared" si="0"/>
        <v>0.1605090816</v>
      </c>
      <c r="H6" s="31">
        <f t="shared" si="1"/>
        <v>0.1605090816</v>
      </c>
      <c r="I6" s="66"/>
      <c r="J6" s="45"/>
    </row>
    <row r="7" ht="45" customHeight="1" spans="1:10">
      <c r="A7" s="59">
        <v>3</v>
      </c>
      <c r="B7" s="25"/>
      <c r="C7" s="26" t="s">
        <v>126</v>
      </c>
      <c r="D7" s="68" t="s">
        <v>125</v>
      </c>
      <c r="E7" s="29">
        <v>168</v>
      </c>
      <c r="F7" s="31">
        <f>E7/100*15*0.855*0.6*0.388*0.82*0.4*0.2</f>
        <v>0.32904361728</v>
      </c>
      <c r="G7" s="31">
        <f t="shared" si="0"/>
        <v>0.1605090816</v>
      </c>
      <c r="H7" s="31">
        <f t="shared" si="1"/>
        <v>0.1605090816</v>
      </c>
      <c r="I7" s="29"/>
      <c r="J7" s="45"/>
    </row>
    <row r="8" ht="45" customHeight="1" spans="1:10">
      <c r="A8" s="59">
        <v>4</v>
      </c>
      <c r="B8" s="25"/>
      <c r="C8" s="26" t="s">
        <v>127</v>
      </c>
      <c r="D8" s="68" t="s">
        <v>128</v>
      </c>
      <c r="E8" s="29">
        <v>1455.25</v>
      </c>
      <c r="F8" s="31">
        <f>E8/100*15*0.855*0.6*0.388*0.82*0.4</f>
        <v>14.2512120252</v>
      </c>
      <c r="G8" s="31">
        <f t="shared" si="0"/>
        <v>1.3903621488</v>
      </c>
      <c r="H8" s="31">
        <f t="shared" si="1"/>
        <v>1.3903621488</v>
      </c>
      <c r="I8" s="29"/>
      <c r="J8" s="45"/>
    </row>
    <row r="9" ht="45" customHeight="1" spans="1:10">
      <c r="A9" s="59">
        <v>5</v>
      </c>
      <c r="B9" s="25"/>
      <c r="C9" s="26" t="s">
        <v>129</v>
      </c>
      <c r="D9" s="68" t="s">
        <v>130</v>
      </c>
      <c r="E9" s="29">
        <f>1069.86+1455.25</f>
        <v>2525.11</v>
      </c>
      <c r="F9" s="31">
        <f>E9/100*15*0.855*0.6*0.388*0.82*0.4</f>
        <v>24.728313346128</v>
      </c>
      <c r="G9" s="31">
        <f t="shared" si="0"/>
        <v>2.412518375232</v>
      </c>
      <c r="H9" s="31">
        <f t="shared" si="1"/>
        <v>2.412518375232</v>
      </c>
      <c r="I9" s="29"/>
      <c r="J9" s="45"/>
    </row>
    <row r="10" ht="45" customHeight="1" spans="1:10">
      <c r="A10" s="59">
        <v>6</v>
      </c>
      <c r="B10" s="25"/>
      <c r="C10" s="26" t="s">
        <v>131</v>
      </c>
      <c r="D10" s="68" t="s">
        <v>130</v>
      </c>
      <c r="E10" s="29">
        <f>1069.86+1455.25</f>
        <v>2525.11</v>
      </c>
      <c r="F10" s="31">
        <f>E10/100*15*0.855*0.6*0.388*0.82*0.4*0.2</f>
        <v>4.9456626692256</v>
      </c>
      <c r="G10" s="31">
        <f t="shared" si="0"/>
        <v>2.412518375232</v>
      </c>
      <c r="H10" s="31">
        <f t="shared" si="1"/>
        <v>2.412518375232</v>
      </c>
      <c r="I10" s="29"/>
      <c r="J10" s="45"/>
    </row>
    <row r="11" ht="45" customHeight="1" spans="1:10">
      <c r="A11" s="59">
        <v>7</v>
      </c>
      <c r="B11" s="25"/>
      <c r="C11" s="26"/>
      <c r="D11" s="68" t="s">
        <v>90</v>
      </c>
      <c r="E11" s="29"/>
      <c r="F11" s="29">
        <f>SUM(F5:H10)*0.09</f>
        <v>7.41274416726278</v>
      </c>
      <c r="G11" s="29"/>
      <c r="H11" s="29"/>
      <c r="I11" s="29"/>
      <c r="J11" s="45"/>
    </row>
    <row r="12" ht="45" customHeight="1" spans="1:10">
      <c r="A12" s="59">
        <v>8</v>
      </c>
      <c r="B12" s="32"/>
      <c r="C12" s="26"/>
      <c r="D12" s="26" t="s">
        <v>59</v>
      </c>
      <c r="E12" s="29"/>
      <c r="F12" s="29">
        <f>SUM(F5:I10)*0.15</f>
        <v>12.3545736121046</v>
      </c>
      <c r="G12" s="29"/>
      <c r="H12" s="29"/>
      <c r="I12" s="29"/>
      <c r="J12" s="45"/>
    </row>
    <row r="13" ht="45" customHeight="1" spans="1:10">
      <c r="A13" s="26" t="s">
        <v>60</v>
      </c>
      <c r="B13" s="26"/>
      <c r="C13" s="26"/>
      <c r="D13" s="26"/>
      <c r="E13" s="29"/>
      <c r="F13" s="29">
        <f>SUM(F5:F12)</f>
        <v>85.239280761825</v>
      </c>
      <c r="G13" s="29">
        <f>SUM(G5:G12)</f>
        <v>8.44593054912</v>
      </c>
      <c r="H13" s="29">
        <f>SUM(H5:H12)</f>
        <v>8.44593054912</v>
      </c>
      <c r="I13" s="29">
        <f>SUM(I5:I12)</f>
        <v>0</v>
      </c>
      <c r="J13" s="45"/>
    </row>
    <row r="14" ht="45" customHeight="1" spans="1:11">
      <c r="A14" s="33" t="s">
        <v>61</v>
      </c>
      <c r="B14" s="34"/>
      <c r="C14" s="35"/>
      <c r="D14" s="35"/>
      <c r="E14" s="36"/>
      <c r="F14" s="37">
        <f>SUM(F13:I13)</f>
        <v>102.131141860065</v>
      </c>
      <c r="G14" s="37"/>
      <c r="H14" s="37"/>
      <c r="I14" s="37"/>
      <c r="J14" s="37"/>
      <c r="K14" s="62"/>
    </row>
  </sheetData>
  <mergeCells count="13">
    <mergeCell ref="A1:J1"/>
    <mergeCell ref="F2:I2"/>
    <mergeCell ref="F3:I3"/>
    <mergeCell ref="A13:B13"/>
    <mergeCell ref="A14:B14"/>
    <mergeCell ref="F14:J14"/>
    <mergeCell ref="A2:A4"/>
    <mergeCell ref="B2:B4"/>
    <mergeCell ref="B5:B12"/>
    <mergeCell ref="C2:C4"/>
    <mergeCell ref="D2:D4"/>
    <mergeCell ref="E2:E4"/>
    <mergeCell ref="J2:J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zoomScale="85" zoomScaleNormal="85" workbookViewId="0">
      <selection activeCell="E7" sqref="E7"/>
    </sheetView>
  </sheetViews>
  <sheetFormatPr defaultColWidth="9" defaultRowHeight="13.5"/>
  <cols>
    <col min="1" max="1" width="7.875" customWidth="1"/>
    <col min="2" max="2" width="9.625" customWidth="1"/>
    <col min="3" max="3" width="16.75" customWidth="1"/>
    <col min="4" max="4" width="17.25" customWidth="1"/>
    <col min="5" max="5" width="15.775" customWidth="1"/>
    <col min="6" max="14" width="9.025" customWidth="1"/>
    <col min="16" max="22" width="10.125" customWidth="1"/>
    <col min="23" max="23" width="28.75" customWidth="1"/>
  </cols>
  <sheetData>
    <row r="1" ht="45" customHeight="1" spans="1:22">
      <c r="A1" s="6" t="s">
        <v>132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38"/>
    </row>
    <row r="2" ht="45" customHeight="1" spans="1:22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/>
      <c r="G2" s="12"/>
      <c r="H2" s="12"/>
      <c r="I2" s="12"/>
      <c r="J2" s="12"/>
      <c r="K2" s="12"/>
      <c r="L2" s="12"/>
      <c r="M2" s="12"/>
      <c r="N2" s="69"/>
      <c r="O2" s="69"/>
      <c r="P2" s="69"/>
      <c r="Q2" s="69"/>
      <c r="R2" s="69"/>
      <c r="S2" s="69"/>
      <c r="T2" s="69"/>
      <c r="U2" s="69"/>
      <c r="V2" s="39" t="s">
        <v>6</v>
      </c>
    </row>
    <row r="3" ht="45" customHeight="1" spans="1:22">
      <c r="A3" s="13"/>
      <c r="B3" s="9"/>
      <c r="C3" s="9"/>
      <c r="D3" s="10"/>
      <c r="E3" s="11"/>
      <c r="F3" s="14" t="s">
        <v>7</v>
      </c>
      <c r="G3" s="14"/>
      <c r="H3" s="14"/>
      <c r="I3" s="14"/>
      <c r="J3" s="40" t="s">
        <v>81</v>
      </c>
      <c r="K3" s="14"/>
      <c r="L3" s="14"/>
      <c r="M3" s="14"/>
      <c r="N3" s="11" t="s">
        <v>8</v>
      </c>
      <c r="O3" s="11"/>
      <c r="P3" s="11"/>
      <c r="Q3" s="11"/>
      <c r="R3" s="40" t="s">
        <v>9</v>
      </c>
      <c r="S3" s="14"/>
      <c r="T3" s="14"/>
      <c r="U3" s="14"/>
      <c r="V3" s="41"/>
    </row>
    <row r="4" ht="45" customHeight="1" spans="1:22">
      <c r="A4" s="49"/>
      <c r="B4" s="50"/>
      <c r="C4" s="50"/>
      <c r="D4" s="51"/>
      <c r="E4" s="52"/>
      <c r="F4" s="53" t="s">
        <v>10</v>
      </c>
      <c r="G4" s="53" t="s">
        <v>82</v>
      </c>
      <c r="H4" s="53" t="s">
        <v>12</v>
      </c>
      <c r="I4" s="53" t="s">
        <v>14</v>
      </c>
      <c r="J4" s="53" t="s">
        <v>13</v>
      </c>
      <c r="K4" s="53" t="s">
        <v>83</v>
      </c>
      <c r="L4" s="53" t="s">
        <v>11</v>
      </c>
      <c r="M4" s="53" t="s">
        <v>14</v>
      </c>
      <c r="N4" s="53" t="s">
        <v>15</v>
      </c>
      <c r="O4" s="53" t="s">
        <v>16</v>
      </c>
      <c r="P4" s="53" t="s">
        <v>17</v>
      </c>
      <c r="Q4" s="53" t="s">
        <v>14</v>
      </c>
      <c r="R4" s="53" t="s">
        <v>18</v>
      </c>
      <c r="S4" s="53" t="s">
        <v>95</v>
      </c>
      <c r="T4" s="53" t="s">
        <v>13</v>
      </c>
      <c r="U4" s="53" t="s">
        <v>14</v>
      </c>
      <c r="V4" s="60"/>
    </row>
    <row r="5" ht="45" customHeight="1" spans="1:22">
      <c r="A5" s="54">
        <v>1</v>
      </c>
      <c r="B5" s="55" t="s">
        <v>87</v>
      </c>
      <c r="C5" s="55"/>
      <c r="D5" s="56" t="s">
        <v>133</v>
      </c>
      <c r="E5" s="57">
        <f>1293.06*1.3</f>
        <v>1680.978</v>
      </c>
      <c r="F5" s="58"/>
      <c r="G5" s="58"/>
      <c r="H5" s="58">
        <f>E5/100*15*0.855*0.2*0.88*0.82*0.4</f>
        <v>12.445315616448</v>
      </c>
      <c r="I5" s="58"/>
      <c r="J5" s="58"/>
      <c r="K5" s="58"/>
      <c r="L5" s="58"/>
      <c r="M5" s="58"/>
      <c r="N5" s="58"/>
      <c r="O5" s="58"/>
      <c r="P5" s="58"/>
      <c r="Q5" s="58"/>
      <c r="R5" s="58"/>
      <c r="S5" s="70"/>
      <c r="T5" s="70"/>
      <c r="U5" s="70"/>
      <c r="V5" s="61"/>
    </row>
    <row r="6" ht="45" customHeight="1" spans="1:22">
      <c r="A6" s="63">
        <v>2</v>
      </c>
      <c r="B6" s="25" t="s">
        <v>88</v>
      </c>
      <c r="C6" s="64" t="s">
        <v>134</v>
      </c>
      <c r="D6" s="65" t="s">
        <v>21</v>
      </c>
      <c r="E6" s="66">
        <f>1293.06*1.3</f>
        <v>1680.978</v>
      </c>
      <c r="F6" s="66">
        <f>E6/100*15*0.145*0.7*0.43*0.82</f>
        <v>9.02405303163</v>
      </c>
      <c r="G6" s="66">
        <f>E6/100*15*0.145*0.7*0.43*0.08</f>
        <v>0.88039541772</v>
      </c>
      <c r="H6" s="66">
        <f>E6/100*15*0.145*0.7*0.43*0.82</f>
        <v>9.02405303163</v>
      </c>
      <c r="I6" s="66"/>
      <c r="J6" s="66"/>
      <c r="K6" s="66"/>
      <c r="L6" s="66"/>
      <c r="M6" s="66"/>
      <c r="N6" s="66">
        <f>E6/100*15*0.145*0.7*0.36*0.82</f>
        <v>7.55502114276</v>
      </c>
      <c r="O6" s="66">
        <f>E6/100*15*0.145*0.7*0.36*0.08</f>
        <v>0.73707523344</v>
      </c>
      <c r="P6" s="66">
        <f>E6/100*15*0.145*0.7*0.36*0.08</f>
        <v>0.73707523344</v>
      </c>
      <c r="Q6" s="66"/>
      <c r="R6" s="66">
        <f>E6/100*15*0.145*0.7*0.17*0.82</f>
        <v>3.56764887297</v>
      </c>
      <c r="S6" s="31">
        <f>E6/100*15*0.145*0.7*0.17*0.08</f>
        <v>0.34806330468</v>
      </c>
      <c r="T6" s="31">
        <f>E6/100*15*0.145*0.7*0.17*0.08</f>
        <v>0.34806330468</v>
      </c>
      <c r="U6" s="31"/>
      <c r="V6" s="45"/>
    </row>
    <row r="7" ht="45" customHeight="1" spans="1:22">
      <c r="A7" s="59">
        <v>3</v>
      </c>
      <c r="B7" s="25"/>
      <c r="C7" s="67"/>
      <c r="D7" s="68" t="s">
        <v>133</v>
      </c>
      <c r="E7" s="29">
        <f>1293.06*1.3</f>
        <v>1680.978</v>
      </c>
      <c r="F7" s="29">
        <f>E7/100*15*0.855*0.6*0.334*0.1</f>
        <v>4.32033198714</v>
      </c>
      <c r="G7" s="29">
        <f>E7/100*15*0.855*0.6*0.334*0.08</f>
        <v>3.456265589712</v>
      </c>
      <c r="H7" s="29">
        <f>E7/100*15*0.855*0.6*0.334*0.8</f>
        <v>34.56265589712</v>
      </c>
      <c r="I7" s="29"/>
      <c r="J7" s="29">
        <f>E7/100*15*0.855*0.6*0.388*0.82</f>
        <v>41.154395958936</v>
      </c>
      <c r="K7" s="29">
        <f>E7/100*15*0.855*0.6*0.388*0.08</f>
        <v>4.015063020384</v>
      </c>
      <c r="L7" s="29">
        <f>E7/100*15*0.855*0.6*0.388*0.08</f>
        <v>4.015063020384</v>
      </c>
      <c r="M7" s="29"/>
      <c r="N7" s="29">
        <f>E7/100*15*0.855*0.6*0.14*0.82</f>
        <v>14.84952431508</v>
      </c>
      <c r="O7" s="29">
        <f>E7/100*15*0.855*0.6*0.14*0.08</f>
        <v>1.44873407952</v>
      </c>
      <c r="P7" s="29">
        <f>E7/100*15*0.855*0.6*0.14*0.08</f>
        <v>1.44873407952</v>
      </c>
      <c r="Q7" s="29"/>
      <c r="R7" s="29">
        <f>E7/100*15*0.855*0.6*0.147*0.82</f>
        <v>15.592000530834</v>
      </c>
      <c r="S7" s="29">
        <f>E7/100*15*0.855*0.6*0.147*0.08</f>
        <v>1.521170783496</v>
      </c>
      <c r="T7" s="29">
        <f>E7/100*15*0.855*0.6*0.147*0.08</f>
        <v>1.521170783496</v>
      </c>
      <c r="U7" s="29"/>
      <c r="V7" s="45"/>
    </row>
    <row r="8" ht="45" customHeight="1" spans="1:22">
      <c r="A8" s="59">
        <v>8</v>
      </c>
      <c r="B8" s="25"/>
      <c r="C8" s="26"/>
      <c r="D8" s="67" t="s">
        <v>89</v>
      </c>
      <c r="E8" s="29"/>
      <c r="F8" s="29"/>
      <c r="G8" s="29"/>
      <c r="H8" s="29">
        <f>SUM(F6:H7)*0.09</f>
        <v>5.51409794594568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45"/>
    </row>
    <row r="9" ht="45" customHeight="1" spans="1:22">
      <c r="A9" s="59">
        <v>9</v>
      </c>
      <c r="B9" s="25"/>
      <c r="C9" s="26"/>
      <c r="D9" s="68" t="s">
        <v>90</v>
      </c>
      <c r="E9" s="29"/>
      <c r="F9" s="29"/>
      <c r="G9" s="29"/>
      <c r="H9" s="29"/>
      <c r="I9" s="29"/>
      <c r="J9" s="29">
        <f>SUM(J6:L7)*0.09</f>
        <v>4.42660697997336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45"/>
    </row>
    <row r="10" ht="45" customHeight="1" spans="1:22">
      <c r="A10" s="59">
        <v>10</v>
      </c>
      <c r="B10" s="25"/>
      <c r="C10" s="26"/>
      <c r="D10" s="68" t="s">
        <v>91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>
        <f>SUM(N6:P7)*0.1</f>
        <v>2.677616408376</v>
      </c>
      <c r="P10" s="29"/>
      <c r="Q10" s="29"/>
      <c r="R10" s="29"/>
      <c r="S10" s="29"/>
      <c r="T10" s="29"/>
      <c r="U10" s="29"/>
      <c r="V10" s="45"/>
    </row>
    <row r="11" ht="45" customHeight="1" spans="1:22">
      <c r="A11" s="59">
        <v>11</v>
      </c>
      <c r="B11" s="25"/>
      <c r="C11" s="26"/>
      <c r="D11" s="68" t="s">
        <v>92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>
        <f>SUM(R6:T7)*0.1</f>
        <v>2.2898117580156</v>
      </c>
      <c r="S11" s="29"/>
      <c r="T11" s="29"/>
      <c r="U11" s="29"/>
      <c r="V11" s="45"/>
    </row>
    <row r="12" ht="45" customHeight="1" spans="1:22">
      <c r="A12" s="59">
        <v>12</v>
      </c>
      <c r="B12" s="32"/>
      <c r="C12" s="26"/>
      <c r="D12" s="26" t="s">
        <v>59</v>
      </c>
      <c r="E12" s="29"/>
      <c r="F12" s="29"/>
      <c r="G12" s="29"/>
      <c r="H12" s="29"/>
      <c r="I12" s="29"/>
      <c r="J12" s="29">
        <f>SUM(F5:T7)*0.15</f>
        <v>25.885781135253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45"/>
    </row>
    <row r="13" ht="45" customHeight="1" spans="1:23">
      <c r="A13" s="26" t="s">
        <v>60</v>
      </c>
      <c r="B13" s="26"/>
      <c r="C13" s="26"/>
      <c r="D13" s="26"/>
      <c r="E13" s="29"/>
      <c r="F13" s="29">
        <f>SUM(F5:F12)*1.3</f>
        <v>17.347700524401</v>
      </c>
      <c r="G13" s="29">
        <f>SUM(G5:G12)*1.3</f>
        <v>5.6376593096616</v>
      </c>
      <c r="H13" s="29">
        <f>SUM(H5:H12)*1.3</f>
        <v>80.0099592384868</v>
      </c>
      <c r="I13" s="29"/>
      <c r="J13" s="29">
        <f>SUM(J5:J12)*1.3</f>
        <v>92.9068192964111</v>
      </c>
      <c r="K13" s="29">
        <f>SUM(K5:K12)*1.3</f>
        <v>5.2195819264992</v>
      </c>
      <c r="L13" s="29">
        <f>SUM(L5:L12)*1.3</f>
        <v>5.2195819264992</v>
      </c>
      <c r="M13" s="29"/>
      <c r="N13" s="29">
        <f>SUM(N5:N12)*1.3</f>
        <v>29.125909095192</v>
      </c>
      <c r="O13" s="29">
        <f>SUM(O5:O12)*1.3</f>
        <v>6.3224534377368</v>
      </c>
      <c r="P13" s="29">
        <f>SUM(P5:P12)*1.3</f>
        <v>2.841552106848</v>
      </c>
      <c r="Q13" s="29"/>
      <c r="R13" s="29">
        <f>SUM(R5:R12)*1.3</f>
        <v>27.8842995103655</v>
      </c>
      <c r="S13" s="29">
        <f>SUM(S5:S12)*1.3</f>
        <v>2.4300043146288</v>
      </c>
      <c r="T13" s="29">
        <f>SUM(T5:T12)*1.3</f>
        <v>2.4300043146288</v>
      </c>
      <c r="U13" s="29"/>
      <c r="V13" s="45"/>
      <c r="W13" s="46"/>
    </row>
    <row r="14" ht="45" customHeight="1" spans="1:23">
      <c r="A14" s="33" t="s">
        <v>61</v>
      </c>
      <c r="B14" s="34"/>
      <c r="C14" s="35"/>
      <c r="D14" s="35"/>
      <c r="E14" s="36"/>
      <c r="F14" s="37">
        <f>SUM(F13:V13)</f>
        <v>277.375525001359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62"/>
    </row>
  </sheetData>
  <mergeCells count="17">
    <mergeCell ref="A1:V1"/>
    <mergeCell ref="F2:U2"/>
    <mergeCell ref="F3:I3"/>
    <mergeCell ref="J3:M3"/>
    <mergeCell ref="N3:Q3"/>
    <mergeCell ref="R3:U3"/>
    <mergeCell ref="A13:B13"/>
    <mergeCell ref="A14:B14"/>
    <mergeCell ref="F14:V14"/>
    <mergeCell ref="A2:A4"/>
    <mergeCell ref="B2:B4"/>
    <mergeCell ref="B6:B12"/>
    <mergeCell ref="C2:C4"/>
    <mergeCell ref="C6:C7"/>
    <mergeCell ref="D2:D4"/>
    <mergeCell ref="E2:E4"/>
    <mergeCell ref="V2:V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zoomScale="85" zoomScaleNormal="85" workbookViewId="0">
      <selection activeCell="I24" sqref="I24"/>
    </sheetView>
  </sheetViews>
  <sheetFormatPr defaultColWidth="9" defaultRowHeight="13.5" outlineLevelRow="7"/>
  <cols>
    <col min="1" max="1" width="7.875" customWidth="1"/>
    <col min="2" max="2" width="9.625" customWidth="1"/>
    <col min="3" max="3" width="16.75" customWidth="1"/>
    <col min="4" max="4" width="17.25" customWidth="1"/>
    <col min="5" max="5" width="15.775" customWidth="1"/>
    <col min="6" max="9" width="9.025" customWidth="1"/>
    <col min="10" max="10" width="10.125" customWidth="1"/>
    <col min="11" max="11" width="28.75" customWidth="1"/>
  </cols>
  <sheetData>
    <row r="1" ht="45" customHeight="1" spans="1:10">
      <c r="A1" s="6" t="s">
        <v>135</v>
      </c>
      <c r="B1" s="7"/>
      <c r="C1" s="7"/>
      <c r="D1" s="7"/>
      <c r="E1" s="7"/>
      <c r="F1" s="7"/>
      <c r="G1" s="7"/>
      <c r="H1" s="7"/>
      <c r="I1" s="7"/>
      <c r="J1" s="38"/>
    </row>
    <row r="2" ht="45" customHeight="1" spans="1:10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/>
      <c r="G2" s="12"/>
      <c r="H2" s="12"/>
      <c r="I2" s="12"/>
      <c r="J2" s="39" t="s">
        <v>6</v>
      </c>
    </row>
    <row r="3" ht="45" customHeight="1" spans="1:10">
      <c r="A3" s="13"/>
      <c r="B3" s="9"/>
      <c r="C3" s="9"/>
      <c r="D3" s="10"/>
      <c r="E3" s="11"/>
      <c r="F3" s="14" t="s">
        <v>7</v>
      </c>
      <c r="G3" s="14"/>
      <c r="H3" s="40" t="s">
        <v>81</v>
      </c>
      <c r="I3" s="14"/>
      <c r="J3" s="41"/>
    </row>
    <row r="4" ht="45" customHeight="1" spans="1:10">
      <c r="A4" s="49"/>
      <c r="B4" s="50"/>
      <c r="C4" s="50"/>
      <c r="D4" s="51"/>
      <c r="E4" s="52"/>
      <c r="F4" s="53" t="s">
        <v>10</v>
      </c>
      <c r="G4" s="53" t="s">
        <v>14</v>
      </c>
      <c r="H4" s="53" t="s">
        <v>13</v>
      </c>
      <c r="I4" s="53" t="s">
        <v>14</v>
      </c>
      <c r="J4" s="60"/>
    </row>
    <row r="5" ht="45" customHeight="1" spans="1:10">
      <c r="A5" s="54">
        <v>1</v>
      </c>
      <c r="B5" s="55" t="s">
        <v>136</v>
      </c>
      <c r="C5" s="55" t="s">
        <v>137</v>
      </c>
      <c r="D5" s="56" t="s">
        <v>138</v>
      </c>
      <c r="E5" s="57">
        <f>8923.77</f>
        <v>8923.77</v>
      </c>
      <c r="F5" s="58">
        <f>E5/100*15*0.855*0.2*0.88*0.8*0.3</f>
        <v>48.3425607456</v>
      </c>
      <c r="G5" s="58"/>
      <c r="H5" s="58">
        <f>E5/100*15*0.855*0.2*0.02*0.82*0.4</f>
        <v>1.50154923528</v>
      </c>
      <c r="I5" s="58"/>
      <c r="J5" s="61"/>
    </row>
    <row r="6" ht="45" customHeight="1" spans="1:10">
      <c r="A6" s="59">
        <v>12</v>
      </c>
      <c r="B6" s="32"/>
      <c r="C6" s="26"/>
      <c r="D6" s="26" t="s">
        <v>59</v>
      </c>
      <c r="E6" s="29"/>
      <c r="F6" s="29"/>
      <c r="G6" s="29"/>
      <c r="H6" s="29">
        <f>SUM(F5:I5)*0.15</f>
        <v>7.476616497132</v>
      </c>
      <c r="I6" s="29"/>
      <c r="J6" s="45"/>
    </row>
    <row r="7" ht="45" customHeight="1" spans="1:11">
      <c r="A7" s="26" t="s">
        <v>60</v>
      </c>
      <c r="B7" s="26"/>
      <c r="C7" s="26"/>
      <c r="D7" s="26"/>
      <c r="E7" s="29"/>
      <c r="F7" s="29">
        <f>SUM(F5:F6)*1.3</f>
        <v>62.84532896928</v>
      </c>
      <c r="G7" s="29"/>
      <c r="H7" s="29">
        <f>SUM(H5:H6)*1.3</f>
        <v>11.6716154521356</v>
      </c>
      <c r="I7" s="29"/>
      <c r="J7" s="45"/>
      <c r="K7" s="46"/>
    </row>
    <row r="8" ht="45" customHeight="1" spans="1:11">
      <c r="A8" s="33" t="s">
        <v>61</v>
      </c>
      <c r="B8" s="34"/>
      <c r="C8" s="35"/>
      <c r="D8" s="35"/>
      <c r="E8" s="36"/>
      <c r="F8" s="37">
        <f>SUM(F7:J7)</f>
        <v>74.5169444214156</v>
      </c>
      <c r="G8" s="37"/>
      <c r="H8" s="37"/>
      <c r="I8" s="37"/>
      <c r="J8" s="37"/>
      <c r="K8" s="62"/>
    </row>
  </sheetData>
  <mergeCells count="13">
    <mergeCell ref="A1:J1"/>
    <mergeCell ref="F2:I2"/>
    <mergeCell ref="F3:G3"/>
    <mergeCell ref="H3:I3"/>
    <mergeCell ref="A7:B7"/>
    <mergeCell ref="A8:B8"/>
    <mergeCell ref="F8:J8"/>
    <mergeCell ref="A2:A4"/>
    <mergeCell ref="B2:B4"/>
    <mergeCell ref="C2:C4"/>
    <mergeCell ref="D2:D4"/>
    <mergeCell ref="E2:E4"/>
    <mergeCell ref="J2:J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zoomScale="85" zoomScaleNormal="85" workbookViewId="0">
      <selection activeCell="O7" sqref="O7"/>
    </sheetView>
  </sheetViews>
  <sheetFormatPr defaultColWidth="9" defaultRowHeight="13.5"/>
  <cols>
    <col min="1" max="1" width="7.875" customWidth="1"/>
    <col min="2" max="2" width="9.625" customWidth="1"/>
    <col min="3" max="3" width="16.75" customWidth="1"/>
    <col min="4" max="4" width="17.25" customWidth="1"/>
    <col min="5" max="5" width="15.775" customWidth="1"/>
    <col min="6" max="10" width="9.025" customWidth="1"/>
    <col min="11" max="11" width="10.125" customWidth="1"/>
    <col min="12" max="12" width="8.81666666666667" customWidth="1"/>
  </cols>
  <sheetData>
    <row r="1" ht="45" customHeight="1" spans="1:11">
      <c r="A1" s="6" t="s">
        <v>139</v>
      </c>
      <c r="B1" s="7"/>
      <c r="C1" s="7"/>
      <c r="D1" s="7"/>
      <c r="E1" s="7"/>
      <c r="F1" s="7"/>
      <c r="G1" s="7"/>
      <c r="H1" s="7"/>
      <c r="I1" s="7"/>
      <c r="J1" s="7"/>
      <c r="K1" s="38"/>
    </row>
    <row r="2" ht="45" customHeight="1" spans="1:11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/>
      <c r="G2" s="12"/>
      <c r="H2" s="12"/>
      <c r="I2" s="12"/>
      <c r="J2" s="12"/>
      <c r="K2" s="39" t="s">
        <v>6</v>
      </c>
    </row>
    <row r="3" ht="45" customHeight="1" spans="1:11">
      <c r="A3" s="13"/>
      <c r="B3" s="9"/>
      <c r="C3" s="9"/>
      <c r="D3" s="10"/>
      <c r="E3" s="11"/>
      <c r="F3" s="14" t="s">
        <v>7</v>
      </c>
      <c r="G3" s="14"/>
      <c r="H3" s="14"/>
      <c r="I3" s="40" t="s">
        <v>81</v>
      </c>
      <c r="J3" s="14"/>
      <c r="K3" s="41"/>
    </row>
    <row r="4" ht="45" customHeight="1" spans="1:11">
      <c r="A4" s="15"/>
      <c r="B4" s="9"/>
      <c r="C4" s="9"/>
      <c r="D4" s="16"/>
      <c r="E4" s="17"/>
      <c r="F4" s="18" t="s">
        <v>63</v>
      </c>
      <c r="G4" s="18" t="s">
        <v>12</v>
      </c>
      <c r="H4" s="18" t="s">
        <v>14</v>
      </c>
      <c r="I4" s="18" t="s">
        <v>13</v>
      </c>
      <c r="J4" s="18" t="s">
        <v>14</v>
      </c>
      <c r="K4" s="42"/>
    </row>
    <row r="5" ht="45" customHeight="1" spans="1:11">
      <c r="A5" s="19">
        <v>1</v>
      </c>
      <c r="B5" s="20" t="s">
        <v>136</v>
      </c>
      <c r="C5" s="20" t="s">
        <v>140</v>
      </c>
      <c r="D5" s="21" t="s">
        <v>21</v>
      </c>
      <c r="E5" s="22">
        <v>9770.9</v>
      </c>
      <c r="F5" s="23">
        <f>E5/100*15*0.145*0.2*0.8*0.8</f>
        <v>27.2021856</v>
      </c>
      <c r="G5" s="23">
        <f>F5*0.4</f>
        <v>10.88087424</v>
      </c>
      <c r="H5" s="22"/>
      <c r="I5" s="22"/>
      <c r="J5" s="22"/>
      <c r="K5" s="43"/>
    </row>
    <row r="6" ht="45" customHeight="1" spans="1:11">
      <c r="A6" s="24">
        <v>2</v>
      </c>
      <c r="B6" s="25"/>
      <c r="C6" s="25"/>
      <c r="D6" s="26" t="s">
        <v>141</v>
      </c>
      <c r="E6" s="27">
        <v>2872.93</v>
      </c>
      <c r="F6" s="28">
        <f>E6/100*15*0.855*0.2*0.88*0.82</f>
        <v>53.1751762872</v>
      </c>
      <c r="G6" s="28">
        <f>F6*0.4</f>
        <v>21.27007051488</v>
      </c>
      <c r="H6" s="29"/>
      <c r="I6" s="29"/>
      <c r="J6" s="29"/>
      <c r="K6" s="44"/>
    </row>
    <row r="7" ht="45" customHeight="1" spans="1:11">
      <c r="A7" s="24">
        <v>3</v>
      </c>
      <c r="B7" s="25"/>
      <c r="C7" s="25"/>
      <c r="D7" s="26" t="s">
        <v>142</v>
      </c>
      <c r="E7" s="27">
        <v>2937.59</v>
      </c>
      <c r="F7" s="28">
        <f>E7/100*15*0.855*0.2*0.88*0.82</f>
        <v>54.3719708136</v>
      </c>
      <c r="G7" s="28">
        <f>F7*0.4</f>
        <v>21.74878832544</v>
      </c>
      <c r="H7" s="29"/>
      <c r="I7" s="29"/>
      <c r="J7" s="29"/>
      <c r="K7" s="44"/>
    </row>
    <row r="8" ht="45" customHeight="1" spans="1:11">
      <c r="A8" s="24">
        <v>4</v>
      </c>
      <c r="B8" s="25"/>
      <c r="C8" s="25"/>
      <c r="D8" s="30" t="s">
        <v>143</v>
      </c>
      <c r="E8" s="31">
        <v>3960.38</v>
      </c>
      <c r="F8" s="28">
        <f>E8/100*5*0.855*0.2*0.88*0.82</f>
        <v>24.4342772784</v>
      </c>
      <c r="G8" s="28">
        <f>F8*0.4</f>
        <v>9.77371091136</v>
      </c>
      <c r="H8" s="31"/>
      <c r="I8" s="31"/>
      <c r="J8" s="31"/>
      <c r="K8" s="45"/>
    </row>
    <row r="9" ht="45" customHeight="1" spans="1:11">
      <c r="A9" s="24">
        <v>5</v>
      </c>
      <c r="B9" s="32"/>
      <c r="C9" s="32"/>
      <c r="D9" s="30" t="s">
        <v>59</v>
      </c>
      <c r="E9" s="31"/>
      <c r="F9" s="31"/>
      <c r="G9" s="31"/>
      <c r="H9" s="31"/>
      <c r="I9" s="31">
        <f>SUM(F5:K8)*0.15</f>
        <v>33.428558095632</v>
      </c>
      <c r="J9" s="31"/>
      <c r="K9" s="45"/>
    </row>
    <row r="10" ht="45" customHeight="1" spans="1:12">
      <c r="A10" s="24" t="s">
        <v>60</v>
      </c>
      <c r="B10" s="26"/>
      <c r="C10" s="26"/>
      <c r="D10" s="26"/>
      <c r="E10" s="29"/>
      <c r="F10" s="29">
        <f>SUM(F5:F9)</f>
        <v>159.1836099792</v>
      </c>
      <c r="G10" s="29">
        <f>SUM(G5:G9)</f>
        <v>63.67344399168</v>
      </c>
      <c r="H10" s="29"/>
      <c r="I10" s="29">
        <f>SUM(I5:I9)</f>
        <v>33.428558095632</v>
      </c>
      <c r="J10" s="29"/>
      <c r="K10" s="45"/>
      <c r="L10" s="46"/>
    </row>
    <row r="11" ht="45" customHeight="1" spans="1:12">
      <c r="A11" s="33" t="s">
        <v>61</v>
      </c>
      <c r="B11" s="34"/>
      <c r="C11" s="35"/>
      <c r="D11" s="35"/>
      <c r="E11" s="36"/>
      <c r="F11" s="37">
        <f>SUM(F10:K10)</f>
        <v>256.285612066512</v>
      </c>
      <c r="G11" s="37"/>
      <c r="H11" s="37"/>
      <c r="I11" s="37"/>
      <c r="J11" s="37"/>
      <c r="K11" s="47"/>
      <c r="L11" s="48"/>
    </row>
  </sheetData>
  <mergeCells count="15">
    <mergeCell ref="A1:K1"/>
    <mergeCell ref="F2:J2"/>
    <mergeCell ref="F3:H3"/>
    <mergeCell ref="I3:J3"/>
    <mergeCell ref="A10:B10"/>
    <mergeCell ref="A11:B11"/>
    <mergeCell ref="F11:K11"/>
    <mergeCell ref="A2:A4"/>
    <mergeCell ref="B2:B4"/>
    <mergeCell ref="B5:B9"/>
    <mergeCell ref="C2:C4"/>
    <mergeCell ref="C5:C9"/>
    <mergeCell ref="D2:D4"/>
    <mergeCell ref="E2:E4"/>
    <mergeCell ref="K2:K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J7" sqref="J7"/>
    </sheetView>
  </sheetViews>
  <sheetFormatPr defaultColWidth="9" defaultRowHeight="13.5" outlineLevelRow="3" outlineLevelCol="6"/>
  <cols>
    <col min="2" max="2" width="15.75" customWidth="1"/>
    <col min="5" max="5" width="36.75" customWidth="1"/>
  </cols>
  <sheetData>
    <row r="1" ht="31" customHeight="1" spans="1:7">
      <c r="A1" s="1" t="s">
        <v>144</v>
      </c>
      <c r="B1" s="2" t="s">
        <v>145</v>
      </c>
      <c r="C1" s="2" t="s">
        <v>2</v>
      </c>
      <c r="D1" s="2" t="s">
        <v>59</v>
      </c>
      <c r="E1" s="2" t="s">
        <v>146</v>
      </c>
      <c r="F1" s="2" t="s">
        <v>147</v>
      </c>
      <c r="G1" s="3" t="s">
        <v>80</v>
      </c>
    </row>
    <row r="2" ht="21" customHeight="1" spans="1:7">
      <c r="A2" s="2"/>
      <c r="B2" s="2"/>
      <c r="C2" s="2"/>
      <c r="D2" s="2"/>
      <c r="E2" s="2"/>
      <c r="F2" s="4"/>
      <c r="G2" s="4"/>
    </row>
    <row r="3" ht="72" customHeight="1" spans="1:7">
      <c r="A3" s="5">
        <v>1</v>
      </c>
      <c r="B3" s="5" t="s">
        <v>148</v>
      </c>
      <c r="C3" s="5"/>
      <c r="D3" s="5" t="s">
        <v>13</v>
      </c>
      <c r="E3" s="5" t="s">
        <v>149</v>
      </c>
      <c r="F3" s="5" t="s">
        <v>150</v>
      </c>
      <c r="G3" s="5"/>
    </row>
    <row r="4" ht="72" customHeight="1" spans="1:7">
      <c r="A4" s="5">
        <v>2</v>
      </c>
      <c r="B4" s="5" t="s">
        <v>151</v>
      </c>
      <c r="C4" s="5"/>
      <c r="D4" s="5" t="s">
        <v>13</v>
      </c>
      <c r="E4" s="5" t="s">
        <v>152</v>
      </c>
      <c r="F4" s="5"/>
      <c r="G4" s="5"/>
    </row>
  </sheetData>
  <mergeCells count="9">
    <mergeCell ref="A1:A2"/>
    <mergeCell ref="B1:B2"/>
    <mergeCell ref="C1:C2"/>
    <mergeCell ref="C3:C4"/>
    <mergeCell ref="D1:D2"/>
    <mergeCell ref="E1:E2"/>
    <mergeCell ref="F1:F2"/>
    <mergeCell ref="F3:F4"/>
    <mergeCell ref="G1:G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5"/>
  <sheetViews>
    <sheetView zoomScale="85" zoomScaleNormal="85" workbookViewId="0">
      <pane ySplit="4" topLeftCell="A40" activePane="bottomLeft" state="frozen"/>
      <selection/>
      <selection pane="bottomLeft" activeCell="E8" sqref="E8"/>
    </sheetView>
  </sheetViews>
  <sheetFormatPr defaultColWidth="9" defaultRowHeight="13.5"/>
  <cols>
    <col min="1" max="1" width="7.875" customWidth="1"/>
    <col min="2" max="2" width="9.625" customWidth="1"/>
    <col min="3" max="3" width="19.9916666666667" customWidth="1"/>
    <col min="4" max="4" width="15.15" customWidth="1"/>
    <col min="5" max="5" width="15.775" customWidth="1"/>
    <col min="6" max="13" width="9.025" customWidth="1"/>
    <col min="15" max="19" width="10.125" customWidth="1"/>
    <col min="20" max="20" width="8.08333333333333" customWidth="1"/>
  </cols>
  <sheetData>
    <row r="1" ht="45" customHeight="1" spans="1:19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38"/>
    </row>
    <row r="2" ht="45" customHeight="1" spans="1:19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/>
      <c r="G2" s="12"/>
      <c r="H2" s="12"/>
      <c r="I2" s="12"/>
      <c r="J2" s="12"/>
      <c r="K2" s="12"/>
      <c r="L2" s="12"/>
      <c r="M2" s="69"/>
      <c r="N2" s="69"/>
      <c r="O2" s="69"/>
      <c r="P2" s="69"/>
      <c r="Q2" s="69"/>
      <c r="R2" s="69"/>
      <c r="S2" s="39" t="s">
        <v>6</v>
      </c>
    </row>
    <row r="3" ht="45" customHeight="1" spans="1:19">
      <c r="A3" s="13"/>
      <c r="B3" s="9"/>
      <c r="C3" s="9"/>
      <c r="D3" s="10"/>
      <c r="E3" s="11"/>
      <c r="F3" s="14" t="s">
        <v>7</v>
      </c>
      <c r="G3" s="14"/>
      <c r="H3" s="14"/>
      <c r="I3" s="14"/>
      <c r="J3" s="14"/>
      <c r="K3" s="14"/>
      <c r="L3" s="14"/>
      <c r="M3" s="11" t="s">
        <v>8</v>
      </c>
      <c r="N3" s="11"/>
      <c r="O3" s="11"/>
      <c r="P3" s="11"/>
      <c r="Q3" s="40" t="s">
        <v>9</v>
      </c>
      <c r="R3" s="14"/>
      <c r="S3" s="41"/>
    </row>
    <row r="4" ht="45" customHeight="1" spans="1:19">
      <c r="A4" s="13"/>
      <c r="B4" s="121"/>
      <c r="C4" s="121"/>
      <c r="D4" s="10"/>
      <c r="E4" s="11"/>
      <c r="F4" s="122" t="s">
        <v>10</v>
      </c>
      <c r="G4" s="122" t="s">
        <v>62</v>
      </c>
      <c r="H4" s="122" t="s">
        <v>63</v>
      </c>
      <c r="I4" s="122" t="s">
        <v>64</v>
      </c>
      <c r="J4" s="122" t="s">
        <v>12</v>
      </c>
      <c r="K4" s="122" t="s">
        <v>13</v>
      </c>
      <c r="L4" s="122" t="s">
        <v>14</v>
      </c>
      <c r="M4" s="122" t="s">
        <v>15</v>
      </c>
      <c r="N4" s="122" t="s">
        <v>16</v>
      </c>
      <c r="O4" s="122" t="s">
        <v>17</v>
      </c>
      <c r="P4" s="122" t="s">
        <v>14</v>
      </c>
      <c r="Q4" s="122" t="s">
        <v>18</v>
      </c>
      <c r="R4" s="122" t="s">
        <v>14</v>
      </c>
      <c r="S4" s="41"/>
    </row>
    <row r="5" ht="45" customHeight="1" spans="1:19">
      <c r="A5" s="59">
        <f>1</f>
        <v>1</v>
      </c>
      <c r="B5" s="90" t="s">
        <v>19</v>
      </c>
      <c r="C5" s="91" t="s">
        <v>65</v>
      </c>
      <c r="D5" s="123" t="s">
        <v>21</v>
      </c>
      <c r="E5" s="124">
        <v>2220.71</v>
      </c>
      <c r="F5" s="29"/>
      <c r="G5" s="29">
        <f>E5/100*5*0.15*0.6*0.82</f>
        <v>8.1944199</v>
      </c>
      <c r="H5" s="29">
        <f>E5/100*5*0.15*0.6*0.08</f>
        <v>0.7994556</v>
      </c>
      <c r="I5" s="29"/>
      <c r="J5" s="29"/>
      <c r="K5" s="29">
        <f t="shared" ref="K5:K18" si="0">E5/100*5*0.15*0.6*0.08</f>
        <v>0.7994556</v>
      </c>
      <c r="L5" s="29"/>
      <c r="M5" s="29">
        <f>E5/100*5*0.15*0.27*0.82</f>
        <v>3.687488955</v>
      </c>
      <c r="N5" s="29">
        <f>E5/100*5*0.15*0.27*0.08</f>
        <v>0.35975502</v>
      </c>
      <c r="O5" s="29">
        <f t="shared" ref="O5:O18" si="1">E5/100*5*0.15*0.27*0.08</f>
        <v>0.35975502</v>
      </c>
      <c r="P5" s="29"/>
      <c r="Q5" s="29">
        <f t="shared" ref="Q5:Q18" si="2">E5/100*5*0.15*0.13*0.82</f>
        <v>1.775457645</v>
      </c>
      <c r="R5" s="29"/>
      <c r="S5" s="120"/>
    </row>
    <row r="6" ht="45" customHeight="1" spans="1:19">
      <c r="A6" s="59">
        <f t="shared" ref="A6:A13" si="3">A5+1</f>
        <v>2</v>
      </c>
      <c r="B6" s="25"/>
      <c r="C6" s="90" t="s">
        <v>66</v>
      </c>
      <c r="D6" s="123" t="s">
        <v>21</v>
      </c>
      <c r="E6" s="124">
        <v>6321.86</v>
      </c>
      <c r="F6" s="29">
        <f>E6/100*5*0.15*0.6*0.08</f>
        <v>2.2758696</v>
      </c>
      <c r="G6" s="29"/>
      <c r="H6" s="29"/>
      <c r="I6" s="29"/>
      <c r="J6" s="29">
        <f>E6/100*5*0.15*0.6*0.82</f>
        <v>23.3276634</v>
      </c>
      <c r="K6" s="29">
        <f t="shared" si="0"/>
        <v>2.2758696</v>
      </c>
      <c r="L6" s="29"/>
      <c r="M6" s="29">
        <f>E6/100*5*0.15*0.27*0.82</f>
        <v>10.49744853</v>
      </c>
      <c r="N6" s="29">
        <f>E6/100*5*0.15*0.27*0.08</f>
        <v>1.02414132</v>
      </c>
      <c r="O6" s="29">
        <f t="shared" si="1"/>
        <v>1.02414132</v>
      </c>
      <c r="P6" s="29"/>
      <c r="Q6" s="29">
        <f t="shared" si="2"/>
        <v>5.05432707</v>
      </c>
      <c r="R6" s="29"/>
      <c r="S6" s="89"/>
    </row>
    <row r="7" ht="45" customHeight="1" spans="1:19">
      <c r="A7" s="59">
        <f t="shared" si="3"/>
        <v>3</v>
      </c>
      <c r="B7" s="25"/>
      <c r="C7" s="91" t="s">
        <v>67</v>
      </c>
      <c r="D7" s="123" t="s">
        <v>21</v>
      </c>
      <c r="E7" s="124">
        <v>3796.12</v>
      </c>
      <c r="F7" s="29"/>
      <c r="G7" s="29">
        <f>E7/100*5*0.15*0.6*0.08</f>
        <v>1.3666032</v>
      </c>
      <c r="H7" s="29">
        <f>E7/100*5*0.15*0.6*0.82</f>
        <v>14.0076828</v>
      </c>
      <c r="I7" s="29"/>
      <c r="J7" s="29"/>
      <c r="K7" s="29">
        <f t="shared" si="0"/>
        <v>1.3666032</v>
      </c>
      <c r="L7" s="29"/>
      <c r="M7" s="29">
        <f>E7/100*5*0.15*0.27*0.08</f>
        <v>0.61497144</v>
      </c>
      <c r="N7" s="29">
        <f>E7/100*5*0.15*0.27*0.82</f>
        <v>6.30345726</v>
      </c>
      <c r="O7" s="29">
        <f t="shared" si="1"/>
        <v>0.61497144</v>
      </c>
      <c r="P7" s="29"/>
      <c r="Q7" s="29">
        <f t="shared" si="2"/>
        <v>3.03499794</v>
      </c>
      <c r="R7" s="29"/>
      <c r="S7" s="89"/>
    </row>
    <row r="8" ht="45" customHeight="1" spans="1:19">
      <c r="A8" s="59">
        <f t="shared" si="3"/>
        <v>4</v>
      </c>
      <c r="B8" s="25"/>
      <c r="C8" s="91" t="s">
        <v>68</v>
      </c>
      <c r="D8" s="123" t="s">
        <v>21</v>
      </c>
      <c r="E8" s="124">
        <v>5078.66</v>
      </c>
      <c r="F8" s="29">
        <f>E8/100*5*0.15*0.6*0.08</f>
        <v>1.8283176</v>
      </c>
      <c r="G8" s="29"/>
      <c r="H8" s="29"/>
      <c r="I8" s="29"/>
      <c r="J8" s="29">
        <f>E8/100*5*0.15*0.6*0.82</f>
        <v>18.7402554</v>
      </c>
      <c r="K8" s="29">
        <f t="shared" si="0"/>
        <v>1.8283176</v>
      </c>
      <c r="L8" s="125"/>
      <c r="M8" s="29">
        <f>E8/100*5*0.15*0.27*0.08</f>
        <v>0.82274292</v>
      </c>
      <c r="N8" s="29">
        <f>E8/100*5*0.15*0.27*0.82</f>
        <v>8.43311493</v>
      </c>
      <c r="O8" s="29">
        <f t="shared" si="1"/>
        <v>0.82274292</v>
      </c>
      <c r="P8" s="125"/>
      <c r="Q8" s="29">
        <f t="shared" si="2"/>
        <v>4.06038867</v>
      </c>
      <c r="R8" s="29"/>
      <c r="S8" s="89"/>
    </row>
    <row r="9" ht="45" customHeight="1" spans="1:19">
      <c r="A9" s="59">
        <f t="shared" si="3"/>
        <v>5</v>
      </c>
      <c r="B9" s="25"/>
      <c r="C9" s="91" t="s">
        <v>69</v>
      </c>
      <c r="D9" s="123" t="s">
        <v>21</v>
      </c>
      <c r="E9" s="124">
        <v>1053.66</v>
      </c>
      <c r="F9" s="29"/>
      <c r="G9" s="29">
        <f>E9/100*5*0.15*0.6*0.08</f>
        <v>0.3793176</v>
      </c>
      <c r="H9" s="29"/>
      <c r="I9" s="29">
        <f>E9/100*5*0.15*0.6*0.82</f>
        <v>3.8880054</v>
      </c>
      <c r="J9" s="29"/>
      <c r="K9" s="29">
        <f t="shared" si="0"/>
        <v>0.3793176</v>
      </c>
      <c r="L9" s="125"/>
      <c r="M9" s="29">
        <f>E9/100*5*0.15*0.27*0.82</f>
        <v>1.74960243</v>
      </c>
      <c r="N9" s="29">
        <f>E9/100*5*0.15*0.27*0.08</f>
        <v>0.17069292</v>
      </c>
      <c r="O9" s="29">
        <f t="shared" si="1"/>
        <v>0.17069292</v>
      </c>
      <c r="P9" s="125"/>
      <c r="Q9" s="29">
        <f t="shared" si="2"/>
        <v>0.84240117</v>
      </c>
      <c r="R9" s="29"/>
      <c r="S9" s="89"/>
    </row>
    <row r="10" ht="45" customHeight="1" spans="1:19">
      <c r="A10" s="59">
        <f t="shared" si="3"/>
        <v>6</v>
      </c>
      <c r="B10" s="25"/>
      <c r="C10" s="91" t="s">
        <v>70</v>
      </c>
      <c r="D10" s="123" t="s">
        <v>21</v>
      </c>
      <c r="E10" s="124">
        <v>2674.68</v>
      </c>
      <c r="F10" s="29"/>
      <c r="G10" s="29">
        <f>E10/100*5*0.15*0.6*0.08</f>
        <v>0.9628848</v>
      </c>
      <c r="H10" s="29"/>
      <c r="I10" s="29">
        <f>E10/100*5*0.15*0.6*0.82</f>
        <v>9.8695692</v>
      </c>
      <c r="J10" s="29"/>
      <c r="K10" s="29">
        <f t="shared" si="0"/>
        <v>0.9628848</v>
      </c>
      <c r="L10" s="125"/>
      <c r="M10" s="29">
        <f>E10/100*5*0.15*0.27*0.08</f>
        <v>0.43329816</v>
      </c>
      <c r="N10" s="29">
        <f>E10/100*5*0.15*0.27*0.82</f>
        <v>4.44130614</v>
      </c>
      <c r="O10" s="29">
        <f t="shared" si="1"/>
        <v>0.43329816</v>
      </c>
      <c r="P10" s="125"/>
      <c r="Q10" s="29">
        <f t="shared" si="2"/>
        <v>2.13840666</v>
      </c>
      <c r="R10" s="29"/>
      <c r="S10" s="89"/>
    </row>
    <row r="11" ht="45" customHeight="1" spans="1:19">
      <c r="A11" s="59">
        <f t="shared" si="3"/>
        <v>7</v>
      </c>
      <c r="B11" s="25"/>
      <c r="C11" s="91" t="s">
        <v>71</v>
      </c>
      <c r="D11" s="123" t="s">
        <v>21</v>
      </c>
      <c r="E11" s="124">
        <v>1099.27</v>
      </c>
      <c r="F11" s="29">
        <f>E11/100*5*0.15*0.6*0.82</f>
        <v>4.0563063</v>
      </c>
      <c r="G11" s="125"/>
      <c r="H11" s="126"/>
      <c r="I11" s="126"/>
      <c r="J11" s="29">
        <f>E11/100*5*0.15*0.6*0.08</f>
        <v>0.3957372</v>
      </c>
      <c r="K11" s="29">
        <f t="shared" si="0"/>
        <v>0.3957372</v>
      </c>
      <c r="L11" s="125"/>
      <c r="M11" s="29">
        <f>E11/100*5*0.15*0.27*0.08</f>
        <v>0.17808174</v>
      </c>
      <c r="N11" s="29">
        <f>E11/100*5*0.15*0.27*0.82</f>
        <v>1.825337835</v>
      </c>
      <c r="O11" s="29">
        <f t="shared" si="1"/>
        <v>0.17808174</v>
      </c>
      <c r="P11" s="125"/>
      <c r="Q11" s="29">
        <f t="shared" si="2"/>
        <v>0.878866365</v>
      </c>
      <c r="R11" s="29"/>
      <c r="S11" s="89"/>
    </row>
    <row r="12" ht="45" customHeight="1" spans="1:19">
      <c r="A12" s="59">
        <f t="shared" si="3"/>
        <v>8</v>
      </c>
      <c r="B12" s="25"/>
      <c r="C12" s="91" t="s">
        <v>72</v>
      </c>
      <c r="D12" s="123" t="s">
        <v>21</v>
      </c>
      <c r="E12" s="124">
        <v>1099.27</v>
      </c>
      <c r="F12" s="29">
        <f>E12/100*5*0.15*0.6*0.82</f>
        <v>4.0563063</v>
      </c>
      <c r="G12" s="125"/>
      <c r="H12" s="126"/>
      <c r="I12" s="126"/>
      <c r="J12" s="29">
        <f>E12/100*5*0.15*0.6*0.08</f>
        <v>0.3957372</v>
      </c>
      <c r="K12" s="29">
        <f t="shared" si="0"/>
        <v>0.3957372</v>
      </c>
      <c r="L12" s="125"/>
      <c r="M12" s="29">
        <f>E12/100*5*0.15*0.27*0.08</f>
        <v>0.17808174</v>
      </c>
      <c r="N12" s="29">
        <f>E12/100*5*0.15*0.27*0.82</f>
        <v>1.825337835</v>
      </c>
      <c r="O12" s="29">
        <f t="shared" si="1"/>
        <v>0.17808174</v>
      </c>
      <c r="P12" s="125"/>
      <c r="Q12" s="29">
        <f t="shared" si="2"/>
        <v>0.878866365</v>
      </c>
      <c r="R12" s="29"/>
      <c r="S12" s="89"/>
    </row>
    <row r="13" ht="45" customHeight="1" spans="1:19">
      <c r="A13" s="59">
        <f t="shared" si="3"/>
        <v>9</v>
      </c>
      <c r="B13" s="25"/>
      <c r="C13" s="91" t="s">
        <v>73</v>
      </c>
      <c r="D13" s="123" t="s">
        <v>21</v>
      </c>
      <c r="E13" s="124">
        <v>5078.66</v>
      </c>
      <c r="F13" s="29">
        <f>E13/100*5*0.15*0.6*0.82</f>
        <v>18.7402554</v>
      </c>
      <c r="G13" s="125"/>
      <c r="H13" s="126"/>
      <c r="I13" s="126"/>
      <c r="J13" s="29">
        <f>E13/100*5*0.15*0.6*0.08</f>
        <v>1.8283176</v>
      </c>
      <c r="K13" s="29">
        <f t="shared" si="0"/>
        <v>1.8283176</v>
      </c>
      <c r="L13" s="125"/>
      <c r="M13" s="29">
        <f>E13/100*5*0.15*0.27*0.82</f>
        <v>8.43311493</v>
      </c>
      <c r="N13" s="29">
        <f>E13/100*5*0.15*0.27*0.08</f>
        <v>0.82274292</v>
      </c>
      <c r="O13" s="29">
        <f t="shared" si="1"/>
        <v>0.82274292</v>
      </c>
      <c r="P13" s="125"/>
      <c r="Q13" s="29">
        <f t="shared" si="2"/>
        <v>4.06038867</v>
      </c>
      <c r="R13" s="29"/>
      <c r="S13" s="89"/>
    </row>
    <row r="14" ht="45" customHeight="1" spans="1:19">
      <c r="A14" s="59"/>
      <c r="B14" s="25"/>
      <c r="C14" s="91" t="s">
        <v>74</v>
      </c>
      <c r="D14" s="123" t="s">
        <v>21</v>
      </c>
      <c r="E14" s="124">
        <v>2200</v>
      </c>
      <c r="F14" s="29">
        <f>E14/100*5*0.15*0.6*0.82</f>
        <v>8.118</v>
      </c>
      <c r="G14" s="125"/>
      <c r="H14" s="126"/>
      <c r="I14" s="126"/>
      <c r="J14" s="29">
        <f>E14/100*5*0.15*0.6*0.08</f>
        <v>0.792</v>
      </c>
      <c r="K14" s="29">
        <f t="shared" si="0"/>
        <v>0.792</v>
      </c>
      <c r="L14" s="125"/>
      <c r="M14" s="29">
        <f>E14/100*5*0.15*0.27*0.82</f>
        <v>3.6531</v>
      </c>
      <c r="N14" s="29">
        <f>E14/100*5*0.15*0.27*0.08</f>
        <v>0.3564</v>
      </c>
      <c r="O14" s="29">
        <f t="shared" si="1"/>
        <v>0.3564</v>
      </c>
      <c r="P14" s="125"/>
      <c r="Q14" s="29">
        <f t="shared" si="2"/>
        <v>1.7589</v>
      </c>
      <c r="R14" s="29"/>
      <c r="S14" s="89"/>
    </row>
    <row r="15" ht="45" customHeight="1" spans="1:19">
      <c r="A15" s="59">
        <f>A13+1</f>
        <v>10</v>
      </c>
      <c r="B15" s="25"/>
      <c r="C15" s="91" t="s">
        <v>75</v>
      </c>
      <c r="D15" s="123" t="s">
        <v>21</v>
      </c>
      <c r="E15" s="124">
        <v>5498.02</v>
      </c>
      <c r="F15" s="29">
        <f>E15/100*5*0.15*0.6*0.08</f>
        <v>1.9792872</v>
      </c>
      <c r="G15" s="125"/>
      <c r="H15" s="126"/>
      <c r="I15" s="126"/>
      <c r="J15" s="29">
        <f>E15/100*5*0.15*0.6*0.82</f>
        <v>20.2876938</v>
      </c>
      <c r="K15" s="29">
        <f t="shared" si="0"/>
        <v>1.9792872</v>
      </c>
      <c r="L15" s="125"/>
      <c r="M15" s="29">
        <f>E15/100*5*0.15*0.27*0.08</f>
        <v>0.89067924</v>
      </c>
      <c r="N15" s="29">
        <f>E15/100*5*0.15*0.27*0.82</f>
        <v>9.12946221</v>
      </c>
      <c r="O15" s="29">
        <f t="shared" si="1"/>
        <v>0.89067924</v>
      </c>
      <c r="P15" s="125"/>
      <c r="Q15" s="29">
        <f t="shared" si="2"/>
        <v>4.39566699</v>
      </c>
      <c r="R15" s="29"/>
      <c r="S15" s="89"/>
    </row>
    <row r="16" ht="45" customHeight="1" spans="1:19">
      <c r="A16" s="59">
        <f>A15+1</f>
        <v>11</v>
      </c>
      <c r="B16" s="25"/>
      <c r="C16" s="91" t="s">
        <v>76</v>
      </c>
      <c r="D16" s="123" t="s">
        <v>21</v>
      </c>
      <c r="E16" s="124">
        <v>5498.02</v>
      </c>
      <c r="F16" s="29">
        <f>E16/100*5*0.15*0.6*0.08</f>
        <v>1.9792872</v>
      </c>
      <c r="G16" s="29">
        <f>E16/100*5*0.15*0.6*0.82</f>
        <v>20.2876938</v>
      </c>
      <c r="H16" s="125"/>
      <c r="I16" s="125"/>
      <c r="J16" s="125"/>
      <c r="K16" s="29">
        <f t="shared" si="0"/>
        <v>1.9792872</v>
      </c>
      <c r="L16" s="125"/>
      <c r="M16" s="29">
        <f>E16/100*5*0.15*0.27*0.08</f>
        <v>0.89067924</v>
      </c>
      <c r="N16" s="29">
        <f>E16/100*5*0.15*0.27*0.82</f>
        <v>9.12946221</v>
      </c>
      <c r="O16" s="29">
        <f t="shared" si="1"/>
        <v>0.89067924</v>
      </c>
      <c r="P16" s="125"/>
      <c r="Q16" s="29">
        <f t="shared" si="2"/>
        <v>4.39566699</v>
      </c>
      <c r="R16" s="29"/>
      <c r="S16" s="89"/>
    </row>
    <row r="17" ht="45" customHeight="1" spans="1:19">
      <c r="A17" s="59">
        <f>A16+1</f>
        <v>12</v>
      </c>
      <c r="B17" s="25"/>
      <c r="C17" s="91" t="s">
        <v>77</v>
      </c>
      <c r="D17" s="123" t="s">
        <v>21</v>
      </c>
      <c r="E17" s="124">
        <v>5498.02</v>
      </c>
      <c r="F17" s="29">
        <f>E17/100*5*0.15*0.6*0.82</f>
        <v>20.2876938</v>
      </c>
      <c r="G17" s="125"/>
      <c r="H17" s="126"/>
      <c r="I17" s="126"/>
      <c r="J17" s="29">
        <f>E17/100*5*0.15*0.6*0.08</f>
        <v>1.9792872</v>
      </c>
      <c r="K17" s="29">
        <f t="shared" si="0"/>
        <v>1.9792872</v>
      </c>
      <c r="L17" s="125"/>
      <c r="M17" s="29">
        <f>E17/100*5*0.15*0.27*0.82</f>
        <v>9.12946221</v>
      </c>
      <c r="N17" s="29">
        <f>E17/100*5*0.15*0.27*0.08</f>
        <v>0.89067924</v>
      </c>
      <c r="O17" s="29">
        <f t="shared" si="1"/>
        <v>0.89067924</v>
      </c>
      <c r="P17" s="125"/>
      <c r="Q17" s="29">
        <f t="shared" si="2"/>
        <v>4.39566699</v>
      </c>
      <c r="R17" s="29"/>
      <c r="S17" s="89"/>
    </row>
    <row r="18" ht="45" customHeight="1" spans="1:19">
      <c r="A18" s="59">
        <f>A17+1</f>
        <v>13</v>
      </c>
      <c r="B18" s="25"/>
      <c r="C18" s="91" t="s">
        <v>78</v>
      </c>
      <c r="D18" s="123" t="s">
        <v>21</v>
      </c>
      <c r="E18" s="124">
        <v>5497.98</v>
      </c>
      <c r="F18" s="29">
        <f>E18/100*5*0.15*0.6*0.82</f>
        <v>20.2875462</v>
      </c>
      <c r="G18" s="125"/>
      <c r="H18" s="126"/>
      <c r="I18" s="126"/>
      <c r="J18" s="29">
        <f>E18/100*5*0.15*0.6*0.08</f>
        <v>1.9792728</v>
      </c>
      <c r="K18" s="29">
        <f t="shared" si="0"/>
        <v>1.9792728</v>
      </c>
      <c r="L18" s="125"/>
      <c r="M18" s="29">
        <f>E18/100*5*0.15*0.27*0.82</f>
        <v>9.12939579</v>
      </c>
      <c r="N18" s="29">
        <f>E18/100*5*0.15*0.27*0.08</f>
        <v>0.89067276</v>
      </c>
      <c r="O18" s="29">
        <f t="shared" si="1"/>
        <v>0.89067276</v>
      </c>
      <c r="P18" s="125"/>
      <c r="Q18" s="29">
        <f t="shared" si="2"/>
        <v>4.39563501</v>
      </c>
      <c r="R18" s="29"/>
      <c r="S18" s="89"/>
    </row>
    <row r="19" ht="45" customHeight="1" spans="1:19">
      <c r="A19" s="59">
        <v>14</v>
      </c>
      <c r="B19" s="25"/>
      <c r="C19" s="91" t="s">
        <v>34</v>
      </c>
      <c r="D19" s="123" t="s">
        <v>35</v>
      </c>
      <c r="E19" s="127">
        <v>353.49</v>
      </c>
      <c r="F19" s="125"/>
      <c r="G19" s="125"/>
      <c r="H19" s="125"/>
      <c r="I19" s="125"/>
      <c r="J19" s="125"/>
      <c r="K19" s="125">
        <f t="shared" ref="K19:K42" si="4">E19/100*5*0.2*0.4*0.82*0.25</f>
        <v>0.2898618</v>
      </c>
      <c r="L19" s="125"/>
      <c r="M19" s="125"/>
      <c r="N19" s="125"/>
      <c r="O19" s="125"/>
      <c r="P19" s="125"/>
      <c r="Q19" s="27"/>
      <c r="R19" s="29"/>
      <c r="S19" s="89"/>
    </row>
    <row r="20" ht="45" customHeight="1" spans="1:19">
      <c r="A20" s="59">
        <v>15</v>
      </c>
      <c r="B20" s="25"/>
      <c r="C20" s="91" t="s">
        <v>36</v>
      </c>
      <c r="D20" s="123" t="s">
        <v>35</v>
      </c>
      <c r="E20" s="127">
        <v>466.57</v>
      </c>
      <c r="F20" s="125"/>
      <c r="G20" s="125"/>
      <c r="H20" s="125"/>
      <c r="I20" s="125"/>
      <c r="J20" s="125"/>
      <c r="K20" s="125">
        <f t="shared" si="4"/>
        <v>0.3825874</v>
      </c>
      <c r="L20" s="125"/>
      <c r="M20" s="125"/>
      <c r="N20" s="125"/>
      <c r="O20" s="125"/>
      <c r="P20" s="125"/>
      <c r="Q20" s="27"/>
      <c r="R20" s="29"/>
      <c r="S20" s="89"/>
    </row>
    <row r="21" ht="45" customHeight="1" spans="1:19">
      <c r="A21" s="59">
        <v>16</v>
      </c>
      <c r="B21" s="25"/>
      <c r="C21" s="91" t="s">
        <v>37</v>
      </c>
      <c r="D21" s="123" t="s">
        <v>35</v>
      </c>
      <c r="E21" s="127">
        <v>565.97</v>
      </c>
      <c r="F21" s="125"/>
      <c r="G21" s="125"/>
      <c r="H21" s="125"/>
      <c r="I21" s="125"/>
      <c r="J21" s="125"/>
      <c r="K21" s="125">
        <f t="shared" si="4"/>
        <v>0.4640954</v>
      </c>
      <c r="L21" s="125"/>
      <c r="M21" s="125"/>
      <c r="N21" s="125"/>
      <c r="O21" s="125"/>
      <c r="P21" s="125"/>
      <c r="Q21" s="27"/>
      <c r="R21" s="29"/>
      <c r="S21" s="89"/>
    </row>
    <row r="22" ht="45" customHeight="1" spans="1:19">
      <c r="A22" s="59">
        <v>17</v>
      </c>
      <c r="B22" s="25"/>
      <c r="C22" s="91" t="s">
        <v>38</v>
      </c>
      <c r="D22" s="123" t="s">
        <v>35</v>
      </c>
      <c r="E22" s="127">
        <v>666.44</v>
      </c>
      <c r="F22" s="125"/>
      <c r="G22" s="125"/>
      <c r="H22" s="125"/>
      <c r="I22" s="125"/>
      <c r="J22" s="125"/>
      <c r="K22" s="125">
        <f t="shared" si="4"/>
        <v>0.5464808</v>
      </c>
      <c r="L22" s="125"/>
      <c r="M22" s="125"/>
      <c r="N22" s="125"/>
      <c r="O22" s="125"/>
      <c r="P22" s="125"/>
      <c r="Q22" s="27"/>
      <c r="R22" s="29"/>
      <c r="S22" s="89"/>
    </row>
    <row r="23" ht="45" customHeight="1" spans="1:19">
      <c r="A23" s="59">
        <v>18</v>
      </c>
      <c r="B23" s="25"/>
      <c r="C23" s="91" t="s">
        <v>39</v>
      </c>
      <c r="D23" s="123" t="s">
        <v>35</v>
      </c>
      <c r="E23" s="127">
        <v>134.2</v>
      </c>
      <c r="F23" s="125"/>
      <c r="G23" s="125"/>
      <c r="H23" s="125"/>
      <c r="I23" s="125"/>
      <c r="J23" s="125"/>
      <c r="K23" s="125">
        <f t="shared" si="4"/>
        <v>0.110044</v>
      </c>
      <c r="L23" s="125"/>
      <c r="M23" s="125"/>
      <c r="N23" s="125"/>
      <c r="O23" s="125"/>
      <c r="P23" s="125"/>
      <c r="Q23" s="27"/>
      <c r="R23" s="29"/>
      <c r="S23" s="89"/>
    </row>
    <row r="24" ht="45" customHeight="1" spans="1:19">
      <c r="A24" s="59">
        <v>19</v>
      </c>
      <c r="B24" s="25"/>
      <c r="C24" s="91" t="s">
        <v>40</v>
      </c>
      <c r="D24" s="123" t="s">
        <v>35</v>
      </c>
      <c r="E24" s="127">
        <v>45.61</v>
      </c>
      <c r="F24" s="125"/>
      <c r="G24" s="125"/>
      <c r="H24" s="125"/>
      <c r="I24" s="125"/>
      <c r="J24" s="125"/>
      <c r="K24" s="125">
        <f t="shared" si="4"/>
        <v>0.0374002</v>
      </c>
      <c r="L24" s="125"/>
      <c r="M24" s="125"/>
      <c r="N24" s="125"/>
      <c r="O24" s="125"/>
      <c r="P24" s="125"/>
      <c r="Q24" s="27"/>
      <c r="R24" s="29"/>
      <c r="S24" s="89"/>
    </row>
    <row r="25" ht="45" customHeight="1" spans="1:19">
      <c r="A25" s="59">
        <v>20</v>
      </c>
      <c r="B25" s="25"/>
      <c r="C25" s="91" t="s">
        <v>41</v>
      </c>
      <c r="D25" s="123" t="s">
        <v>35</v>
      </c>
      <c r="E25" s="127">
        <v>1126.98</v>
      </c>
      <c r="F25" s="125"/>
      <c r="G25" s="125"/>
      <c r="H25" s="125"/>
      <c r="I25" s="125"/>
      <c r="J25" s="125"/>
      <c r="K25" s="125">
        <f t="shared" si="4"/>
        <v>0.9241236</v>
      </c>
      <c r="L25" s="125"/>
      <c r="M25" s="125"/>
      <c r="N25" s="125"/>
      <c r="O25" s="125"/>
      <c r="P25" s="125"/>
      <c r="Q25" s="27"/>
      <c r="R25" s="29"/>
      <c r="S25" s="89"/>
    </row>
    <row r="26" ht="45" customHeight="1" spans="1:19">
      <c r="A26" s="59">
        <v>21</v>
      </c>
      <c r="B26" s="25"/>
      <c r="C26" s="91" t="s">
        <v>42</v>
      </c>
      <c r="D26" s="123" t="s">
        <v>35</v>
      </c>
      <c r="E26" s="127">
        <v>1438.2</v>
      </c>
      <c r="F26" s="125"/>
      <c r="G26" s="125"/>
      <c r="H26" s="125"/>
      <c r="I26" s="125"/>
      <c r="J26" s="125"/>
      <c r="K26" s="125">
        <f t="shared" si="4"/>
        <v>1.179324</v>
      </c>
      <c r="L26" s="125"/>
      <c r="M26" s="125"/>
      <c r="N26" s="125"/>
      <c r="O26" s="125"/>
      <c r="P26" s="125"/>
      <c r="Q26" s="27"/>
      <c r="R26" s="29"/>
      <c r="S26" s="89"/>
    </row>
    <row r="27" ht="45" customHeight="1" spans="1:19">
      <c r="A27" s="59">
        <v>22</v>
      </c>
      <c r="B27" s="25"/>
      <c r="C27" s="91" t="s">
        <v>43</v>
      </c>
      <c r="D27" s="123" t="s">
        <v>35</v>
      </c>
      <c r="E27" s="127">
        <v>287.76</v>
      </c>
      <c r="F27" s="125"/>
      <c r="G27" s="125"/>
      <c r="H27" s="125"/>
      <c r="I27" s="125"/>
      <c r="J27" s="125"/>
      <c r="K27" s="125">
        <f t="shared" si="4"/>
        <v>0.2359632</v>
      </c>
      <c r="L27" s="125"/>
      <c r="M27" s="125"/>
      <c r="N27" s="125"/>
      <c r="O27" s="125"/>
      <c r="P27" s="125"/>
      <c r="Q27" s="27"/>
      <c r="R27" s="29"/>
      <c r="S27" s="89"/>
    </row>
    <row r="28" ht="45" customHeight="1" spans="1:19">
      <c r="A28" s="59">
        <v>23</v>
      </c>
      <c r="B28" s="25"/>
      <c r="C28" s="91" t="s">
        <v>44</v>
      </c>
      <c r="D28" s="123" t="s">
        <v>35</v>
      </c>
      <c r="E28" s="127">
        <v>1088.16</v>
      </c>
      <c r="F28" s="125"/>
      <c r="G28" s="125"/>
      <c r="H28" s="125"/>
      <c r="I28" s="125"/>
      <c r="J28" s="125"/>
      <c r="K28" s="125">
        <f t="shared" si="4"/>
        <v>0.8922912</v>
      </c>
      <c r="L28" s="125"/>
      <c r="M28" s="125"/>
      <c r="N28" s="125"/>
      <c r="O28" s="125"/>
      <c r="P28" s="125"/>
      <c r="Q28" s="27"/>
      <c r="R28" s="29"/>
      <c r="S28" s="89"/>
    </row>
    <row r="29" ht="45" customHeight="1" spans="1:19">
      <c r="A29" s="59">
        <v>24</v>
      </c>
      <c r="B29" s="25"/>
      <c r="C29" s="91" t="s">
        <v>45</v>
      </c>
      <c r="D29" s="123" t="s">
        <v>35</v>
      </c>
      <c r="E29" s="127">
        <v>33.28</v>
      </c>
      <c r="F29" s="125"/>
      <c r="G29" s="125"/>
      <c r="H29" s="125"/>
      <c r="I29" s="125"/>
      <c r="J29" s="125"/>
      <c r="K29" s="125">
        <f t="shared" si="4"/>
        <v>0.0272896</v>
      </c>
      <c r="L29" s="125"/>
      <c r="M29" s="125"/>
      <c r="N29" s="125"/>
      <c r="O29" s="125"/>
      <c r="P29" s="125"/>
      <c r="Q29" s="27"/>
      <c r="R29" s="29"/>
      <c r="S29" s="89"/>
    </row>
    <row r="30" ht="45" customHeight="1" spans="1:19">
      <c r="A30" s="59">
        <v>25</v>
      </c>
      <c r="B30" s="25"/>
      <c r="C30" s="91" t="s">
        <v>46</v>
      </c>
      <c r="D30" s="123" t="s">
        <v>35</v>
      </c>
      <c r="E30" s="127">
        <v>1070.3</v>
      </c>
      <c r="F30" s="125"/>
      <c r="G30" s="125"/>
      <c r="H30" s="125"/>
      <c r="I30" s="125"/>
      <c r="J30" s="125"/>
      <c r="K30" s="125">
        <f t="shared" si="4"/>
        <v>0.877646</v>
      </c>
      <c r="L30" s="125"/>
      <c r="M30" s="125"/>
      <c r="N30" s="125"/>
      <c r="O30" s="125"/>
      <c r="P30" s="125"/>
      <c r="Q30" s="27"/>
      <c r="R30" s="29"/>
      <c r="S30" s="89"/>
    </row>
    <row r="31" ht="45" customHeight="1" spans="1:19">
      <c r="A31" s="59">
        <v>26</v>
      </c>
      <c r="B31" s="25"/>
      <c r="C31" s="91" t="s">
        <v>47</v>
      </c>
      <c r="D31" s="123" t="s">
        <v>35</v>
      </c>
      <c r="E31" s="127">
        <v>292.02</v>
      </c>
      <c r="F31" s="125"/>
      <c r="G31" s="125"/>
      <c r="H31" s="125"/>
      <c r="I31" s="125"/>
      <c r="J31" s="125"/>
      <c r="K31" s="125">
        <f t="shared" si="4"/>
        <v>0.2394564</v>
      </c>
      <c r="L31" s="125"/>
      <c r="M31" s="125"/>
      <c r="N31" s="125"/>
      <c r="O31" s="125"/>
      <c r="P31" s="125"/>
      <c r="Q31" s="27"/>
      <c r="R31" s="29"/>
      <c r="S31" s="89"/>
    </row>
    <row r="32" ht="45" customHeight="1" spans="1:19">
      <c r="A32" s="59">
        <v>27</v>
      </c>
      <c r="B32" s="25"/>
      <c r="C32" s="91" t="s">
        <v>48</v>
      </c>
      <c r="D32" s="123" t="s">
        <v>35</v>
      </c>
      <c r="E32" s="127">
        <v>1192.62</v>
      </c>
      <c r="F32" s="125"/>
      <c r="G32" s="125"/>
      <c r="H32" s="125"/>
      <c r="I32" s="125"/>
      <c r="J32" s="125"/>
      <c r="K32" s="125">
        <f t="shared" si="4"/>
        <v>0.9779484</v>
      </c>
      <c r="L32" s="125"/>
      <c r="M32" s="125"/>
      <c r="N32" s="125"/>
      <c r="O32" s="125"/>
      <c r="P32" s="125"/>
      <c r="Q32" s="27"/>
      <c r="R32" s="29"/>
      <c r="S32" s="89"/>
    </row>
    <row r="33" ht="45" customHeight="1" spans="1:19">
      <c r="A33" s="59">
        <v>28</v>
      </c>
      <c r="B33" s="25"/>
      <c r="C33" s="91" t="s">
        <v>49</v>
      </c>
      <c r="D33" s="123" t="s">
        <v>35</v>
      </c>
      <c r="E33" s="127">
        <v>1192.62</v>
      </c>
      <c r="F33" s="125"/>
      <c r="G33" s="125"/>
      <c r="H33" s="125"/>
      <c r="I33" s="125"/>
      <c r="J33" s="125"/>
      <c r="K33" s="125">
        <f t="shared" si="4"/>
        <v>0.9779484</v>
      </c>
      <c r="L33" s="125"/>
      <c r="M33" s="125"/>
      <c r="N33" s="125"/>
      <c r="O33" s="125"/>
      <c r="P33" s="125"/>
      <c r="Q33" s="27"/>
      <c r="R33" s="29"/>
      <c r="S33" s="89"/>
    </row>
    <row r="34" ht="45" customHeight="1" spans="1:19">
      <c r="A34" s="59">
        <v>29</v>
      </c>
      <c r="B34" s="25"/>
      <c r="C34" s="91" t="s">
        <v>50</v>
      </c>
      <c r="D34" s="123" t="s">
        <v>35</v>
      </c>
      <c r="E34" s="127">
        <v>45.61</v>
      </c>
      <c r="F34" s="125"/>
      <c r="G34" s="125"/>
      <c r="H34" s="125"/>
      <c r="I34" s="125"/>
      <c r="J34" s="125"/>
      <c r="K34" s="125">
        <f t="shared" si="4"/>
        <v>0.0374002</v>
      </c>
      <c r="L34" s="125"/>
      <c r="M34" s="125"/>
      <c r="N34" s="125"/>
      <c r="O34" s="27"/>
      <c r="P34" s="29"/>
      <c r="Q34" s="27"/>
      <c r="R34" s="29"/>
      <c r="S34" s="89"/>
    </row>
    <row r="35" ht="45" customHeight="1" spans="1:19">
      <c r="A35" s="59">
        <v>30</v>
      </c>
      <c r="B35" s="25"/>
      <c r="C35" s="91" t="s">
        <v>51</v>
      </c>
      <c r="D35" s="123" t="s">
        <v>35</v>
      </c>
      <c r="E35" s="127">
        <v>374.3</v>
      </c>
      <c r="F35" s="125"/>
      <c r="G35" s="125"/>
      <c r="H35" s="125"/>
      <c r="I35" s="125"/>
      <c r="J35" s="125"/>
      <c r="K35" s="125">
        <f t="shared" si="4"/>
        <v>0.306926</v>
      </c>
      <c r="L35" s="125"/>
      <c r="M35" s="125"/>
      <c r="N35" s="125"/>
      <c r="O35" s="27"/>
      <c r="P35" s="29"/>
      <c r="Q35" s="27"/>
      <c r="R35" s="29"/>
      <c r="S35" s="89"/>
    </row>
    <row r="36" ht="45" customHeight="1" spans="1:19">
      <c r="A36" s="59">
        <v>31</v>
      </c>
      <c r="B36" s="25"/>
      <c r="C36" s="91" t="s">
        <v>52</v>
      </c>
      <c r="D36" s="123" t="s">
        <v>35</v>
      </c>
      <c r="E36" s="127">
        <v>204</v>
      </c>
      <c r="F36" s="125"/>
      <c r="G36" s="125"/>
      <c r="H36" s="125"/>
      <c r="I36" s="125"/>
      <c r="J36" s="125"/>
      <c r="K36" s="125">
        <f t="shared" si="4"/>
        <v>0.16728</v>
      </c>
      <c r="L36" s="125"/>
      <c r="M36" s="125"/>
      <c r="N36" s="125"/>
      <c r="O36" s="27"/>
      <c r="P36" s="29"/>
      <c r="Q36" s="27"/>
      <c r="R36" s="29"/>
      <c r="S36" s="89"/>
    </row>
    <row r="37" ht="45" customHeight="1" spans="1:19">
      <c r="A37" s="59">
        <v>32</v>
      </c>
      <c r="B37" s="25"/>
      <c r="C37" s="91" t="s">
        <v>53</v>
      </c>
      <c r="D37" s="123" t="s">
        <v>35</v>
      </c>
      <c r="E37" s="127">
        <v>118.8</v>
      </c>
      <c r="F37" s="125"/>
      <c r="G37" s="125"/>
      <c r="H37" s="125"/>
      <c r="I37" s="125"/>
      <c r="J37" s="125"/>
      <c r="K37" s="125">
        <f t="shared" si="4"/>
        <v>0.097416</v>
      </c>
      <c r="L37" s="125"/>
      <c r="M37" s="125"/>
      <c r="N37" s="125"/>
      <c r="O37" s="27"/>
      <c r="P37" s="29"/>
      <c r="Q37" s="27"/>
      <c r="R37" s="29"/>
      <c r="S37" s="89"/>
    </row>
    <row r="38" ht="45" customHeight="1" spans="1:19">
      <c r="A38" s="59">
        <v>33</v>
      </c>
      <c r="B38" s="25"/>
      <c r="C38" s="91" t="s">
        <v>54</v>
      </c>
      <c r="D38" s="123" t="s">
        <v>35</v>
      </c>
      <c r="E38" s="127">
        <v>112.24</v>
      </c>
      <c r="F38" s="125"/>
      <c r="G38" s="125"/>
      <c r="H38" s="125"/>
      <c r="I38" s="125"/>
      <c r="J38" s="125"/>
      <c r="K38" s="125">
        <f t="shared" si="4"/>
        <v>0.0920368</v>
      </c>
      <c r="L38" s="125"/>
      <c r="M38" s="125"/>
      <c r="N38" s="125"/>
      <c r="O38" s="27"/>
      <c r="P38" s="29"/>
      <c r="Q38" s="27"/>
      <c r="R38" s="29"/>
      <c r="S38" s="89"/>
    </row>
    <row r="39" ht="45" customHeight="1" spans="1:19">
      <c r="A39" s="59">
        <v>34</v>
      </c>
      <c r="B39" s="25"/>
      <c r="C39" s="91" t="s">
        <v>55</v>
      </c>
      <c r="D39" s="123" t="s">
        <v>35</v>
      </c>
      <c r="E39" s="127">
        <v>1886.5</v>
      </c>
      <c r="F39" s="125"/>
      <c r="G39" s="125"/>
      <c r="H39" s="125"/>
      <c r="I39" s="125"/>
      <c r="J39" s="125"/>
      <c r="K39" s="125">
        <f t="shared" si="4"/>
        <v>1.54693</v>
      </c>
      <c r="L39" s="125"/>
      <c r="M39" s="125"/>
      <c r="N39" s="125"/>
      <c r="O39" s="27"/>
      <c r="P39" s="29"/>
      <c r="Q39" s="27"/>
      <c r="R39" s="29"/>
      <c r="S39" s="89"/>
    </row>
    <row r="40" ht="45" customHeight="1" spans="1:19">
      <c r="A40" s="59">
        <v>35</v>
      </c>
      <c r="B40" s="25"/>
      <c r="C40" s="91" t="s">
        <v>56</v>
      </c>
      <c r="D40" s="123" t="s">
        <v>35</v>
      </c>
      <c r="E40" s="127">
        <v>1107</v>
      </c>
      <c r="F40" s="125"/>
      <c r="G40" s="125"/>
      <c r="H40" s="125"/>
      <c r="I40" s="125"/>
      <c r="J40" s="125"/>
      <c r="K40" s="125">
        <f t="shared" si="4"/>
        <v>0.90774</v>
      </c>
      <c r="L40" s="125"/>
      <c r="M40" s="125"/>
      <c r="N40" s="125"/>
      <c r="O40" s="27"/>
      <c r="P40" s="29"/>
      <c r="Q40" s="27"/>
      <c r="R40" s="29"/>
      <c r="S40" s="89"/>
    </row>
    <row r="41" ht="45" customHeight="1" spans="1:19">
      <c r="A41" s="59">
        <v>36</v>
      </c>
      <c r="B41" s="25"/>
      <c r="C41" s="91" t="s">
        <v>57</v>
      </c>
      <c r="D41" s="123" t="s">
        <v>35</v>
      </c>
      <c r="E41" s="127">
        <v>3165.24</v>
      </c>
      <c r="F41" s="125"/>
      <c r="G41" s="125"/>
      <c r="H41" s="125"/>
      <c r="I41" s="125"/>
      <c r="J41" s="125"/>
      <c r="K41" s="125">
        <f t="shared" si="4"/>
        <v>2.5954968</v>
      </c>
      <c r="L41" s="125"/>
      <c r="M41" s="125"/>
      <c r="N41" s="125"/>
      <c r="O41" s="27"/>
      <c r="P41" s="29"/>
      <c r="Q41" s="27"/>
      <c r="R41" s="29"/>
      <c r="S41" s="89"/>
    </row>
    <row r="42" ht="45" customHeight="1" spans="1:19">
      <c r="A42" s="59">
        <v>37</v>
      </c>
      <c r="B42" s="25"/>
      <c r="C42" s="91" t="s">
        <v>58</v>
      </c>
      <c r="D42" s="123" t="s">
        <v>35</v>
      </c>
      <c r="E42" s="127">
        <v>1438.2</v>
      </c>
      <c r="F42" s="125"/>
      <c r="G42" s="125"/>
      <c r="H42" s="125"/>
      <c r="I42" s="125"/>
      <c r="J42" s="125"/>
      <c r="K42" s="125">
        <f t="shared" si="4"/>
        <v>1.179324</v>
      </c>
      <c r="L42" s="125"/>
      <c r="M42" s="125"/>
      <c r="N42" s="125"/>
      <c r="O42" s="27"/>
      <c r="P42" s="29"/>
      <c r="Q42" s="27"/>
      <c r="R42" s="29"/>
      <c r="S42" s="89"/>
    </row>
    <row r="43" ht="45" customHeight="1" spans="1:19">
      <c r="A43" s="59">
        <v>38</v>
      </c>
      <c r="B43" s="25"/>
      <c r="C43" s="91"/>
      <c r="D43" s="26" t="s">
        <v>59</v>
      </c>
      <c r="E43" s="125"/>
      <c r="F43" s="125"/>
      <c r="G43" s="125"/>
      <c r="H43" s="125"/>
      <c r="I43" s="125"/>
      <c r="J43" s="125"/>
      <c r="K43" s="125">
        <f>SUM(F5:R42)*0.15</f>
        <v>59.0407224929999</v>
      </c>
      <c r="L43" s="125"/>
      <c r="M43" s="125"/>
      <c r="N43" s="125"/>
      <c r="O43" s="125"/>
      <c r="P43" s="125"/>
      <c r="Q43" s="27"/>
      <c r="R43" s="29"/>
      <c r="S43" s="45"/>
    </row>
    <row r="44" ht="45" customHeight="1" spans="1:19">
      <c r="A44" s="128" t="s">
        <v>60</v>
      </c>
      <c r="B44" s="129"/>
      <c r="C44" s="26"/>
      <c r="D44" s="26"/>
      <c r="E44" s="29"/>
      <c r="F44" s="29">
        <f t="shared" ref="F44:K44" si="5">SUM(F5:F43)</f>
        <v>83.6088696</v>
      </c>
      <c r="G44" s="29">
        <f t="shared" si="5"/>
        <v>31.1909193</v>
      </c>
      <c r="H44" s="29">
        <f t="shared" si="5"/>
        <v>14.8071384</v>
      </c>
      <c r="I44" s="29">
        <f t="shared" si="5"/>
        <v>13.7575746</v>
      </c>
      <c r="J44" s="29">
        <f t="shared" si="5"/>
        <v>69.7259646</v>
      </c>
      <c r="K44" s="29">
        <f t="shared" si="5"/>
        <v>93.0751074929999</v>
      </c>
      <c r="L44" s="29"/>
      <c r="M44" s="29">
        <f>SUM(M5:M43)</f>
        <v>50.288147325</v>
      </c>
      <c r="N44" s="29">
        <f>SUM(N5:N43)</f>
        <v>45.6025626</v>
      </c>
      <c r="O44" s="29">
        <f>SUM(O5:O43)</f>
        <v>8.52361866</v>
      </c>
      <c r="P44" s="29"/>
      <c r="Q44" s="29">
        <f>SUM(Q5:Q43)</f>
        <v>42.065636535</v>
      </c>
      <c r="R44" s="29"/>
      <c r="S44" s="45"/>
    </row>
    <row r="45" ht="45" customHeight="1" spans="1:20">
      <c r="A45" s="33" t="s">
        <v>61</v>
      </c>
      <c r="B45" s="34"/>
      <c r="C45" s="35"/>
      <c r="D45" s="35"/>
      <c r="E45" s="36"/>
      <c r="F45" s="37">
        <f>SUM(F44:S44)</f>
        <v>452.645539113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47"/>
      <c r="T45" s="48"/>
    </row>
  </sheetData>
  <mergeCells count="15">
    <mergeCell ref="A1:S1"/>
    <mergeCell ref="F2:R2"/>
    <mergeCell ref="F3:L3"/>
    <mergeCell ref="M3:P3"/>
    <mergeCell ref="Q3:R3"/>
    <mergeCell ref="A44:B44"/>
    <mergeCell ref="A45:B45"/>
    <mergeCell ref="F45:S45"/>
    <mergeCell ref="A2:A4"/>
    <mergeCell ref="B2:B4"/>
    <mergeCell ref="B5:B43"/>
    <mergeCell ref="C2:C4"/>
    <mergeCell ref="D2:D4"/>
    <mergeCell ref="E2:E4"/>
    <mergeCell ref="S2:S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zoomScale="85" zoomScaleNormal="85" topLeftCell="A2" workbookViewId="0">
      <selection activeCell="F6" sqref="F6"/>
    </sheetView>
  </sheetViews>
  <sheetFormatPr defaultColWidth="9" defaultRowHeight="13.5"/>
  <cols>
    <col min="1" max="1" width="7.875" customWidth="1"/>
    <col min="2" max="2" width="9.625" customWidth="1"/>
    <col min="3" max="3" width="16.75" customWidth="1"/>
    <col min="4" max="4" width="17.25" customWidth="1"/>
    <col min="5" max="5" width="15.775" customWidth="1"/>
    <col min="6" max="14" width="9.025" customWidth="1"/>
    <col min="16" max="22" width="10.125" customWidth="1"/>
    <col min="23" max="23" width="16.0333333333333" hidden="1" customWidth="1"/>
    <col min="24" max="24" width="28.75" customWidth="1"/>
  </cols>
  <sheetData>
    <row r="1" ht="45" customHeight="1" spans="1:23">
      <c r="A1" s="6" t="s">
        <v>79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38"/>
    </row>
    <row r="2" ht="45" customHeight="1" spans="1:23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/>
      <c r="G2" s="12"/>
      <c r="H2" s="12"/>
      <c r="I2" s="12"/>
      <c r="J2" s="12"/>
      <c r="K2" s="12"/>
      <c r="L2" s="12"/>
      <c r="M2" s="12"/>
      <c r="N2" s="69"/>
      <c r="O2" s="69"/>
      <c r="P2" s="69"/>
      <c r="Q2" s="69"/>
      <c r="R2" s="69"/>
      <c r="S2" s="69"/>
      <c r="T2" s="69"/>
      <c r="U2" s="69"/>
      <c r="V2" s="109" t="s">
        <v>6</v>
      </c>
      <c r="W2" s="41" t="s">
        <v>80</v>
      </c>
    </row>
    <row r="3" ht="45" customHeight="1" spans="1:23">
      <c r="A3" s="13"/>
      <c r="B3" s="9"/>
      <c r="C3" s="9"/>
      <c r="D3" s="10"/>
      <c r="E3" s="11"/>
      <c r="F3" s="14" t="s">
        <v>7</v>
      </c>
      <c r="G3" s="14"/>
      <c r="H3" s="14"/>
      <c r="I3" s="14"/>
      <c r="J3" s="40" t="s">
        <v>81</v>
      </c>
      <c r="K3" s="14"/>
      <c r="L3" s="14"/>
      <c r="M3" s="14"/>
      <c r="N3" s="11" t="s">
        <v>8</v>
      </c>
      <c r="O3" s="11"/>
      <c r="P3" s="11"/>
      <c r="Q3" s="11"/>
      <c r="R3" s="40" t="s">
        <v>9</v>
      </c>
      <c r="S3" s="14"/>
      <c r="T3" s="14"/>
      <c r="U3" s="14"/>
      <c r="V3" s="11"/>
      <c r="W3" s="41"/>
    </row>
    <row r="4" ht="45" customHeight="1" spans="1:23">
      <c r="A4" s="15"/>
      <c r="B4" s="9"/>
      <c r="C4" s="9"/>
      <c r="D4" s="16"/>
      <c r="E4" s="17"/>
      <c r="F4" s="18" t="s">
        <v>10</v>
      </c>
      <c r="G4" s="18" t="s">
        <v>82</v>
      </c>
      <c r="H4" s="18" t="s">
        <v>12</v>
      </c>
      <c r="I4" s="18" t="s">
        <v>14</v>
      </c>
      <c r="J4" s="18" t="s">
        <v>13</v>
      </c>
      <c r="K4" s="18" t="s">
        <v>83</v>
      </c>
      <c r="L4" s="18" t="s">
        <v>11</v>
      </c>
      <c r="M4" s="18" t="s">
        <v>14</v>
      </c>
      <c r="N4" s="18" t="s">
        <v>15</v>
      </c>
      <c r="O4" s="18" t="s">
        <v>16</v>
      </c>
      <c r="P4" s="18" t="s">
        <v>84</v>
      </c>
      <c r="Q4" s="18" t="s">
        <v>14</v>
      </c>
      <c r="R4" s="18" t="s">
        <v>18</v>
      </c>
      <c r="S4" s="18" t="s">
        <v>85</v>
      </c>
      <c r="T4" s="18" t="s">
        <v>86</v>
      </c>
      <c r="U4" s="18" t="s">
        <v>14</v>
      </c>
      <c r="V4" s="17"/>
      <c r="W4" s="41"/>
    </row>
    <row r="5" ht="45" customHeight="1" spans="1:23">
      <c r="A5" s="92">
        <v>1</v>
      </c>
      <c r="B5" s="20" t="s">
        <v>87</v>
      </c>
      <c r="C5" s="20" t="s">
        <v>34</v>
      </c>
      <c r="D5" s="21" t="s">
        <v>35</v>
      </c>
      <c r="E5" s="110">
        <v>700</v>
      </c>
      <c r="F5" s="22">
        <f>E5/100*15*0.855*0.2*0.88*0.8*0.4</f>
        <v>5.056128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97"/>
      <c r="T5" s="97"/>
      <c r="U5" s="97"/>
      <c r="V5" s="115"/>
      <c r="W5" s="116"/>
    </row>
    <row r="6" ht="45" customHeight="1" spans="1:23">
      <c r="A6" s="111">
        <v>2</v>
      </c>
      <c r="B6" s="94"/>
      <c r="C6" s="94"/>
      <c r="D6" s="112" t="s">
        <v>21</v>
      </c>
      <c r="E6" s="113">
        <v>700</v>
      </c>
      <c r="F6" s="114">
        <f>E6/100*15*0.145*0.15*0.8*0.8</f>
        <v>1.4616</v>
      </c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7"/>
      <c r="T6" s="117"/>
      <c r="U6" s="117"/>
      <c r="V6" s="47"/>
      <c r="W6" s="118"/>
    </row>
    <row r="7" ht="45" customHeight="1" spans="1:23">
      <c r="A7" s="30">
        <v>3</v>
      </c>
      <c r="B7" s="25" t="s">
        <v>88</v>
      </c>
      <c r="C7" s="108"/>
      <c r="D7" s="30" t="s">
        <v>21</v>
      </c>
      <c r="E7" s="66">
        <v>700</v>
      </c>
      <c r="F7" s="66">
        <f>E7/100*15*0.145*0.7*0.43*0.82</f>
        <v>3.7578345</v>
      </c>
      <c r="G7" s="66">
        <f>E7/100*15*0.145*0.7*0.43*0.08</f>
        <v>0.366618</v>
      </c>
      <c r="H7" s="66">
        <f>E7/100*15*0.145*0.7*0.43*0.08</f>
        <v>0.366618</v>
      </c>
      <c r="I7" s="66"/>
      <c r="J7" s="66">
        <f>E7/100*15*0.145*0.7*0.04*0.82</f>
        <v>0.349566</v>
      </c>
      <c r="K7" s="66">
        <f>E7/100*15*0.145*0.7*0.04*0.08</f>
        <v>0.034104</v>
      </c>
      <c r="L7" s="66">
        <f>E7/100*15*0.145*0.7*0.04*0.08</f>
        <v>0.034104</v>
      </c>
      <c r="M7" s="66"/>
      <c r="N7" s="66">
        <f>E7/100*15*0.145*0.7*0.36*0.08</f>
        <v>0.306936</v>
      </c>
      <c r="O7" s="66">
        <f>E7/100*15*0.145*0.7*0.36*0.82</f>
        <v>3.146094</v>
      </c>
      <c r="P7" s="66">
        <f>E7/100*15*0.145*0.7*0.36*0.08</f>
        <v>0.306936</v>
      </c>
      <c r="Q7" s="66"/>
      <c r="R7" s="66">
        <f>E7/100*15*0.145*0.7*0.17*0.82</f>
        <v>1.4856555</v>
      </c>
      <c r="S7" s="31">
        <f>E7/100*15*0.145*0.7*0.17*0.08</f>
        <v>0.144942</v>
      </c>
      <c r="T7" s="31">
        <f>E7/100*15*0.145*0.7*0.17*0.08</f>
        <v>0.144942</v>
      </c>
      <c r="U7" s="31"/>
      <c r="V7" s="45"/>
      <c r="W7" s="119"/>
    </row>
    <row r="8" ht="45" customHeight="1" spans="1:23">
      <c r="A8" s="59">
        <v>4</v>
      </c>
      <c r="B8" s="25"/>
      <c r="C8" s="26" t="s">
        <v>34</v>
      </c>
      <c r="D8" s="68" t="s">
        <v>35</v>
      </c>
      <c r="E8" s="29">
        <v>700</v>
      </c>
      <c r="F8" s="29">
        <f>E8/100*15*0.855*0.6*0.334*0.82</f>
        <v>14.7525462</v>
      </c>
      <c r="G8" s="29">
        <f>E8/100*15*0.855*0.6*0.334*0.08</f>
        <v>1.4392728</v>
      </c>
      <c r="H8" s="29">
        <f>E8/100*15*0.855*0.6*0.334*0.08</f>
        <v>1.4392728</v>
      </c>
      <c r="I8" s="29"/>
      <c r="J8" s="29">
        <f>E8/100*15*0.855*0.6*0.388*0.82</f>
        <v>17.1376884</v>
      </c>
      <c r="K8" s="29">
        <f>E8/100*15*0.855*0.6*0.388*0.08</f>
        <v>1.6719696</v>
      </c>
      <c r="L8" s="29">
        <f>E8/100*15*0.855*0.6*0.388*0.08</f>
        <v>1.6719696</v>
      </c>
      <c r="M8" s="29"/>
      <c r="N8" s="29">
        <f>E8/100*15*0.855*0.6*0.14*0.08</f>
        <v>0.603288</v>
      </c>
      <c r="O8" s="29">
        <f>E8/100*15*0.855*0.6*0.14*0.82</f>
        <v>6.183702</v>
      </c>
      <c r="P8" s="29">
        <f>E8/100*15*0.855*0.6*0.14*0.08</f>
        <v>0.603288</v>
      </c>
      <c r="Q8" s="29"/>
      <c r="R8" s="29">
        <f>E8/100*15*0.855*0.6*0.147*0.82</f>
        <v>6.4928871</v>
      </c>
      <c r="S8" s="29">
        <f>E8/100*15*0.855*0.6*0.147*0.08</f>
        <v>0.6334524</v>
      </c>
      <c r="T8" s="29">
        <f>E8/100*15*0.855*0.6*0.147*0.08</f>
        <v>0.6334524</v>
      </c>
      <c r="U8" s="29"/>
      <c r="V8" s="45"/>
      <c r="W8" s="89"/>
    </row>
    <row r="9" ht="45" customHeight="1" spans="1:23">
      <c r="A9" s="59">
        <v>5</v>
      </c>
      <c r="B9" s="25"/>
      <c r="C9" s="26"/>
      <c r="D9" s="67" t="s">
        <v>89</v>
      </c>
      <c r="E9" s="29"/>
      <c r="F9" s="29">
        <f>SUM(F5:H8)*0.09</f>
        <v>2.577590127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45"/>
      <c r="W9" s="89"/>
    </row>
    <row r="10" ht="45" customHeight="1" spans="1:23">
      <c r="A10" s="59">
        <v>6</v>
      </c>
      <c r="B10" s="25"/>
      <c r="C10" s="26"/>
      <c r="D10" s="68" t="s">
        <v>90</v>
      </c>
      <c r="E10" s="29"/>
      <c r="F10" s="29"/>
      <c r="G10" s="29"/>
      <c r="H10" s="29"/>
      <c r="I10" s="29"/>
      <c r="J10" s="29">
        <f>SUM(J7:L8)*0.09</f>
        <v>1.880946144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5"/>
      <c r="W10" s="89"/>
    </row>
    <row r="11" ht="45" customHeight="1" spans="1:23">
      <c r="A11" s="59">
        <v>7</v>
      </c>
      <c r="B11" s="25"/>
      <c r="C11" s="26"/>
      <c r="D11" s="68" t="s">
        <v>91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>
        <f>SUM(N7:P8)*0.1</f>
        <v>1.1150244</v>
      </c>
      <c r="P11" s="29"/>
      <c r="Q11" s="29"/>
      <c r="R11" s="29"/>
      <c r="S11" s="29"/>
      <c r="T11" s="29"/>
      <c r="U11" s="29"/>
      <c r="V11" s="45"/>
      <c r="W11" s="89"/>
    </row>
    <row r="12" ht="45" customHeight="1" spans="1:23">
      <c r="A12" s="59">
        <v>8</v>
      </c>
      <c r="B12" s="25"/>
      <c r="C12" s="26"/>
      <c r="D12" s="68" t="s">
        <v>92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>
        <f>SUM(R7:T8)*0.1</f>
        <v>0.95353314</v>
      </c>
      <c r="S12" s="29"/>
      <c r="T12" s="29"/>
      <c r="U12" s="29"/>
      <c r="V12" s="45"/>
      <c r="W12" s="89"/>
    </row>
    <row r="13" ht="45" customHeight="1" spans="1:23">
      <c r="A13" s="59">
        <v>9</v>
      </c>
      <c r="B13" s="32"/>
      <c r="C13" s="26"/>
      <c r="D13" s="26" t="s">
        <v>59</v>
      </c>
      <c r="E13" s="29"/>
      <c r="F13" s="29"/>
      <c r="G13" s="29"/>
      <c r="H13" s="29"/>
      <c r="I13" s="29"/>
      <c r="J13" s="29">
        <f>SUM(F5:T8)*0.15</f>
        <v>10.533730095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45"/>
      <c r="W13" s="89"/>
    </row>
    <row r="14" ht="45" customHeight="1" spans="1:23">
      <c r="A14" s="26" t="s">
        <v>60</v>
      </c>
      <c r="B14" s="26"/>
      <c r="C14" s="26"/>
      <c r="D14" s="26"/>
      <c r="E14" s="29"/>
      <c r="F14" s="29">
        <f t="shared" ref="F14:U14" si="0">SUM(F5:F13)</f>
        <v>27.605698827</v>
      </c>
      <c r="G14" s="29">
        <f t="shared" si="0"/>
        <v>1.8058908</v>
      </c>
      <c r="H14" s="29">
        <f t="shared" si="0"/>
        <v>1.8058908</v>
      </c>
      <c r="I14" s="29">
        <f t="shared" si="0"/>
        <v>0</v>
      </c>
      <c r="J14" s="29">
        <f t="shared" si="0"/>
        <v>29.901930639</v>
      </c>
      <c r="K14" s="29">
        <f t="shared" si="0"/>
        <v>1.7060736</v>
      </c>
      <c r="L14" s="29">
        <f t="shared" si="0"/>
        <v>1.7060736</v>
      </c>
      <c r="M14" s="29">
        <f t="shared" si="0"/>
        <v>0</v>
      </c>
      <c r="N14" s="29">
        <f t="shared" si="0"/>
        <v>0.910224</v>
      </c>
      <c r="O14" s="29">
        <f t="shared" si="0"/>
        <v>10.4448204</v>
      </c>
      <c r="P14" s="29">
        <f t="shared" si="0"/>
        <v>0.910224</v>
      </c>
      <c r="Q14" s="29">
        <f t="shared" si="0"/>
        <v>0</v>
      </c>
      <c r="R14" s="29">
        <f t="shared" si="0"/>
        <v>8.93207574</v>
      </c>
      <c r="S14" s="29">
        <f t="shared" si="0"/>
        <v>0.7783944</v>
      </c>
      <c r="T14" s="29">
        <f t="shared" si="0"/>
        <v>0.7783944</v>
      </c>
      <c r="U14" s="29">
        <f t="shared" si="0"/>
        <v>0</v>
      </c>
      <c r="V14" s="45"/>
      <c r="W14" s="120"/>
    </row>
    <row r="15" ht="45" customHeight="1" spans="1:24">
      <c r="A15" s="33" t="s">
        <v>61</v>
      </c>
      <c r="B15" s="34"/>
      <c r="C15" s="35"/>
      <c r="D15" s="35"/>
      <c r="E15" s="36"/>
      <c r="F15" s="37">
        <f>SUM(F14:V14)</f>
        <v>87.285691206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47"/>
      <c r="X15" s="62"/>
    </row>
  </sheetData>
  <mergeCells count="19">
    <mergeCell ref="A1:W1"/>
    <mergeCell ref="F2:U2"/>
    <mergeCell ref="F3:I3"/>
    <mergeCell ref="J3:M3"/>
    <mergeCell ref="N3:Q3"/>
    <mergeCell ref="R3:U3"/>
    <mergeCell ref="A14:B14"/>
    <mergeCell ref="A15:B15"/>
    <mergeCell ref="F15:W15"/>
    <mergeCell ref="A2:A4"/>
    <mergeCell ref="B2:B4"/>
    <mergeCell ref="B5:B6"/>
    <mergeCell ref="B7:B13"/>
    <mergeCell ref="C2:C4"/>
    <mergeCell ref="C5:C6"/>
    <mergeCell ref="D2:D4"/>
    <mergeCell ref="E2:E4"/>
    <mergeCell ref="V2:V4"/>
    <mergeCell ref="W2:W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zoomScale="85" zoomScaleNormal="85" topLeftCell="A2" workbookViewId="0">
      <selection activeCell="I6" sqref="I6"/>
    </sheetView>
  </sheetViews>
  <sheetFormatPr defaultColWidth="9" defaultRowHeight="13.5"/>
  <cols>
    <col min="1" max="1" width="7.875" customWidth="1"/>
    <col min="2" max="2" width="9.625" customWidth="1"/>
    <col min="3" max="3" width="16.75" customWidth="1"/>
    <col min="4" max="4" width="17.25" customWidth="1"/>
    <col min="5" max="5" width="15.775" customWidth="1"/>
    <col min="6" max="15" width="9.025" customWidth="1"/>
    <col min="17" max="23" width="10.125" customWidth="1"/>
    <col min="24" max="24" width="28.75" customWidth="1"/>
  </cols>
  <sheetData>
    <row r="1" ht="45" customHeight="1" spans="1:23">
      <c r="A1" s="6" t="s">
        <v>93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45" customHeight="1" spans="1:23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/>
      <c r="G2" s="12"/>
      <c r="H2" s="12"/>
      <c r="I2" s="12"/>
      <c r="J2" s="12"/>
      <c r="K2" s="12"/>
      <c r="L2" s="12"/>
      <c r="M2" s="12"/>
      <c r="N2" s="12"/>
      <c r="O2" s="69"/>
      <c r="P2" s="69"/>
      <c r="Q2" s="69"/>
      <c r="R2" s="69"/>
      <c r="S2" s="69"/>
      <c r="T2" s="69"/>
      <c r="U2" s="69"/>
      <c r="V2" s="69"/>
      <c r="W2" s="109" t="s">
        <v>6</v>
      </c>
    </row>
    <row r="3" ht="45" customHeight="1" spans="1:23">
      <c r="A3" s="13"/>
      <c r="B3" s="9"/>
      <c r="C3" s="9"/>
      <c r="D3" s="10"/>
      <c r="E3" s="11"/>
      <c r="F3" s="14" t="s">
        <v>7</v>
      </c>
      <c r="G3" s="14"/>
      <c r="H3" s="14"/>
      <c r="I3" s="14"/>
      <c r="J3" s="14"/>
      <c r="K3" s="40" t="s">
        <v>81</v>
      </c>
      <c r="L3" s="14"/>
      <c r="M3" s="14"/>
      <c r="N3" s="14"/>
      <c r="O3" s="11" t="s">
        <v>8</v>
      </c>
      <c r="P3" s="11"/>
      <c r="Q3" s="11"/>
      <c r="R3" s="11"/>
      <c r="S3" s="40" t="s">
        <v>9</v>
      </c>
      <c r="T3" s="14"/>
      <c r="U3" s="14"/>
      <c r="V3" s="14"/>
      <c r="W3" s="11"/>
    </row>
    <row r="4" ht="45" customHeight="1" spans="1:23">
      <c r="A4" s="15"/>
      <c r="B4" s="9"/>
      <c r="C4" s="9"/>
      <c r="D4" s="16"/>
      <c r="E4" s="17"/>
      <c r="F4" s="18" t="s">
        <v>10</v>
      </c>
      <c r="G4" s="18" t="s">
        <v>82</v>
      </c>
      <c r="H4" s="18" t="s">
        <v>12</v>
      </c>
      <c r="I4" s="18" t="s">
        <v>94</v>
      </c>
      <c r="J4" s="18" t="s">
        <v>14</v>
      </c>
      <c r="K4" s="18" t="s">
        <v>13</v>
      </c>
      <c r="L4" s="18" t="s">
        <v>83</v>
      </c>
      <c r="M4" s="18" t="s">
        <v>95</v>
      </c>
      <c r="N4" s="18" t="s">
        <v>14</v>
      </c>
      <c r="O4" s="18" t="s">
        <v>15</v>
      </c>
      <c r="P4" s="18" t="s">
        <v>16</v>
      </c>
      <c r="Q4" s="18" t="s">
        <v>17</v>
      </c>
      <c r="R4" s="18" t="s">
        <v>14</v>
      </c>
      <c r="S4" s="18" t="s">
        <v>18</v>
      </c>
      <c r="T4" s="18" t="s">
        <v>95</v>
      </c>
      <c r="U4" s="18" t="s">
        <v>86</v>
      </c>
      <c r="V4" s="18" t="s">
        <v>14</v>
      </c>
      <c r="W4" s="17"/>
    </row>
    <row r="5" ht="45" customHeight="1" spans="1:23">
      <c r="A5" s="92">
        <v>1</v>
      </c>
      <c r="B5" s="20" t="s">
        <v>87</v>
      </c>
      <c r="C5" s="93" t="s">
        <v>96</v>
      </c>
      <c r="D5" s="21" t="s">
        <v>35</v>
      </c>
      <c r="E5" s="22">
        <v>700</v>
      </c>
      <c r="F5" s="22"/>
      <c r="G5" s="22"/>
      <c r="H5" s="22">
        <f>E5/100*15*0.855*0.2*0.88*0.8</f>
        <v>12.64032</v>
      </c>
      <c r="I5" s="22">
        <f>H5*0.6</f>
        <v>7.584192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97"/>
      <c r="U5" s="97"/>
      <c r="V5" s="97"/>
      <c r="W5" s="43"/>
    </row>
    <row r="6" ht="45" customHeight="1" spans="1:23">
      <c r="A6" s="24">
        <v>2</v>
      </c>
      <c r="B6" s="25"/>
      <c r="C6" s="68" t="s">
        <v>97</v>
      </c>
      <c r="D6" s="26" t="s">
        <v>35</v>
      </c>
      <c r="E6" s="27">
        <v>1046.82</v>
      </c>
      <c r="F6" s="27"/>
      <c r="G6" s="27"/>
      <c r="H6" s="27">
        <f>E6/100*15*0.855*0.2*0.88*0.8</f>
        <v>18.903056832</v>
      </c>
      <c r="I6" s="27">
        <f>H6*0.4</f>
        <v>7.5612227328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9"/>
      <c r="U6" s="29"/>
      <c r="V6" s="29"/>
      <c r="W6" s="44"/>
    </row>
    <row r="7" ht="45" customHeight="1" spans="1:23">
      <c r="A7" s="33">
        <v>3</v>
      </c>
      <c r="B7" s="94"/>
      <c r="C7" s="107"/>
      <c r="D7" s="34" t="s">
        <v>21</v>
      </c>
      <c r="E7" s="96">
        <v>700</v>
      </c>
      <c r="F7" s="96"/>
      <c r="G7" s="96"/>
      <c r="H7" s="96">
        <f>E7/100*15*0.145*0.15*0.8*0.8</f>
        <v>1.4616</v>
      </c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35"/>
      <c r="U7" s="35"/>
      <c r="V7" s="35"/>
      <c r="W7" s="98"/>
    </row>
    <row r="8" ht="45" customHeight="1" spans="1:23">
      <c r="A8" s="63">
        <v>2</v>
      </c>
      <c r="B8" s="25" t="s">
        <v>88</v>
      </c>
      <c r="C8" s="108"/>
      <c r="D8" s="65" t="s">
        <v>21</v>
      </c>
      <c r="E8" s="66">
        <v>700</v>
      </c>
      <c r="F8" s="66">
        <f>E8/100*15*0.145*0.7*0.43*0.82</f>
        <v>3.7578345</v>
      </c>
      <c r="G8" s="66">
        <f>E8/100*15*0.145*0.7*0.43*0.08</f>
        <v>0.366618</v>
      </c>
      <c r="H8" s="66">
        <f>E8/100*15*0.145*0.7*0.43*0.08</f>
        <v>0.366618</v>
      </c>
      <c r="I8" s="66"/>
      <c r="J8" s="66"/>
      <c r="K8" s="66">
        <f>E8/100*15*0.145*0.7*0.04*0.82</f>
        <v>0.349566</v>
      </c>
      <c r="L8" s="66">
        <f>E8/100*15*0.145*0.7*0.04*0.08</f>
        <v>0.034104</v>
      </c>
      <c r="M8" s="66">
        <f>E8/100*15*0.145*0.7*0.04*0.08</f>
        <v>0.034104</v>
      </c>
      <c r="N8" s="66"/>
      <c r="O8" s="66">
        <f>E8/100*15*0.145*0.7*0.36*0.08</f>
        <v>0.306936</v>
      </c>
      <c r="P8" s="66">
        <f>E8/100*15*0.145*0.7*0.36*0.82</f>
        <v>3.146094</v>
      </c>
      <c r="Q8" s="66">
        <f>E8/100*15*0.145*0.7*0.36*0.08</f>
        <v>0.306936</v>
      </c>
      <c r="R8" s="66"/>
      <c r="S8" s="66">
        <f>E8/100*15*0.145*0.7*0.17*0.82</f>
        <v>1.4856555</v>
      </c>
      <c r="T8" s="31">
        <f>E8/100*15*0.145*0.7*0.17*0.08</f>
        <v>0.144942</v>
      </c>
      <c r="U8" s="31">
        <f>E8/100*15*0.145*0.7*0.17*0.08</f>
        <v>0.144942</v>
      </c>
      <c r="V8" s="31"/>
      <c r="W8" s="45"/>
    </row>
    <row r="9" ht="45" customHeight="1" spans="1:23">
      <c r="A9" s="59">
        <v>3</v>
      </c>
      <c r="B9" s="25"/>
      <c r="C9" s="26" t="s">
        <v>96</v>
      </c>
      <c r="D9" s="68" t="s">
        <v>35</v>
      </c>
      <c r="E9" s="29">
        <v>700</v>
      </c>
      <c r="F9" s="29">
        <f>E9/100*15*0.855*0.6*0.334*0.08</f>
        <v>1.4392728</v>
      </c>
      <c r="G9" s="29">
        <f>E9/100*15*0.855*0.6*0.334*0.08</f>
        <v>1.4392728</v>
      </c>
      <c r="H9" s="29">
        <f>E9/100*15*0.855*0.6*0.334*0.82</f>
        <v>14.7525462</v>
      </c>
      <c r="I9" s="29"/>
      <c r="J9" s="29"/>
      <c r="K9" s="29">
        <f>E9/100*15*0.855*0.6*0.388*0.82</f>
        <v>17.1376884</v>
      </c>
      <c r="L9" s="29">
        <f>E9/100*15*0.855*0.6*0.388*0.08</f>
        <v>1.6719696</v>
      </c>
      <c r="M9" s="29">
        <f>E9/100*15*0.855*0.6*0.388*0.08</f>
        <v>1.6719696</v>
      </c>
      <c r="N9" s="29"/>
      <c r="O9" s="29">
        <f>E9/100*15*0.855*0.6*0.14*0.08</f>
        <v>0.603288</v>
      </c>
      <c r="P9" s="29">
        <f>E9/100*15*0.855*0.6*0.14*0.82</f>
        <v>6.183702</v>
      </c>
      <c r="Q9" s="29">
        <f>E9/100*15*0.855*0.6*0.14*0.08</f>
        <v>0.603288</v>
      </c>
      <c r="R9" s="29"/>
      <c r="S9" s="29">
        <f>E9/100*15*0.855*0.6*0.147*0.82</f>
        <v>6.4928871</v>
      </c>
      <c r="T9" s="29">
        <f>E9/100*15*0.855*0.6*0.147*0.08</f>
        <v>0.6334524</v>
      </c>
      <c r="U9" s="29">
        <f>E9/100*15*0.855*0.6*0.147*0.08</f>
        <v>0.6334524</v>
      </c>
      <c r="V9" s="29"/>
      <c r="W9" s="45"/>
    </row>
    <row r="10" ht="45" customHeight="1" spans="1:23">
      <c r="A10" s="59">
        <v>4</v>
      </c>
      <c r="B10" s="25"/>
      <c r="C10" s="26" t="s">
        <v>97</v>
      </c>
      <c r="D10" s="68" t="s">
        <v>35</v>
      </c>
      <c r="E10" s="29">
        <v>1046.82</v>
      </c>
      <c r="F10" s="29">
        <f>E10/100*15*0.855*0.6*0.334*0.08</f>
        <v>2.15237078928</v>
      </c>
      <c r="G10" s="29">
        <f>E10/100*15*0.855*0.6*0.334*0.08</f>
        <v>2.15237078928</v>
      </c>
      <c r="H10" s="29">
        <f>E10/100*15*0.855*0.6*0.334*0.82</f>
        <v>22.06180059012</v>
      </c>
      <c r="I10" s="29"/>
      <c r="J10" s="29"/>
      <c r="K10" s="29">
        <f>E10/100*15*0.855*0.6*0.388*0.82</f>
        <v>25.62867852984</v>
      </c>
      <c r="L10" s="29">
        <f>E10/100*15*0.855*0.6*0.388*0.08</f>
        <v>2.50035888096</v>
      </c>
      <c r="M10" s="29">
        <f>E10/100*15*0.855*0.6*0.388*0.08</f>
        <v>2.50035888096</v>
      </c>
      <c r="N10" s="29"/>
      <c r="O10" s="29">
        <f>E10/100*15*0.855*0.6*0.14*0.08</f>
        <v>0.9021913488</v>
      </c>
      <c r="P10" s="29">
        <f>E10/100*15*0.855*0.6*0.14*0.82</f>
        <v>9.2474613252</v>
      </c>
      <c r="Q10" s="29">
        <f>E10/100*15*0.855*0.6*0.14*0.08</f>
        <v>0.9021913488</v>
      </c>
      <c r="R10" s="29"/>
      <c r="S10" s="29">
        <f>E10/100*15*0.855*0.6*0.147*0.82</f>
        <v>9.70983439146</v>
      </c>
      <c r="T10" s="29">
        <f>E10/100*15*0.855*0.6*0.147*0.08</f>
        <v>0.94730091624</v>
      </c>
      <c r="U10" s="29">
        <f>E10/100*15*0.855*0.6*0.147*0.08</f>
        <v>0.94730091624</v>
      </c>
      <c r="V10" s="29"/>
      <c r="W10" s="45"/>
    </row>
    <row r="11" ht="45" customHeight="1" spans="1:23">
      <c r="A11" s="59">
        <v>5</v>
      </c>
      <c r="B11" s="25"/>
      <c r="C11" s="26"/>
      <c r="D11" s="67" t="s">
        <v>89</v>
      </c>
      <c r="E11" s="29"/>
      <c r="F11" s="29"/>
      <c r="G11" s="29"/>
      <c r="H11" s="29">
        <f>SUM(F5:H10)*0.09</f>
        <v>7.3344313170612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45"/>
    </row>
    <row r="12" ht="45" customHeight="1" spans="1:23">
      <c r="A12" s="59">
        <v>6</v>
      </c>
      <c r="B12" s="25"/>
      <c r="C12" s="26"/>
      <c r="D12" s="68" t="s">
        <v>90</v>
      </c>
      <c r="E12" s="29"/>
      <c r="F12" s="29"/>
      <c r="G12" s="29"/>
      <c r="H12" s="29"/>
      <c r="I12" s="29"/>
      <c r="J12" s="29"/>
      <c r="K12" s="29">
        <f>SUM(K8:M10)*0.09</f>
        <v>4.6375918102584</v>
      </c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45"/>
    </row>
    <row r="13" ht="45" customHeight="1" spans="1:23">
      <c r="A13" s="59">
        <v>7</v>
      </c>
      <c r="B13" s="25"/>
      <c r="C13" s="26"/>
      <c r="D13" s="68" t="s">
        <v>91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>
        <f>SUM(O8:Q10)*0.1</f>
        <v>2.22020880228</v>
      </c>
      <c r="Q13" s="29"/>
      <c r="R13" s="29"/>
      <c r="S13" s="29"/>
      <c r="T13" s="29"/>
      <c r="U13" s="29"/>
      <c r="V13" s="29"/>
      <c r="W13" s="45"/>
    </row>
    <row r="14" ht="45" customHeight="1" spans="1:23">
      <c r="A14" s="59">
        <v>8</v>
      </c>
      <c r="B14" s="25"/>
      <c r="C14" s="26"/>
      <c r="D14" s="68" t="s">
        <v>92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>
        <f>SUM(S8:U10)*0.1</f>
        <v>2.113976762394</v>
      </c>
      <c r="T14" s="29"/>
      <c r="U14" s="29"/>
      <c r="V14" s="29"/>
      <c r="W14" s="45"/>
    </row>
    <row r="15" ht="45" customHeight="1" spans="1:23">
      <c r="A15" s="59">
        <v>9</v>
      </c>
      <c r="B15" s="32"/>
      <c r="C15" s="26"/>
      <c r="D15" s="26" t="s">
        <v>59</v>
      </c>
      <c r="E15" s="29"/>
      <c r="F15" s="29"/>
      <c r="G15" s="29"/>
      <c r="H15" s="29"/>
      <c r="I15" s="29"/>
      <c r="J15" s="29"/>
      <c r="K15" s="29">
        <f>SUM(F5:U10)*0.15</f>
        <v>28.726462435797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45"/>
    </row>
    <row r="16" ht="45" customHeight="1" spans="1:24">
      <c r="A16" s="26" t="s">
        <v>60</v>
      </c>
      <c r="B16" s="26"/>
      <c r="C16" s="26"/>
      <c r="D16" s="26"/>
      <c r="E16" s="29"/>
      <c r="F16" s="29">
        <f>SUM(F5:F15)*1.3</f>
        <v>9.554321516064</v>
      </c>
      <c r="G16" s="29">
        <f>SUM(G5:G15)*1.3</f>
        <v>5.145740066064</v>
      </c>
      <c r="H16" s="29">
        <f>SUM(H5:H15)*1.3</f>
        <v>100.776484820936</v>
      </c>
      <c r="I16" s="29">
        <f>SUM(I5:I15)*1.3</f>
        <v>19.68903915264</v>
      </c>
      <c r="J16" s="29"/>
      <c r="K16" s="29">
        <f>SUM(K5:K15)*1.3</f>
        <v>99.423983328664</v>
      </c>
      <c r="L16" s="29">
        <f>SUM(L5:L15)*1.3</f>
        <v>5.468362225248</v>
      </c>
      <c r="M16" s="29">
        <f>SUM(M5:M15)*1.3</f>
        <v>5.468362225248</v>
      </c>
      <c r="N16" s="29"/>
      <c r="O16" s="29">
        <f>SUM(O5:O15)*1.3</f>
        <v>2.35613995344</v>
      </c>
      <c r="P16" s="29">
        <f>SUM(P5:P15)*1.3</f>
        <v>27.036705965724</v>
      </c>
      <c r="Q16" s="29">
        <f>SUM(Q5:Q15)*1.3</f>
        <v>2.35613995344</v>
      </c>
      <c r="R16" s="29"/>
      <c r="S16" s="29">
        <f>SUM(S5:S15)*1.3</f>
        <v>25.7430598800102</v>
      </c>
      <c r="T16" s="29">
        <f>SUM(T5:T15)*1.3</f>
        <v>2.243403911112</v>
      </c>
      <c r="U16" s="29">
        <f>SUM(U5:U15)*1.3</f>
        <v>2.243403911112</v>
      </c>
      <c r="V16" s="29"/>
      <c r="W16" s="45"/>
      <c r="X16" s="46" t="s">
        <v>98</v>
      </c>
    </row>
    <row r="17" ht="45" customHeight="1" spans="1:24">
      <c r="A17" s="33" t="s">
        <v>61</v>
      </c>
      <c r="B17" s="34"/>
      <c r="C17" s="35"/>
      <c r="D17" s="35"/>
      <c r="E17" s="36"/>
      <c r="F17" s="37">
        <f>SUM(F16:W16)</f>
        <v>307.505146909702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62"/>
    </row>
  </sheetData>
  <mergeCells count="17">
    <mergeCell ref="A1:W1"/>
    <mergeCell ref="F2:V2"/>
    <mergeCell ref="F3:J3"/>
    <mergeCell ref="K3:N3"/>
    <mergeCell ref="O3:R3"/>
    <mergeCell ref="S3:V3"/>
    <mergeCell ref="A16:B16"/>
    <mergeCell ref="A17:B17"/>
    <mergeCell ref="F17:W17"/>
    <mergeCell ref="A2:A4"/>
    <mergeCell ref="B2:B4"/>
    <mergeCell ref="B5:B7"/>
    <mergeCell ref="B8:B15"/>
    <mergeCell ref="C2:C4"/>
    <mergeCell ref="D2:D4"/>
    <mergeCell ref="E2:E4"/>
    <mergeCell ref="W2:W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85" zoomScaleNormal="85" workbookViewId="0">
      <selection activeCell="N8" sqref="N8"/>
    </sheetView>
  </sheetViews>
  <sheetFormatPr defaultColWidth="9" defaultRowHeight="13.5"/>
  <cols>
    <col min="1" max="1" width="7.875" style="104" customWidth="1"/>
    <col min="2" max="2" width="9.625" style="104" customWidth="1"/>
    <col min="3" max="3" width="16.75" style="104" customWidth="1"/>
    <col min="4" max="4" width="22.25" style="104" customWidth="1"/>
    <col min="5" max="5" width="15.75" style="104" customWidth="1"/>
    <col min="6" max="9" width="9" style="104" customWidth="1"/>
    <col min="10" max="10" width="10.125" style="104" customWidth="1"/>
    <col min="11" max="11" width="8.875" style="104" customWidth="1"/>
    <col min="12" max="16384" width="9" style="104"/>
  </cols>
  <sheetData>
    <row r="1" s="104" customFormat="1" ht="45" customHeight="1" spans="1:10">
      <c r="A1" s="6" t="s">
        <v>99</v>
      </c>
      <c r="B1" s="7"/>
      <c r="C1" s="7"/>
      <c r="D1" s="7"/>
      <c r="E1" s="7"/>
      <c r="F1" s="7"/>
      <c r="G1" s="7"/>
      <c r="H1" s="7"/>
      <c r="I1" s="7"/>
      <c r="J1" s="38"/>
    </row>
    <row r="2" s="104" customFormat="1" ht="45" customHeight="1" spans="1:10">
      <c r="A2" s="71" t="s">
        <v>1</v>
      </c>
      <c r="B2" s="72" t="s">
        <v>2</v>
      </c>
      <c r="C2" s="72" t="s">
        <v>3</v>
      </c>
      <c r="D2" s="73" t="s">
        <v>4</v>
      </c>
      <c r="E2" s="74" t="s">
        <v>5</v>
      </c>
      <c r="F2" s="105"/>
      <c r="G2" s="105"/>
      <c r="H2" s="105"/>
      <c r="I2" s="105"/>
      <c r="J2" s="86" t="s">
        <v>6</v>
      </c>
    </row>
    <row r="3" s="104" customFormat="1" ht="45" customHeight="1" spans="1:10">
      <c r="A3" s="76"/>
      <c r="B3" s="72"/>
      <c r="C3" s="72"/>
      <c r="D3" s="73"/>
      <c r="E3" s="74"/>
      <c r="F3" s="77" t="s">
        <v>100</v>
      </c>
      <c r="G3" s="78"/>
      <c r="H3" s="78"/>
      <c r="I3" s="78"/>
      <c r="J3" s="87"/>
    </row>
    <row r="4" s="104" customFormat="1" ht="45" customHeight="1" spans="1:10">
      <c r="A4" s="79"/>
      <c r="B4" s="80"/>
      <c r="C4" s="80"/>
      <c r="D4" s="81"/>
      <c r="E4" s="82"/>
      <c r="F4" s="83" t="s">
        <v>13</v>
      </c>
      <c r="G4" s="83" t="s">
        <v>83</v>
      </c>
      <c r="H4" s="83" t="s">
        <v>11</v>
      </c>
      <c r="I4" s="83" t="s">
        <v>14</v>
      </c>
      <c r="J4" s="88"/>
    </row>
    <row r="5" s="104" customFormat="1" ht="45" customHeight="1" spans="1:10">
      <c r="A5" s="84">
        <v>1</v>
      </c>
      <c r="B5" s="25" t="s">
        <v>88</v>
      </c>
      <c r="C5" s="32" t="s">
        <v>101</v>
      </c>
      <c r="D5" s="67" t="s">
        <v>97</v>
      </c>
      <c r="E5" s="85">
        <v>534.6</v>
      </c>
      <c r="F5" s="31">
        <v>7.30650832164</v>
      </c>
      <c r="G5" s="31">
        <v>0.71283008016</v>
      </c>
      <c r="H5" s="31">
        <v>0.71283008016</v>
      </c>
      <c r="I5" s="66"/>
      <c r="J5" s="89"/>
    </row>
    <row r="6" s="104" customFormat="1" ht="45" customHeight="1" spans="1:10">
      <c r="A6" s="63">
        <v>2</v>
      </c>
      <c r="B6" s="25"/>
      <c r="C6" s="67" t="s">
        <v>102</v>
      </c>
      <c r="D6" s="68" t="s">
        <v>97</v>
      </c>
      <c r="E6" s="66">
        <v>632.64</v>
      </c>
      <c r="F6" s="31">
        <v>8.646444864576</v>
      </c>
      <c r="G6" s="31">
        <v>1.124740795392</v>
      </c>
      <c r="H6" s="31">
        <v>1.124740795392</v>
      </c>
      <c r="I6" s="66"/>
      <c r="J6" s="45"/>
    </row>
    <row r="7" s="104" customFormat="1" ht="45" customHeight="1" spans="1:10">
      <c r="A7" s="59">
        <v>3</v>
      </c>
      <c r="B7" s="25"/>
      <c r="C7" s="26" t="s">
        <v>103</v>
      </c>
      <c r="D7" s="68" t="s">
        <v>97</v>
      </c>
      <c r="E7" s="29">
        <v>632.64</v>
      </c>
      <c r="F7" s="31">
        <v>8.646444864576</v>
      </c>
      <c r="G7" s="31">
        <v>1.124740795392</v>
      </c>
      <c r="H7" s="31">
        <v>1.124740795392</v>
      </c>
      <c r="I7" s="29"/>
      <c r="J7" s="45"/>
    </row>
    <row r="8" s="104" customFormat="1" ht="45" customHeight="1" spans="1:10">
      <c r="A8" s="59">
        <v>4</v>
      </c>
      <c r="B8" s="25"/>
      <c r="C8" s="26" t="s">
        <v>104</v>
      </c>
      <c r="D8" s="68" t="s">
        <v>97</v>
      </c>
      <c r="E8" s="29">
        <v>632.64</v>
      </c>
      <c r="F8" s="31">
        <v>8.646444864576</v>
      </c>
      <c r="G8" s="31">
        <v>1.124740795392</v>
      </c>
      <c r="H8" s="31">
        <v>1.124740795392</v>
      </c>
      <c r="I8" s="29"/>
      <c r="J8" s="45"/>
    </row>
    <row r="9" s="104" customFormat="1" ht="45" customHeight="1" spans="1:10">
      <c r="A9" s="59">
        <v>5</v>
      </c>
      <c r="B9" s="25"/>
      <c r="C9" s="26" t="s">
        <v>105</v>
      </c>
      <c r="D9" s="68" t="s">
        <v>97</v>
      </c>
      <c r="E9" s="29">
        <v>574.56</v>
      </c>
      <c r="F9" s="31">
        <v>7.852651367904</v>
      </c>
      <c r="G9" s="31">
        <v>1.021483104768</v>
      </c>
      <c r="H9" s="31">
        <v>1.021483104768</v>
      </c>
      <c r="I9" s="29"/>
      <c r="J9" s="45"/>
    </row>
    <row r="10" s="104" customFormat="1" ht="45" customHeight="1" spans="1:10">
      <c r="A10" s="59">
        <v>6</v>
      </c>
      <c r="B10" s="25"/>
      <c r="C10" s="26" t="s">
        <v>106</v>
      </c>
      <c r="D10" s="68" t="s">
        <v>97</v>
      </c>
      <c r="E10" s="29">
        <v>933.96</v>
      </c>
      <c r="F10" s="31">
        <v>12.764658645864</v>
      </c>
      <c r="G10" s="31">
        <v>1.660443401088</v>
      </c>
      <c r="H10" s="31">
        <v>1.660443401088</v>
      </c>
      <c r="I10" s="29"/>
      <c r="J10" s="45"/>
    </row>
    <row r="11" s="104" customFormat="1" ht="45" customHeight="1" spans="1:10">
      <c r="A11" s="59">
        <v>7</v>
      </c>
      <c r="B11" s="25"/>
      <c r="C11" s="26"/>
      <c r="D11" s="68" t="s">
        <v>107</v>
      </c>
      <c r="E11" s="29"/>
      <c r="F11" s="29">
        <v>6.0660999786168</v>
      </c>
      <c r="G11" s="29"/>
      <c r="H11" s="29"/>
      <c r="I11" s="29"/>
      <c r="J11" s="45"/>
    </row>
    <row r="12" s="104" customFormat="1" ht="45" customHeight="1" spans="1:10">
      <c r="A12" s="59">
        <v>8</v>
      </c>
      <c r="B12" s="32"/>
      <c r="C12" s="26"/>
      <c r="D12" s="26" t="s">
        <v>59</v>
      </c>
      <c r="E12" s="29"/>
      <c r="F12" s="29">
        <v>10.110166631028</v>
      </c>
      <c r="G12" s="29"/>
      <c r="H12" s="29"/>
      <c r="I12" s="29"/>
      <c r="J12" s="45"/>
    </row>
    <row r="13" s="104" customFormat="1" ht="45" customHeight="1" spans="1:10">
      <c r="A13" s="26" t="s">
        <v>60</v>
      </c>
      <c r="B13" s="26"/>
      <c r="C13" s="26"/>
      <c r="D13" s="26"/>
      <c r="E13" s="29"/>
      <c r="F13" s="29">
        <v>70.0394195387808</v>
      </c>
      <c r="G13" s="29">
        <v>6.768978972192</v>
      </c>
      <c r="H13" s="29">
        <v>6.768978972192</v>
      </c>
      <c r="I13" s="29">
        <v>0</v>
      </c>
      <c r="J13" s="45"/>
    </row>
    <row r="14" s="104" customFormat="1" ht="45" customHeight="1" spans="1:11">
      <c r="A14" s="33" t="s">
        <v>61</v>
      </c>
      <c r="B14" s="34"/>
      <c r="C14" s="35"/>
      <c r="D14" s="35"/>
      <c r="E14" s="36"/>
      <c r="F14" s="37"/>
      <c r="G14" s="37"/>
      <c r="H14" s="37"/>
      <c r="I14" s="37"/>
      <c r="J14" s="37"/>
      <c r="K14" s="106"/>
    </row>
  </sheetData>
  <mergeCells count="13">
    <mergeCell ref="A1:J1"/>
    <mergeCell ref="F2:I2"/>
    <mergeCell ref="F3:I3"/>
    <mergeCell ref="A13:B13"/>
    <mergeCell ref="A14:B14"/>
    <mergeCell ref="F14:J14"/>
    <mergeCell ref="A2:A4"/>
    <mergeCell ref="B2:B4"/>
    <mergeCell ref="B5:B12"/>
    <mergeCell ref="C2:C4"/>
    <mergeCell ref="D2:D4"/>
    <mergeCell ref="E2:E4"/>
    <mergeCell ref="J2:J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zoomScale="85" zoomScaleNormal="85" topLeftCell="A7" workbookViewId="0">
      <selection activeCell="V17" sqref="V17"/>
    </sheetView>
  </sheetViews>
  <sheetFormatPr defaultColWidth="9" defaultRowHeight="13.5"/>
  <cols>
    <col min="1" max="1" width="7.875" customWidth="1"/>
    <col min="2" max="2" width="9.625" customWidth="1"/>
    <col min="3" max="3" width="16.75" customWidth="1"/>
    <col min="4" max="4" width="17.25" customWidth="1"/>
    <col min="5" max="5" width="15.775" customWidth="1"/>
    <col min="6" max="14" width="9.025" customWidth="1"/>
    <col min="16" max="22" width="10.125" customWidth="1"/>
    <col min="23" max="23" width="28.75" customWidth="1"/>
  </cols>
  <sheetData>
    <row r="1" ht="45" customHeight="1" spans="1:22">
      <c r="A1" s="6" t="s">
        <v>108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38"/>
    </row>
    <row r="2" ht="45" customHeight="1" spans="1:22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/>
      <c r="G2" s="12"/>
      <c r="H2" s="12"/>
      <c r="I2" s="12"/>
      <c r="J2" s="12"/>
      <c r="K2" s="12"/>
      <c r="L2" s="12"/>
      <c r="M2" s="12"/>
      <c r="N2" s="69"/>
      <c r="O2" s="69"/>
      <c r="P2" s="69"/>
      <c r="Q2" s="69"/>
      <c r="R2" s="69"/>
      <c r="S2" s="69"/>
      <c r="T2" s="69"/>
      <c r="U2" s="69"/>
      <c r="V2" s="39" t="s">
        <v>6</v>
      </c>
    </row>
    <row r="3" ht="45" customHeight="1" spans="1:22">
      <c r="A3" s="13"/>
      <c r="B3" s="9"/>
      <c r="C3" s="9"/>
      <c r="D3" s="10"/>
      <c r="E3" s="11"/>
      <c r="F3" s="14" t="s">
        <v>7</v>
      </c>
      <c r="G3" s="14"/>
      <c r="H3" s="14"/>
      <c r="I3" s="14"/>
      <c r="J3" s="40" t="s">
        <v>81</v>
      </c>
      <c r="K3" s="14"/>
      <c r="L3" s="14"/>
      <c r="M3" s="14"/>
      <c r="N3" s="11" t="s">
        <v>8</v>
      </c>
      <c r="O3" s="11"/>
      <c r="P3" s="11"/>
      <c r="Q3" s="11"/>
      <c r="R3" s="40" t="s">
        <v>9</v>
      </c>
      <c r="S3" s="14"/>
      <c r="T3" s="14"/>
      <c r="U3" s="14"/>
      <c r="V3" s="41"/>
    </row>
    <row r="4" ht="45" customHeight="1" spans="1:22">
      <c r="A4" s="15"/>
      <c r="B4" s="9"/>
      <c r="C4" s="9"/>
      <c r="D4" s="16"/>
      <c r="E4" s="17"/>
      <c r="F4" s="18" t="s">
        <v>10</v>
      </c>
      <c r="G4" s="18" t="s">
        <v>82</v>
      </c>
      <c r="H4" s="18" t="s">
        <v>12</v>
      </c>
      <c r="I4" s="18" t="s">
        <v>14</v>
      </c>
      <c r="J4" s="18" t="s">
        <v>13</v>
      </c>
      <c r="K4" s="18" t="s">
        <v>83</v>
      </c>
      <c r="L4" s="18" t="s">
        <v>11</v>
      </c>
      <c r="M4" s="18" t="s">
        <v>14</v>
      </c>
      <c r="N4" s="18" t="s">
        <v>15</v>
      </c>
      <c r="O4" s="18" t="s">
        <v>16</v>
      </c>
      <c r="P4" s="18" t="s">
        <v>17</v>
      </c>
      <c r="Q4" s="18" t="s">
        <v>14</v>
      </c>
      <c r="R4" s="18" t="s">
        <v>18</v>
      </c>
      <c r="S4" s="18" t="s">
        <v>95</v>
      </c>
      <c r="T4" s="18" t="s">
        <v>86</v>
      </c>
      <c r="U4" s="18" t="s">
        <v>14</v>
      </c>
      <c r="V4" s="42"/>
    </row>
    <row r="5" ht="45" customHeight="1" spans="1:22">
      <c r="A5" s="19">
        <v>1</v>
      </c>
      <c r="B5" s="20" t="s">
        <v>87</v>
      </c>
      <c r="C5" s="20"/>
      <c r="D5" s="99" t="s">
        <v>109</v>
      </c>
      <c r="E5" s="100">
        <f t="shared" ref="E5:E14" si="0">316.6*1.4</f>
        <v>443.24</v>
      </c>
      <c r="F5" s="101"/>
      <c r="G5" s="101"/>
      <c r="H5" s="101">
        <f>E5/100*15*0.855*0.2*0.88*0.8*0.4</f>
        <v>3.2015402496</v>
      </c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2"/>
      <c r="T5" s="102"/>
      <c r="U5" s="102"/>
      <c r="V5" s="103"/>
    </row>
    <row r="6" ht="45" customHeight="1" spans="1:22">
      <c r="A6" s="24">
        <v>2</v>
      </c>
      <c r="B6" s="25"/>
      <c r="C6" s="68" t="s">
        <v>110</v>
      </c>
      <c r="D6" s="26" t="s">
        <v>21</v>
      </c>
      <c r="E6" s="27">
        <f t="shared" si="0"/>
        <v>443.24</v>
      </c>
      <c r="F6" s="27"/>
      <c r="G6" s="27"/>
      <c r="H6" s="27">
        <f>E6/100*15*0.145*0.15*0.8*0.8</f>
        <v>0.92548512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9"/>
      <c r="T6" s="29"/>
      <c r="U6" s="29"/>
      <c r="V6" s="44"/>
    </row>
    <row r="7" ht="45" customHeight="1" spans="1:22">
      <c r="A7" s="24">
        <v>3</v>
      </c>
      <c r="B7" s="25"/>
      <c r="C7" s="68" t="s">
        <v>111</v>
      </c>
      <c r="D7" s="26" t="s">
        <v>21</v>
      </c>
      <c r="E7" s="27">
        <f t="shared" si="0"/>
        <v>443.24</v>
      </c>
      <c r="F7" s="27"/>
      <c r="G7" s="27"/>
      <c r="H7" s="27">
        <f>E7/100*15*0.145*0.15*0.8*0.8</f>
        <v>0.92548512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9"/>
      <c r="T7" s="29"/>
      <c r="U7" s="29"/>
      <c r="V7" s="44"/>
    </row>
    <row r="8" ht="45" customHeight="1" spans="1:22">
      <c r="A8" s="33">
        <v>4</v>
      </c>
      <c r="B8" s="94"/>
      <c r="C8" s="95" t="s">
        <v>112</v>
      </c>
      <c r="D8" s="34" t="s">
        <v>21</v>
      </c>
      <c r="E8" s="96">
        <f t="shared" si="0"/>
        <v>443.24</v>
      </c>
      <c r="F8" s="96"/>
      <c r="G8" s="96"/>
      <c r="H8" s="96">
        <f>E8/100*15*0.145*0.15*0.8*0.8</f>
        <v>0.92548512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35"/>
      <c r="T8" s="35"/>
      <c r="U8" s="35"/>
      <c r="V8" s="98"/>
    </row>
    <row r="9" ht="45" customHeight="1" spans="1:22">
      <c r="A9" s="63">
        <v>5</v>
      </c>
      <c r="B9" s="25" t="s">
        <v>88</v>
      </c>
      <c r="C9" s="64" t="s">
        <v>110</v>
      </c>
      <c r="D9" s="65" t="s">
        <v>21</v>
      </c>
      <c r="E9" s="66">
        <f t="shared" si="0"/>
        <v>443.24</v>
      </c>
      <c r="F9" s="66">
        <f>E9/100*15*0.145*0.7*0.43*0.08</f>
        <v>0.2321425176</v>
      </c>
      <c r="G9" s="66">
        <f>E9/100*15*0.145*0.7*0.43*0.08</f>
        <v>0.2321425176</v>
      </c>
      <c r="H9" s="66">
        <f>E9/100*15*0.145*0.7*0.43*0.82</f>
        <v>2.3794608054</v>
      </c>
      <c r="I9" s="66"/>
      <c r="J9" s="66">
        <f>E9/100*15*0.145*0.7*0.04*0.82</f>
        <v>0.2213451912</v>
      </c>
      <c r="K9" s="66">
        <f>E9/100*15*0.145*0.7*0.04*0.08</f>
        <v>0.0215946528</v>
      </c>
      <c r="L9" s="66">
        <f>E9/100*15*0.145*0.7*0.04*0.08</f>
        <v>0.0215946528</v>
      </c>
      <c r="M9" s="66"/>
      <c r="N9" s="66">
        <f>E9/100*15*0.145*0.7*0.36*0.08</f>
        <v>0.1943518752</v>
      </c>
      <c r="O9" s="66">
        <f>E9/100*15*0.145*0.7*0.36*0.82</f>
        <v>1.9921067208</v>
      </c>
      <c r="P9" s="66">
        <f>E9/100*15*0.145*0.7*0.36*0.08</f>
        <v>0.1943518752</v>
      </c>
      <c r="Q9" s="66"/>
      <c r="R9" s="66">
        <f>E9/100*15*0.145*0.7*0.17*0.82</f>
        <v>0.9407170626</v>
      </c>
      <c r="S9" s="31">
        <f>E9/100*15*0.145*0.7*0.17*0.08</f>
        <v>0.0917772744</v>
      </c>
      <c r="T9" s="31">
        <f>E9/100*15*0.145*0.7*0.17*0.08</f>
        <v>0.0917772744</v>
      </c>
      <c r="U9" s="31"/>
      <c r="V9" s="45"/>
    </row>
    <row r="10" ht="45" customHeight="1" spans="1:22">
      <c r="A10" s="59">
        <v>6</v>
      </c>
      <c r="B10" s="25"/>
      <c r="C10" s="67"/>
      <c r="D10" s="68" t="s">
        <v>109</v>
      </c>
      <c r="E10" s="29">
        <f t="shared" si="0"/>
        <v>443.24</v>
      </c>
      <c r="F10" s="29">
        <f>E10/100*15*0.855*0.6*0.334*0.08</f>
        <v>0.91134753696</v>
      </c>
      <c r="G10" s="29">
        <f>E10/100*15*0.855*0.6*0.334*0.08</f>
        <v>0.91134753696</v>
      </c>
      <c r="H10" s="29">
        <f>E10/100*15*0.855*0.6*0.334*0.82</f>
        <v>9.34131225384</v>
      </c>
      <c r="I10" s="29"/>
      <c r="J10" s="29">
        <f>E10/100*15*0.855*0.6*0.388*0.82</f>
        <v>10.85158429488</v>
      </c>
      <c r="K10" s="29">
        <f>E10/100*15*0.855*0.6*0.388*0.08</f>
        <v>1.05869115072</v>
      </c>
      <c r="L10" s="29">
        <f>E10/100*15*0.855*0.6*0.388*0.08</f>
        <v>1.05869115072</v>
      </c>
      <c r="M10" s="29"/>
      <c r="N10" s="29">
        <f>E10/100*15*0.855*0.6*0.14*0.08</f>
        <v>0.3820019616</v>
      </c>
      <c r="O10" s="29">
        <f>E10/100*15*0.855*0.6*0.14*0.82</f>
        <v>3.9155201064</v>
      </c>
      <c r="P10" s="29">
        <f>E10/100*15*0.855*0.6*0.14*0.08</f>
        <v>0.3820019616</v>
      </c>
      <c r="Q10" s="29"/>
      <c r="R10" s="29">
        <f>E10/100*15*0.855*0.6*0.147*0.82</f>
        <v>4.11129611172</v>
      </c>
      <c r="S10" s="29">
        <f>E10/100*15*0.855*0.6*0.147*0.08</f>
        <v>0.40110205968</v>
      </c>
      <c r="T10" s="29">
        <f>E10/100*15*0.855*0.6*0.147*0.08</f>
        <v>0.40110205968</v>
      </c>
      <c r="U10" s="29"/>
      <c r="V10" s="45"/>
    </row>
    <row r="11" ht="45" customHeight="1" spans="1:22">
      <c r="A11" s="59">
        <v>7</v>
      </c>
      <c r="B11" s="25"/>
      <c r="C11" s="64" t="s">
        <v>111</v>
      </c>
      <c r="D11" s="65" t="s">
        <v>21</v>
      </c>
      <c r="E11" s="66">
        <f t="shared" si="0"/>
        <v>443.24</v>
      </c>
      <c r="F11" s="66">
        <f>E11/100*15*0.145*0.7*0.43*0.08</f>
        <v>0.2321425176</v>
      </c>
      <c r="G11" s="66">
        <f>E11/100*15*0.145*0.7*0.43*0.08</f>
        <v>0.2321425176</v>
      </c>
      <c r="H11" s="66">
        <f>E11/100*15*0.145*0.7*0.43*0.82</f>
        <v>2.3794608054</v>
      </c>
      <c r="I11" s="66"/>
      <c r="J11" s="66">
        <f>E11/100*15*0.145*0.7*0.04*0.82</f>
        <v>0.2213451912</v>
      </c>
      <c r="K11" s="66">
        <f>E11/100*15*0.145*0.7*0.04*0.08</f>
        <v>0.0215946528</v>
      </c>
      <c r="L11" s="66">
        <f>E11/100*15*0.145*0.7*0.04*0.08</f>
        <v>0.0215946528</v>
      </c>
      <c r="M11" s="66"/>
      <c r="N11" s="66">
        <f>E11/100*15*0.145*0.7*0.36*0.08</f>
        <v>0.1943518752</v>
      </c>
      <c r="O11" s="66">
        <f>E11/100*15*0.145*0.7*0.36*0.82</f>
        <v>1.9921067208</v>
      </c>
      <c r="P11" s="66">
        <f>E11/100*15*0.145*0.7*0.36*0.08</f>
        <v>0.1943518752</v>
      </c>
      <c r="Q11" s="66"/>
      <c r="R11" s="66">
        <f>E11/100*15*0.145*0.7*0.17*0.82</f>
        <v>0.9407170626</v>
      </c>
      <c r="S11" s="31">
        <f>E11/100*15*0.145*0.7*0.17*0.08</f>
        <v>0.0917772744</v>
      </c>
      <c r="T11" s="31">
        <f>E11/100*15*0.145*0.7*0.17*0.08</f>
        <v>0.0917772744</v>
      </c>
      <c r="U11" s="29"/>
      <c r="V11" s="45"/>
    </row>
    <row r="12" ht="45" customHeight="1" spans="1:22">
      <c r="A12" s="59">
        <v>8</v>
      </c>
      <c r="B12" s="25"/>
      <c r="C12" s="67"/>
      <c r="D12" s="68" t="s">
        <v>109</v>
      </c>
      <c r="E12" s="29">
        <f t="shared" si="0"/>
        <v>443.24</v>
      </c>
      <c r="F12" s="29">
        <f>E12/100*15*0.855*0.6*0.334*0.08*0.2</f>
        <v>0.182269507392</v>
      </c>
      <c r="G12" s="29">
        <f>E12/100*15*0.855*0.6*0.334*0.08*0.2</f>
        <v>0.182269507392</v>
      </c>
      <c r="H12" s="29">
        <f>E12/100*15*0.855*0.6*0.334*0.82*0.2</f>
        <v>1.868262450768</v>
      </c>
      <c r="I12" s="29"/>
      <c r="J12" s="29">
        <f>E12/100*15*0.855*0.6*0.388*0.82*0.4</f>
        <v>4.340633717952</v>
      </c>
      <c r="K12" s="29">
        <f>E12/100*15*0.855*0.6*0.388*0.08*0.4</f>
        <v>0.423476460288</v>
      </c>
      <c r="L12" s="29">
        <f>E12/100*15*0.855*0.6*0.388*0.08*0.4</f>
        <v>0.423476460288</v>
      </c>
      <c r="M12" s="29"/>
      <c r="N12" s="29">
        <f>E12/100*15*0.855*0.6*0.14*0.08*0.2</f>
        <v>0.07640039232</v>
      </c>
      <c r="O12" s="29">
        <f>E12/100*15*0.855*0.6*0.14*0.82*0.2</f>
        <v>0.78310402128</v>
      </c>
      <c r="P12" s="29">
        <f>E12/100*15*0.855*0.6*0.14*0.08*0.2</f>
        <v>0.07640039232</v>
      </c>
      <c r="Q12" s="29"/>
      <c r="R12" s="29">
        <f>E12/100*15*0.855*0.6*0.147*0.82*0.2</f>
        <v>0.822259222344</v>
      </c>
      <c r="S12" s="29">
        <f>E12/100*15*0.855*0.6*0.147*0.08*0.2</f>
        <v>0.080220411936</v>
      </c>
      <c r="T12" s="29">
        <f>E12/100*15*0.855*0.6*0.147*0.08*0.2</f>
        <v>0.080220411936</v>
      </c>
      <c r="U12" s="29"/>
      <c r="V12" s="45"/>
    </row>
    <row r="13" ht="45" customHeight="1" spans="1:22">
      <c r="A13" s="59">
        <v>9</v>
      </c>
      <c r="B13" s="25"/>
      <c r="C13" s="64" t="s">
        <v>112</v>
      </c>
      <c r="D13" s="65" t="s">
        <v>21</v>
      </c>
      <c r="E13" s="66">
        <f t="shared" si="0"/>
        <v>443.24</v>
      </c>
      <c r="F13" s="66">
        <f>E13/100*15*0.145*0.7*0.43*0.08</f>
        <v>0.2321425176</v>
      </c>
      <c r="G13" s="66">
        <f>E13/100*15*0.145*0.7*0.43*0.08</f>
        <v>0.2321425176</v>
      </c>
      <c r="H13" s="66">
        <f>E13/100*15*0.145*0.7*0.43*0.82</f>
        <v>2.3794608054</v>
      </c>
      <c r="I13" s="66"/>
      <c r="J13" s="66">
        <f>E13/100*15*0.145*0.7*0.04*0.82</f>
        <v>0.2213451912</v>
      </c>
      <c r="K13" s="66">
        <f>E13/100*15*0.145*0.7*0.04*0.08</f>
        <v>0.0215946528</v>
      </c>
      <c r="L13" s="66">
        <f>E13/100*15*0.145*0.7*0.04*0.08</f>
        <v>0.0215946528</v>
      </c>
      <c r="M13" s="66"/>
      <c r="N13" s="66">
        <f>E13/100*15*0.145*0.7*0.36*0.08</f>
        <v>0.1943518752</v>
      </c>
      <c r="O13" s="66">
        <f>E13/100*15*0.145*0.7*0.36*0.82</f>
        <v>1.9921067208</v>
      </c>
      <c r="P13" s="66">
        <f>E13/100*15*0.145*0.7*0.36*0.08</f>
        <v>0.1943518752</v>
      </c>
      <c r="Q13" s="66"/>
      <c r="R13" s="66">
        <f>E13/100*15*0.145*0.7*0.17*0.82</f>
        <v>0.9407170626</v>
      </c>
      <c r="S13" s="31">
        <f>E13/100*15*0.145*0.7*0.17*0.08</f>
        <v>0.0917772744</v>
      </c>
      <c r="T13" s="31">
        <f>E13/100*15*0.145*0.7*0.17*0.08</f>
        <v>0.0917772744</v>
      </c>
      <c r="U13" s="29"/>
      <c r="V13" s="45"/>
    </row>
    <row r="14" ht="45" customHeight="1" spans="1:22">
      <c r="A14" s="59">
        <v>10</v>
      </c>
      <c r="B14" s="25"/>
      <c r="C14" s="67"/>
      <c r="D14" s="68" t="s">
        <v>109</v>
      </c>
      <c r="E14" s="29">
        <f t="shared" si="0"/>
        <v>443.24</v>
      </c>
      <c r="F14" s="29">
        <f>E14/100*15*0.855*0.6*0.334*0.08*0.2</f>
        <v>0.182269507392</v>
      </c>
      <c r="G14" s="29">
        <f>E14/100*15*0.855*0.6*0.334*0.08*0.2</f>
        <v>0.182269507392</v>
      </c>
      <c r="H14" s="29">
        <f>E14/100*15*0.855*0.6*0.334*0.82*0.2</f>
        <v>1.868262450768</v>
      </c>
      <c r="I14" s="29"/>
      <c r="J14" s="29">
        <f>E14/100*15*0.855*0.6*0.388*0.82*0.4</f>
        <v>4.340633717952</v>
      </c>
      <c r="K14" s="29">
        <f>E14/100*15*0.855*0.6*0.388*0.08*0.4</f>
        <v>0.423476460288</v>
      </c>
      <c r="L14" s="29">
        <f>E14/100*15*0.855*0.6*0.388*0.08*0.4</f>
        <v>0.423476460288</v>
      </c>
      <c r="M14" s="29"/>
      <c r="N14" s="29">
        <f>E14/100*15*0.855*0.6*0.14*0.08*0.2</f>
        <v>0.07640039232</v>
      </c>
      <c r="O14" s="29">
        <f>E14/100*15*0.855*0.6*0.14*0.82*0.2</f>
        <v>0.78310402128</v>
      </c>
      <c r="P14" s="29">
        <f>E14/100*15*0.855*0.6*0.14*0.08*0.2</f>
        <v>0.07640039232</v>
      </c>
      <c r="Q14" s="29"/>
      <c r="R14" s="29">
        <f>E14/100*15*0.855*0.6*0.147*0.82*0.2</f>
        <v>0.822259222344</v>
      </c>
      <c r="S14" s="29">
        <f>E14/100*15*0.855*0.6*0.147*0.08*0.2</f>
        <v>0.080220411936</v>
      </c>
      <c r="T14" s="29">
        <f>E14/100*15*0.855*0.6*0.147*0.08*0.2</f>
        <v>0.080220411936</v>
      </c>
      <c r="U14" s="29"/>
      <c r="V14" s="45"/>
    </row>
    <row r="15" ht="45" customHeight="1" spans="1:22">
      <c r="A15" s="59">
        <v>11</v>
      </c>
      <c r="B15" s="25"/>
      <c r="C15" s="26"/>
      <c r="D15" s="67" t="s">
        <v>89</v>
      </c>
      <c r="E15" s="29"/>
      <c r="F15" s="29"/>
      <c r="G15" s="29"/>
      <c r="H15" s="29">
        <f>SUM(F5:H14)*0.09</f>
        <v>2.71249590512376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45"/>
    </row>
    <row r="16" ht="45" customHeight="1" spans="1:22">
      <c r="A16" s="59">
        <v>12</v>
      </c>
      <c r="B16" s="25"/>
      <c r="C16" s="26"/>
      <c r="D16" s="68" t="s">
        <v>90</v>
      </c>
      <c r="E16" s="29"/>
      <c r="F16" s="29"/>
      <c r="G16" s="29"/>
      <c r="H16" s="29"/>
      <c r="I16" s="29"/>
      <c r="J16" s="29">
        <f>SUM(J9:L14)*0.09</f>
        <v>2.17239690273984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45"/>
    </row>
    <row r="17" ht="45" customHeight="1" spans="1:22">
      <c r="A17" s="59">
        <v>13</v>
      </c>
      <c r="B17" s="25"/>
      <c r="C17" s="26"/>
      <c r="D17" s="68" t="s">
        <v>91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>
        <f>SUM(N9:P14)*0.1</f>
        <v>1.369376505504</v>
      </c>
      <c r="P17" s="29"/>
      <c r="Q17" s="29"/>
      <c r="R17" s="29"/>
      <c r="S17" s="29"/>
      <c r="T17" s="29"/>
      <c r="U17" s="29"/>
      <c r="V17" s="45"/>
    </row>
    <row r="18" ht="45" customHeight="1" spans="1:22">
      <c r="A18" s="59">
        <v>14</v>
      </c>
      <c r="B18" s="25"/>
      <c r="C18" s="26"/>
      <c r="D18" s="68" t="s">
        <v>92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>
        <f>SUM(R9:T14)*0.1</f>
        <v>1.0251715157712</v>
      </c>
      <c r="S18" s="29"/>
      <c r="T18" s="29"/>
      <c r="U18" s="29"/>
      <c r="V18" s="45"/>
    </row>
    <row r="19" ht="45" customHeight="1" spans="1:22">
      <c r="A19" s="59">
        <v>15</v>
      </c>
      <c r="B19" s="32"/>
      <c r="C19" s="26"/>
      <c r="D19" s="26" t="s">
        <v>59</v>
      </c>
      <c r="E19" s="29"/>
      <c r="F19" s="29"/>
      <c r="G19" s="29"/>
      <c r="H19" s="29"/>
      <c r="I19" s="29"/>
      <c r="J19" s="29">
        <f>SUM(F5:T14)*0.15</f>
        <v>11.7333100450188</v>
      </c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45"/>
    </row>
    <row r="20" ht="45" customHeight="1" spans="1:23">
      <c r="A20" s="26" t="s">
        <v>60</v>
      </c>
      <c r="B20" s="26"/>
      <c r="C20" s="26"/>
      <c r="D20" s="26"/>
      <c r="E20" s="29"/>
      <c r="F20" s="29">
        <f>SUM(F5:F19)</f>
        <v>1.972314104544</v>
      </c>
      <c r="G20" s="29">
        <f>SUM(G5:G19)</f>
        <v>1.972314104544</v>
      </c>
      <c r="H20" s="29">
        <f>SUM(H5:H19)</f>
        <v>28.9067110862998</v>
      </c>
      <c r="I20" s="29"/>
      <c r="J20" s="29">
        <f>SUM(J5:J19)</f>
        <v>34.1025942521426</v>
      </c>
      <c r="K20" s="29">
        <f>SUM(K5:K19)</f>
        <v>1.970428029696</v>
      </c>
      <c r="L20" s="29">
        <f>SUM(L5:L19)</f>
        <v>1.970428029696</v>
      </c>
      <c r="M20" s="29"/>
      <c r="N20" s="29">
        <f>SUM(N5:N19)</f>
        <v>1.11785837184</v>
      </c>
      <c r="O20" s="29">
        <f>SUM(O5:O19)</f>
        <v>12.827424816864</v>
      </c>
      <c r="P20" s="29">
        <f>SUM(P5:P19)</f>
        <v>1.11785837184</v>
      </c>
      <c r="Q20" s="29"/>
      <c r="R20" s="29">
        <f>SUM(R5:R19)</f>
        <v>9.6031372599792</v>
      </c>
      <c r="S20" s="29">
        <f>SUM(S5:S19)</f>
        <v>0.836874706752</v>
      </c>
      <c r="T20" s="29">
        <f>SUM(T5:T19)</f>
        <v>0.836874706752</v>
      </c>
      <c r="U20" s="29"/>
      <c r="V20" s="45"/>
      <c r="W20" s="46"/>
    </row>
    <row r="21" ht="45" customHeight="1" spans="1:23">
      <c r="A21" s="33" t="s">
        <v>61</v>
      </c>
      <c r="B21" s="34"/>
      <c r="C21" s="35"/>
      <c r="D21" s="35"/>
      <c r="E21" s="36"/>
      <c r="F21" s="37">
        <f>SUM(F20:V20)</f>
        <v>97.2348178409496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62"/>
    </row>
  </sheetData>
  <mergeCells count="20">
    <mergeCell ref="A1:V1"/>
    <mergeCell ref="F2:U2"/>
    <mergeCell ref="F3:I3"/>
    <mergeCell ref="J3:M3"/>
    <mergeCell ref="N3:Q3"/>
    <mergeCell ref="R3:U3"/>
    <mergeCell ref="A20:B20"/>
    <mergeCell ref="A21:B21"/>
    <mergeCell ref="F21:V21"/>
    <mergeCell ref="A2:A4"/>
    <mergeCell ref="B2:B4"/>
    <mergeCell ref="B5:B8"/>
    <mergeCell ref="B9:B19"/>
    <mergeCell ref="C2:C4"/>
    <mergeCell ref="C9:C10"/>
    <mergeCell ref="C11:C12"/>
    <mergeCell ref="C13:C14"/>
    <mergeCell ref="D2:D4"/>
    <mergeCell ref="E2:E4"/>
    <mergeCell ref="V2:V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"/>
  <sheetViews>
    <sheetView zoomScale="85" zoomScaleNormal="85" workbookViewId="0">
      <selection activeCell="S14" sqref="S14"/>
    </sheetView>
  </sheetViews>
  <sheetFormatPr defaultColWidth="9" defaultRowHeight="13.5"/>
  <cols>
    <col min="1" max="1" width="7.875" customWidth="1"/>
    <col min="2" max="2" width="9.625" customWidth="1"/>
    <col min="3" max="3" width="16.75" customWidth="1"/>
    <col min="4" max="4" width="17.25" customWidth="1"/>
    <col min="5" max="5" width="15.775" customWidth="1"/>
    <col min="6" max="14" width="9.025" customWidth="1"/>
    <col min="16" max="22" width="10.125" customWidth="1"/>
    <col min="23" max="23" width="28.75" customWidth="1"/>
  </cols>
  <sheetData>
    <row r="1" ht="45" customHeight="1" spans="1:22">
      <c r="A1" s="6" t="s">
        <v>113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38"/>
    </row>
    <row r="2" ht="45" customHeight="1" spans="1:22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/>
      <c r="G2" s="12"/>
      <c r="H2" s="12"/>
      <c r="I2" s="12"/>
      <c r="J2" s="12"/>
      <c r="K2" s="12"/>
      <c r="L2" s="12"/>
      <c r="M2" s="12"/>
      <c r="N2" s="69"/>
      <c r="O2" s="69"/>
      <c r="P2" s="69"/>
      <c r="Q2" s="69"/>
      <c r="R2" s="69"/>
      <c r="S2" s="69"/>
      <c r="T2" s="69"/>
      <c r="U2" s="69"/>
      <c r="V2" s="39" t="s">
        <v>6</v>
      </c>
    </row>
    <row r="3" ht="45" customHeight="1" spans="1:22">
      <c r="A3" s="13"/>
      <c r="B3" s="9"/>
      <c r="C3" s="9"/>
      <c r="D3" s="10"/>
      <c r="E3" s="11"/>
      <c r="F3" s="14" t="s">
        <v>7</v>
      </c>
      <c r="G3" s="14"/>
      <c r="H3" s="14"/>
      <c r="I3" s="14"/>
      <c r="J3" s="40" t="s">
        <v>81</v>
      </c>
      <c r="K3" s="14"/>
      <c r="L3" s="14"/>
      <c r="M3" s="14"/>
      <c r="N3" s="11" t="s">
        <v>8</v>
      </c>
      <c r="O3" s="11"/>
      <c r="P3" s="11"/>
      <c r="Q3" s="11"/>
      <c r="R3" s="40" t="s">
        <v>9</v>
      </c>
      <c r="S3" s="14"/>
      <c r="T3" s="14"/>
      <c r="U3" s="14"/>
      <c r="V3" s="41"/>
    </row>
    <row r="4" ht="45" customHeight="1" spans="1:22">
      <c r="A4" s="15"/>
      <c r="B4" s="9"/>
      <c r="C4" s="9"/>
      <c r="D4" s="16"/>
      <c r="E4" s="17"/>
      <c r="F4" s="18" t="s">
        <v>10</v>
      </c>
      <c r="G4" s="18" t="s">
        <v>82</v>
      </c>
      <c r="H4" s="18" t="s">
        <v>12</v>
      </c>
      <c r="I4" s="18" t="s">
        <v>14</v>
      </c>
      <c r="J4" s="18" t="s">
        <v>13</v>
      </c>
      <c r="K4" s="18" t="s">
        <v>83</v>
      </c>
      <c r="L4" s="18" t="s">
        <v>11</v>
      </c>
      <c r="M4" s="18" t="s">
        <v>14</v>
      </c>
      <c r="N4" s="18" t="s">
        <v>15</v>
      </c>
      <c r="O4" s="18" t="s">
        <v>16</v>
      </c>
      <c r="P4" s="18" t="s">
        <v>17</v>
      </c>
      <c r="Q4" s="18" t="s">
        <v>14</v>
      </c>
      <c r="R4" s="18" t="s">
        <v>18</v>
      </c>
      <c r="S4" s="18" t="s">
        <v>85</v>
      </c>
      <c r="T4" s="18" t="s">
        <v>86</v>
      </c>
      <c r="U4" s="18" t="s">
        <v>14</v>
      </c>
      <c r="V4" s="42"/>
    </row>
    <row r="5" ht="45" customHeight="1" spans="1:22">
      <c r="A5" s="92">
        <v>1</v>
      </c>
      <c r="B5" s="20" t="s">
        <v>87</v>
      </c>
      <c r="C5" s="93"/>
      <c r="D5" s="21" t="s">
        <v>109</v>
      </c>
      <c r="E5" s="22">
        <f>500*1.4</f>
        <v>700</v>
      </c>
      <c r="F5" s="22"/>
      <c r="G5" s="22"/>
      <c r="H5" s="22">
        <f>E5/100*15*0.855*0.2*0.88*0.8*0.4</f>
        <v>5.056128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97"/>
      <c r="T5" s="97"/>
      <c r="U5" s="97"/>
      <c r="V5" s="43"/>
    </row>
    <row r="6" ht="45" customHeight="1" spans="1:22">
      <c r="A6" s="33">
        <v>2</v>
      </c>
      <c r="B6" s="94"/>
      <c r="C6" s="95"/>
      <c r="D6" s="34" t="s">
        <v>21</v>
      </c>
      <c r="E6" s="96">
        <f>500*1.4</f>
        <v>700</v>
      </c>
      <c r="F6" s="96"/>
      <c r="G6" s="96"/>
      <c r="H6" s="96">
        <f>E6/100*15*0.145*0.15*0.8*0.8</f>
        <v>1.4616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35"/>
      <c r="T6" s="35"/>
      <c r="U6" s="35"/>
      <c r="V6" s="98"/>
    </row>
    <row r="7" ht="45" customHeight="1" spans="1:22">
      <c r="A7" s="30">
        <v>3</v>
      </c>
      <c r="B7" s="25" t="s">
        <v>88</v>
      </c>
      <c r="C7" s="64" t="s">
        <v>114</v>
      </c>
      <c r="D7" s="65" t="s">
        <v>21</v>
      </c>
      <c r="E7" s="66">
        <f>500*1.4</f>
        <v>700</v>
      </c>
      <c r="F7" s="66">
        <f>E7/100*15*0.145*0.7*0.43*0.1</f>
        <v>0.4582725</v>
      </c>
      <c r="G7" s="66">
        <f>E7/100*15*0.145*0.7*0.43*0.08</f>
        <v>0.366618</v>
      </c>
      <c r="H7" s="66">
        <f>E7/100*15*0.145*0.7*0.43*0.8</f>
        <v>3.66618</v>
      </c>
      <c r="I7" s="66"/>
      <c r="J7" s="66">
        <f>E7/100*15*0.145*0.7*0.04*0.82</f>
        <v>0.349566</v>
      </c>
      <c r="K7" s="66">
        <f>E7/100*15*0.145*0.7*0.04*0.08</f>
        <v>0.034104</v>
      </c>
      <c r="L7" s="66">
        <f>E7/100*15*0.145*0.7*0.04*0.08</f>
        <v>0.034104</v>
      </c>
      <c r="M7" s="66"/>
      <c r="N7" s="66">
        <f>E7/100*15*0.145*0.7*0.36*0.08</f>
        <v>0.306936</v>
      </c>
      <c r="O7" s="66">
        <f>E7/100*15*0.145*0.7*0.36*0.82</f>
        <v>3.146094</v>
      </c>
      <c r="P7" s="66">
        <f>E7/100*15*0.145*0.7*0.36*0.08</f>
        <v>0.306936</v>
      </c>
      <c r="Q7" s="66"/>
      <c r="R7" s="66">
        <f>E7/100*15*0.145*0.7*0.17*0.82</f>
        <v>1.4856555</v>
      </c>
      <c r="S7" s="31">
        <f>E7/100*15*0.145*0.7*0.17*0.08</f>
        <v>0.144942</v>
      </c>
      <c r="T7" s="31">
        <f>E7/100*15*0.145*0.7*0.17*0.08</f>
        <v>0.144942</v>
      </c>
      <c r="U7" s="31"/>
      <c r="V7" s="45"/>
    </row>
    <row r="8" ht="45" customHeight="1" spans="1:22">
      <c r="A8" s="26">
        <v>4</v>
      </c>
      <c r="B8" s="25"/>
      <c r="C8" s="67"/>
      <c r="D8" s="68" t="s">
        <v>109</v>
      </c>
      <c r="E8" s="29">
        <f>500*1.4</f>
        <v>700</v>
      </c>
      <c r="F8" s="29">
        <f>E8/100*15*0.855*0.6*0.334*0.1</f>
        <v>1.799091</v>
      </c>
      <c r="G8" s="29">
        <f>E8/100*15*0.855*0.6*0.334*0.08</f>
        <v>1.4392728</v>
      </c>
      <c r="H8" s="29">
        <f>E8/100*15*0.855*0.6*0.334*0.8</f>
        <v>14.392728</v>
      </c>
      <c r="I8" s="29"/>
      <c r="J8" s="29">
        <f>E8/100*15*0.855*0.6*0.388*0.82</f>
        <v>17.1376884</v>
      </c>
      <c r="K8" s="29">
        <f>E8/100*15*0.855*0.6*0.388*0.08</f>
        <v>1.6719696</v>
      </c>
      <c r="L8" s="29">
        <f>E8/100*15*0.855*0.6*0.388*0.08</f>
        <v>1.6719696</v>
      </c>
      <c r="M8" s="29"/>
      <c r="N8" s="29">
        <f>E8/100*15*0.855*0.6*0.14*0.08</f>
        <v>0.603288</v>
      </c>
      <c r="O8" s="29">
        <f>E8/100*15*0.855*0.6*0.14*0.82</f>
        <v>6.183702</v>
      </c>
      <c r="P8" s="29">
        <f>E8/100*15*0.855*0.6*0.14*0.08</f>
        <v>0.603288</v>
      </c>
      <c r="Q8" s="29"/>
      <c r="R8" s="29">
        <f>E8/100*15*0.855*0.6*0.147*0.82</f>
        <v>6.4928871</v>
      </c>
      <c r="S8" s="29">
        <f>E8/100*15*0.855*0.6*0.147*0.08</f>
        <v>0.6334524</v>
      </c>
      <c r="T8" s="29">
        <f>E8/100*15*0.855*0.6*0.147*0.08</f>
        <v>0.6334524</v>
      </c>
      <c r="U8" s="29"/>
      <c r="V8" s="45"/>
    </row>
    <row r="9" ht="45" customHeight="1" spans="1:22">
      <c r="A9" s="26">
        <v>5</v>
      </c>
      <c r="B9" s="25"/>
      <c r="C9" s="26"/>
      <c r="D9" s="67" t="s">
        <v>89</v>
      </c>
      <c r="E9" s="29"/>
      <c r="F9" s="29"/>
      <c r="G9" s="29"/>
      <c r="H9" s="29">
        <f>SUM(F5:H8)*0.09</f>
        <v>2.577590127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45"/>
    </row>
    <row r="10" ht="45" customHeight="1" spans="1:22">
      <c r="A10" s="26">
        <v>6</v>
      </c>
      <c r="B10" s="25"/>
      <c r="C10" s="26"/>
      <c r="D10" s="68" t="s">
        <v>90</v>
      </c>
      <c r="E10" s="29"/>
      <c r="F10" s="29"/>
      <c r="G10" s="29"/>
      <c r="H10" s="29"/>
      <c r="I10" s="29"/>
      <c r="J10" s="29">
        <f>SUM(J7:L8)*0.09</f>
        <v>1.880946144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5"/>
    </row>
    <row r="11" ht="45" customHeight="1" spans="1:22">
      <c r="A11" s="26">
        <v>7</v>
      </c>
      <c r="B11" s="25"/>
      <c r="C11" s="26"/>
      <c r="D11" s="68" t="s">
        <v>91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>
        <f>SUM(N7:P8)*0.1</f>
        <v>1.1150244</v>
      </c>
      <c r="P11" s="29"/>
      <c r="Q11" s="29"/>
      <c r="R11" s="29"/>
      <c r="S11" s="29"/>
      <c r="T11" s="29"/>
      <c r="U11" s="29"/>
      <c r="V11" s="45"/>
    </row>
    <row r="12" ht="45" customHeight="1" spans="1:22">
      <c r="A12" s="26">
        <v>8</v>
      </c>
      <c r="B12" s="25"/>
      <c r="C12" s="26"/>
      <c r="D12" s="68" t="s">
        <v>92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>
        <f>SUM(R7:T8)*0.1</f>
        <v>0.95353314</v>
      </c>
      <c r="S12" s="29"/>
      <c r="T12" s="29"/>
      <c r="U12" s="29"/>
      <c r="V12" s="45"/>
    </row>
    <row r="13" ht="45" customHeight="1" spans="1:22">
      <c r="A13" s="26">
        <v>9</v>
      </c>
      <c r="B13" s="32"/>
      <c r="C13" s="26"/>
      <c r="D13" s="26" t="s">
        <v>59</v>
      </c>
      <c r="E13" s="29"/>
      <c r="F13" s="29"/>
      <c r="G13" s="29"/>
      <c r="H13" s="29"/>
      <c r="I13" s="29"/>
      <c r="J13" s="29">
        <f>SUM(F5:T8)*0.15</f>
        <v>10.533730095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45"/>
    </row>
    <row r="14" ht="45" customHeight="1" spans="1:23">
      <c r="A14" s="26" t="s">
        <v>60</v>
      </c>
      <c r="B14" s="26"/>
      <c r="C14" s="26"/>
      <c r="D14" s="26"/>
      <c r="E14" s="29"/>
      <c r="F14" s="29">
        <f>SUM(F5:F13)</f>
        <v>2.2573635</v>
      </c>
      <c r="G14" s="29">
        <f>SUM(G5:G13)</f>
        <v>1.8058908</v>
      </c>
      <c r="H14" s="29">
        <f>SUM(H5:H13)</f>
        <v>27.154226127</v>
      </c>
      <c r="I14" s="29"/>
      <c r="J14" s="29">
        <f>SUM(J5:J13)</f>
        <v>29.901930639</v>
      </c>
      <c r="K14" s="29">
        <f>SUM(K5:K13)</f>
        <v>1.7060736</v>
      </c>
      <c r="L14" s="29">
        <f>SUM(L5:L13)</f>
        <v>1.7060736</v>
      </c>
      <c r="M14" s="29"/>
      <c r="N14" s="29">
        <f>SUM(N5:N13)</f>
        <v>0.910224</v>
      </c>
      <c r="O14" s="29">
        <f>SUM(O5:O13)</f>
        <v>10.4448204</v>
      </c>
      <c r="P14" s="29">
        <f>SUM(P5:P13)</f>
        <v>0.910224</v>
      </c>
      <c r="Q14" s="29"/>
      <c r="R14" s="29">
        <f>SUM(R5:R13)</f>
        <v>8.93207574</v>
      </c>
      <c r="S14" s="29">
        <f>SUM(S5:S13)</f>
        <v>0.7783944</v>
      </c>
      <c r="T14" s="29">
        <f>SUM(T5:T13)</f>
        <v>0.7783944</v>
      </c>
      <c r="U14" s="29"/>
      <c r="V14" s="45"/>
      <c r="W14" s="46"/>
    </row>
    <row r="15" ht="45" customHeight="1" spans="1:23">
      <c r="A15" s="33" t="s">
        <v>61</v>
      </c>
      <c r="B15" s="34"/>
      <c r="C15" s="35"/>
      <c r="D15" s="35"/>
      <c r="E15" s="36"/>
      <c r="F15" s="37">
        <f>SUM(F14:V14)</f>
        <v>87.285691206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62"/>
    </row>
  </sheetData>
  <mergeCells count="18">
    <mergeCell ref="A1:V1"/>
    <mergeCell ref="F2:U2"/>
    <mergeCell ref="F3:I3"/>
    <mergeCell ref="J3:M3"/>
    <mergeCell ref="N3:Q3"/>
    <mergeCell ref="R3:U3"/>
    <mergeCell ref="A14:B14"/>
    <mergeCell ref="A15:B15"/>
    <mergeCell ref="F15:V15"/>
    <mergeCell ref="A2:A4"/>
    <mergeCell ref="B2:B4"/>
    <mergeCell ref="B5:B6"/>
    <mergeCell ref="B7:B13"/>
    <mergeCell ref="C2:C4"/>
    <mergeCell ref="C7:C8"/>
    <mergeCell ref="D2:D4"/>
    <mergeCell ref="E2:E4"/>
    <mergeCell ref="V2:V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zoomScale="85" zoomScaleNormal="85" workbookViewId="0">
      <selection activeCell="G6" sqref="G6"/>
    </sheetView>
  </sheetViews>
  <sheetFormatPr defaultColWidth="9" defaultRowHeight="13.5"/>
  <cols>
    <col min="1" max="1" width="7.875" customWidth="1"/>
    <col min="2" max="2" width="9.625" customWidth="1"/>
    <col min="3" max="3" width="16.75" customWidth="1"/>
    <col min="4" max="4" width="17.25" customWidth="1"/>
    <col min="5" max="5" width="15.775" customWidth="1"/>
    <col min="6" max="15" width="9.025" customWidth="1"/>
    <col min="17" max="23" width="10.125" customWidth="1"/>
    <col min="24" max="24" width="28.75" customWidth="1"/>
  </cols>
  <sheetData>
    <row r="1" ht="45" customHeight="1" spans="1:23">
      <c r="A1" s="6" t="s">
        <v>115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38"/>
    </row>
    <row r="2" ht="45" customHeight="1" spans="1:23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/>
      <c r="G2" s="12"/>
      <c r="H2" s="12"/>
      <c r="I2" s="12"/>
      <c r="J2" s="12"/>
      <c r="K2" s="12"/>
      <c r="L2" s="12"/>
      <c r="M2" s="12"/>
      <c r="N2" s="12"/>
      <c r="O2" s="69"/>
      <c r="P2" s="69"/>
      <c r="Q2" s="69"/>
      <c r="R2" s="69"/>
      <c r="S2" s="69"/>
      <c r="T2" s="69"/>
      <c r="U2" s="69"/>
      <c r="V2" s="69"/>
      <c r="W2" s="39" t="s">
        <v>6</v>
      </c>
    </row>
    <row r="3" ht="45" customHeight="1" spans="1:23">
      <c r="A3" s="13"/>
      <c r="B3" s="9"/>
      <c r="C3" s="9"/>
      <c r="D3" s="10"/>
      <c r="E3" s="11"/>
      <c r="F3" s="14" t="s">
        <v>7</v>
      </c>
      <c r="G3" s="14"/>
      <c r="H3" s="14"/>
      <c r="I3" s="14"/>
      <c r="J3" s="14"/>
      <c r="K3" s="40" t="s">
        <v>81</v>
      </c>
      <c r="L3" s="14"/>
      <c r="M3" s="14"/>
      <c r="N3" s="14"/>
      <c r="O3" s="11" t="s">
        <v>8</v>
      </c>
      <c r="P3" s="11"/>
      <c r="Q3" s="11"/>
      <c r="R3" s="11"/>
      <c r="S3" s="40" t="s">
        <v>9</v>
      </c>
      <c r="T3" s="14"/>
      <c r="U3" s="14"/>
      <c r="V3" s="14"/>
      <c r="W3" s="41"/>
    </row>
    <row r="4" ht="45" customHeight="1" spans="1:23">
      <c r="A4" s="15"/>
      <c r="B4" s="9"/>
      <c r="C4" s="9"/>
      <c r="D4" s="16"/>
      <c r="E4" s="17"/>
      <c r="F4" s="18" t="s">
        <v>10</v>
      </c>
      <c r="G4" s="18" t="s">
        <v>62</v>
      </c>
      <c r="H4" s="18" t="s">
        <v>82</v>
      </c>
      <c r="I4" s="18" t="s">
        <v>12</v>
      </c>
      <c r="J4" s="18" t="s">
        <v>14</v>
      </c>
      <c r="K4" s="18" t="s">
        <v>13</v>
      </c>
      <c r="L4" s="18" t="s">
        <v>83</v>
      </c>
      <c r="M4" s="18" t="s">
        <v>11</v>
      </c>
      <c r="N4" s="18" t="s">
        <v>14</v>
      </c>
      <c r="O4" s="18" t="s">
        <v>15</v>
      </c>
      <c r="P4" s="18" t="s">
        <v>16</v>
      </c>
      <c r="Q4" s="18" t="s">
        <v>17</v>
      </c>
      <c r="R4" s="18" t="s">
        <v>14</v>
      </c>
      <c r="S4" s="18" t="s">
        <v>18</v>
      </c>
      <c r="T4" s="18" t="s">
        <v>95</v>
      </c>
      <c r="U4" s="18" t="s">
        <v>86</v>
      </c>
      <c r="V4" s="18" t="s">
        <v>14</v>
      </c>
      <c r="W4" s="42"/>
    </row>
    <row r="5" ht="45" customHeight="1" spans="1:23">
      <c r="A5" s="92">
        <v>1</v>
      </c>
      <c r="B5" s="20" t="s">
        <v>87</v>
      </c>
      <c r="C5" s="93"/>
      <c r="D5" s="21" t="s">
        <v>34</v>
      </c>
      <c r="E5" s="22">
        <f>500*1.4</f>
        <v>700</v>
      </c>
      <c r="F5" s="22"/>
      <c r="G5" s="22">
        <f>E5/100*15*0.855*0.2*0.88*0.8*0.4</f>
        <v>5.056128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97"/>
      <c r="U5" s="97"/>
      <c r="V5" s="97"/>
      <c r="W5" s="43"/>
    </row>
    <row r="6" ht="45" customHeight="1" spans="1:23">
      <c r="A6" s="33">
        <v>2</v>
      </c>
      <c r="B6" s="94"/>
      <c r="C6" s="95"/>
      <c r="D6" s="34" t="s">
        <v>21</v>
      </c>
      <c r="E6" s="96">
        <f>500*1.4</f>
        <v>700</v>
      </c>
      <c r="F6" s="96"/>
      <c r="G6" s="96">
        <f>E6/100*15*0.145*0.15*0.8*0.8</f>
        <v>1.4616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35"/>
      <c r="U6" s="35"/>
      <c r="V6" s="35"/>
      <c r="W6" s="98"/>
    </row>
    <row r="7" ht="45" customHeight="1" spans="1:23">
      <c r="A7" s="30">
        <v>3</v>
      </c>
      <c r="B7" s="25" t="s">
        <v>88</v>
      </c>
      <c r="C7" s="64" t="s">
        <v>116</v>
      </c>
      <c r="D7" s="65" t="s">
        <v>21</v>
      </c>
      <c r="E7" s="66">
        <f>500*1.4</f>
        <v>700</v>
      </c>
      <c r="F7" s="66">
        <f>E7/100*15*0.145*0.7*0.43*0.82</f>
        <v>3.7578345</v>
      </c>
      <c r="G7" s="66"/>
      <c r="H7" s="66">
        <f>E7/100*15*0.145*0.7*0.43*0.08</f>
        <v>0.366618</v>
      </c>
      <c r="I7" s="66">
        <f>E7/100*15*0.145*0.7*0.43*0.08</f>
        <v>0.366618</v>
      </c>
      <c r="J7" s="66"/>
      <c r="K7" s="66">
        <f>E7/100*15*0.145*0.7*0.04*0.82</f>
        <v>0.349566</v>
      </c>
      <c r="L7" s="66">
        <f>E7/100*15*0.145*0.7*0.04*0.08</f>
        <v>0.034104</v>
      </c>
      <c r="M7" s="66">
        <f>E7/100*15*0.145*0.7*0.04*0.08</f>
        <v>0.034104</v>
      </c>
      <c r="N7" s="66"/>
      <c r="O7" s="66">
        <f>E7/100*15*0.145*0.7*0.36*0.08</f>
        <v>0.306936</v>
      </c>
      <c r="P7" s="66">
        <f>E7/100*15*0.145*0.7*0.36*0.82</f>
        <v>3.146094</v>
      </c>
      <c r="Q7" s="66">
        <f>E7/100*15*0.145*0.7*0.36*0.08</f>
        <v>0.306936</v>
      </c>
      <c r="R7" s="66"/>
      <c r="S7" s="66">
        <f>E7/100*15*0.145*0.7*0.17*0.82</f>
        <v>1.4856555</v>
      </c>
      <c r="T7" s="31">
        <f>E7/100*15*0.145*0.7*0.17*0.08</f>
        <v>0.144942</v>
      </c>
      <c r="U7" s="31">
        <f>E7/100*15*0.145*0.7*0.17*0.08</f>
        <v>0.144942</v>
      </c>
      <c r="V7" s="31"/>
      <c r="W7" s="45"/>
    </row>
    <row r="8" ht="45" customHeight="1" spans="1:23">
      <c r="A8" s="26">
        <v>4</v>
      </c>
      <c r="B8" s="25"/>
      <c r="C8" s="67"/>
      <c r="D8" s="68" t="s">
        <v>34</v>
      </c>
      <c r="E8" s="29">
        <f>500*1.4</f>
        <v>700</v>
      </c>
      <c r="F8" s="29">
        <f>E8/100*15*0.855*0.6*0.334*0.82</f>
        <v>14.7525462</v>
      </c>
      <c r="G8" s="29"/>
      <c r="H8" s="29">
        <f>E8/100*15*0.855*0.6*0.334*0.08</f>
        <v>1.4392728</v>
      </c>
      <c r="I8" s="29">
        <f>E8/100*15*0.855*0.6*0.334*0.08</f>
        <v>1.4392728</v>
      </c>
      <c r="J8" s="29"/>
      <c r="K8" s="29">
        <f>E8/100*15*0.855*0.6*0.388*0.82</f>
        <v>17.1376884</v>
      </c>
      <c r="L8" s="29">
        <f>E8/100*15*0.855*0.6*0.388*0.08</f>
        <v>1.6719696</v>
      </c>
      <c r="M8" s="29">
        <f>E8/100*15*0.855*0.6*0.388*0.08</f>
        <v>1.6719696</v>
      </c>
      <c r="N8" s="29"/>
      <c r="O8" s="29">
        <f>E8/100*15*0.855*0.6*0.14*0.08</f>
        <v>0.603288</v>
      </c>
      <c r="P8" s="29">
        <f>E8/100*15*0.855*0.6*0.14*0.82</f>
        <v>6.183702</v>
      </c>
      <c r="Q8" s="29">
        <f>E8/100*15*0.855*0.6*0.14*0.08</f>
        <v>0.603288</v>
      </c>
      <c r="R8" s="29"/>
      <c r="S8" s="29">
        <f>E8/100*15*0.855*0.6*0.147*0.82</f>
        <v>6.4928871</v>
      </c>
      <c r="T8" s="29">
        <f>E8/100*15*0.855*0.6*0.147*0.08</f>
        <v>0.6334524</v>
      </c>
      <c r="U8" s="29">
        <f>E8/100*15*0.855*0.6*0.147*0.08</f>
        <v>0.6334524</v>
      </c>
      <c r="V8" s="29"/>
      <c r="W8" s="45"/>
    </row>
    <row r="9" ht="45" customHeight="1" spans="1:23">
      <c r="A9" s="26">
        <v>5</v>
      </c>
      <c r="B9" s="25"/>
      <c r="C9" s="26"/>
      <c r="D9" s="67" t="s">
        <v>89</v>
      </c>
      <c r="E9" s="29"/>
      <c r="F9" s="29">
        <f>SUM(F5:I8)*0.09</f>
        <v>2.577590127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45"/>
    </row>
    <row r="10" ht="45" customHeight="1" spans="1:23">
      <c r="A10" s="26">
        <v>6</v>
      </c>
      <c r="B10" s="25"/>
      <c r="C10" s="26"/>
      <c r="D10" s="68" t="s">
        <v>90</v>
      </c>
      <c r="E10" s="29"/>
      <c r="F10" s="29"/>
      <c r="G10" s="29"/>
      <c r="H10" s="29"/>
      <c r="I10" s="29"/>
      <c r="J10" s="29"/>
      <c r="K10" s="29">
        <f>SUM(K7:M8)*0.09</f>
        <v>1.880946144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45"/>
    </row>
    <row r="11" ht="45" customHeight="1" spans="1:23">
      <c r="A11" s="26">
        <v>7</v>
      </c>
      <c r="B11" s="25"/>
      <c r="C11" s="26"/>
      <c r="D11" s="68" t="s">
        <v>91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>
        <f>SUM(O7:Q8)*0.1</f>
        <v>1.1150244</v>
      </c>
      <c r="Q11" s="29"/>
      <c r="R11" s="29"/>
      <c r="S11" s="29"/>
      <c r="T11" s="29"/>
      <c r="U11" s="29"/>
      <c r="V11" s="29"/>
      <c r="W11" s="45"/>
    </row>
    <row r="12" ht="45" customHeight="1" spans="1:23">
      <c r="A12" s="26">
        <v>8</v>
      </c>
      <c r="B12" s="25"/>
      <c r="C12" s="26"/>
      <c r="D12" s="68" t="s">
        <v>92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>
        <f>SUM(S7:U8)*0.1</f>
        <v>0.95353314</v>
      </c>
      <c r="T12" s="29"/>
      <c r="U12" s="29"/>
      <c r="V12" s="29"/>
      <c r="W12" s="45"/>
    </row>
    <row r="13" ht="45" customHeight="1" spans="1:23">
      <c r="A13" s="26">
        <v>9</v>
      </c>
      <c r="B13" s="32"/>
      <c r="C13" s="26"/>
      <c r="D13" s="26" t="s">
        <v>59</v>
      </c>
      <c r="E13" s="29"/>
      <c r="F13" s="29"/>
      <c r="G13" s="29"/>
      <c r="H13" s="29"/>
      <c r="I13" s="29"/>
      <c r="J13" s="29"/>
      <c r="K13" s="29">
        <f>SUM(F5:U8)*0.15</f>
        <v>10.533730095</v>
      </c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45"/>
    </row>
    <row r="14" ht="45" customHeight="1" spans="1:24">
      <c r="A14" s="26" t="s">
        <v>60</v>
      </c>
      <c r="B14" s="26"/>
      <c r="C14" s="26"/>
      <c r="D14" s="26"/>
      <c r="E14" s="29"/>
      <c r="F14" s="29">
        <f>SUM(F5:F13)</f>
        <v>21.087970827</v>
      </c>
      <c r="G14" s="29">
        <f>SUM(G5:G13)</f>
        <v>6.517728</v>
      </c>
      <c r="H14" s="29">
        <f>SUM(H5:H13)</f>
        <v>1.8058908</v>
      </c>
      <c r="I14" s="29">
        <f>SUM(I5:I13)</f>
        <v>1.8058908</v>
      </c>
      <c r="J14" s="29"/>
      <c r="K14" s="29">
        <f>SUM(K5:K13)</f>
        <v>29.901930639</v>
      </c>
      <c r="L14" s="29">
        <f>SUM(L5:L13)</f>
        <v>1.7060736</v>
      </c>
      <c r="M14" s="29">
        <f>SUM(M5:M13)</f>
        <v>1.7060736</v>
      </c>
      <c r="N14" s="29"/>
      <c r="O14" s="29">
        <f>SUM(O5:O13)</f>
        <v>0.910224</v>
      </c>
      <c r="P14" s="29">
        <f>SUM(P5:P13)</f>
        <v>10.4448204</v>
      </c>
      <c r="Q14" s="29">
        <f>SUM(Q5:Q13)</f>
        <v>0.910224</v>
      </c>
      <c r="R14" s="29"/>
      <c r="S14" s="29">
        <f>SUM(S5:S13)</f>
        <v>8.93207574</v>
      </c>
      <c r="T14" s="29">
        <f>SUM(T5:T13)</f>
        <v>0.7783944</v>
      </c>
      <c r="U14" s="29">
        <f>SUM(U5:U13)</f>
        <v>0.7783944</v>
      </c>
      <c r="V14" s="29"/>
      <c r="W14" s="45"/>
      <c r="X14" s="46"/>
    </row>
    <row r="15" ht="45" customHeight="1" spans="1:24">
      <c r="A15" s="33" t="s">
        <v>61</v>
      </c>
      <c r="B15" s="34"/>
      <c r="C15" s="35"/>
      <c r="D15" s="35"/>
      <c r="E15" s="36"/>
      <c r="F15" s="37">
        <f>SUM(F14:W14)</f>
        <v>87.285691206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62"/>
    </row>
  </sheetData>
  <mergeCells count="18">
    <mergeCell ref="A1:W1"/>
    <mergeCell ref="F2:V2"/>
    <mergeCell ref="F3:J3"/>
    <mergeCell ref="K3:N3"/>
    <mergeCell ref="O3:R3"/>
    <mergeCell ref="S3:V3"/>
    <mergeCell ref="A14:B14"/>
    <mergeCell ref="A15:B15"/>
    <mergeCell ref="F15:W15"/>
    <mergeCell ref="A2:A4"/>
    <mergeCell ref="B2:B4"/>
    <mergeCell ref="B5:B6"/>
    <mergeCell ref="B7:B13"/>
    <mergeCell ref="C2:C4"/>
    <mergeCell ref="C7:C8"/>
    <mergeCell ref="D2:D4"/>
    <mergeCell ref="E2:E4"/>
    <mergeCell ref="W2:W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"/>
  <sheetViews>
    <sheetView zoomScale="85" zoomScaleNormal="85" workbookViewId="0">
      <selection activeCell="H11" sqref="H11"/>
    </sheetView>
  </sheetViews>
  <sheetFormatPr defaultColWidth="9" defaultRowHeight="13.5"/>
  <cols>
    <col min="1" max="1" width="7.875" customWidth="1"/>
    <col min="2" max="2" width="9.625" customWidth="1"/>
    <col min="3" max="3" width="16.75" customWidth="1"/>
    <col min="4" max="4" width="17.25" customWidth="1"/>
    <col min="5" max="5" width="15.775" customWidth="1"/>
    <col min="6" max="14" width="9.025" customWidth="1"/>
    <col min="16" max="22" width="10.125" customWidth="1"/>
    <col min="23" max="23" width="28.75" customWidth="1"/>
  </cols>
  <sheetData>
    <row r="1" ht="45" customHeight="1" spans="1:22">
      <c r="A1" s="6" t="s">
        <v>117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38"/>
    </row>
    <row r="2" ht="45" customHeight="1" spans="1:22">
      <c r="A2" s="8" t="s">
        <v>1</v>
      </c>
      <c r="B2" s="9" t="s">
        <v>2</v>
      </c>
      <c r="C2" s="9" t="s">
        <v>3</v>
      </c>
      <c r="D2" s="10" t="s">
        <v>4</v>
      </c>
      <c r="E2" s="11" t="s">
        <v>5</v>
      </c>
      <c r="F2" s="12"/>
      <c r="G2" s="12"/>
      <c r="H2" s="12"/>
      <c r="I2" s="12"/>
      <c r="J2" s="12"/>
      <c r="K2" s="12"/>
      <c r="L2" s="12"/>
      <c r="M2" s="12"/>
      <c r="N2" s="69"/>
      <c r="O2" s="69"/>
      <c r="P2" s="69"/>
      <c r="Q2" s="69"/>
      <c r="R2" s="69"/>
      <c r="S2" s="69"/>
      <c r="T2" s="69"/>
      <c r="U2" s="69"/>
      <c r="V2" s="39" t="s">
        <v>6</v>
      </c>
    </row>
    <row r="3" ht="45" customHeight="1" spans="1:22">
      <c r="A3" s="13"/>
      <c r="B3" s="9"/>
      <c r="C3" s="9"/>
      <c r="D3" s="10"/>
      <c r="E3" s="11"/>
      <c r="F3" s="14" t="s">
        <v>7</v>
      </c>
      <c r="G3" s="14"/>
      <c r="H3" s="14"/>
      <c r="I3" s="14"/>
      <c r="J3" s="40" t="s">
        <v>81</v>
      </c>
      <c r="K3" s="14"/>
      <c r="L3" s="14"/>
      <c r="M3" s="14"/>
      <c r="N3" s="11" t="s">
        <v>8</v>
      </c>
      <c r="O3" s="11"/>
      <c r="P3" s="11"/>
      <c r="Q3" s="11"/>
      <c r="R3" s="40" t="s">
        <v>9</v>
      </c>
      <c r="S3" s="14"/>
      <c r="T3" s="14"/>
      <c r="U3" s="14"/>
      <c r="V3" s="41"/>
    </row>
    <row r="4" ht="45" customHeight="1" spans="1:22">
      <c r="A4" s="15"/>
      <c r="B4" s="9"/>
      <c r="C4" s="9"/>
      <c r="D4" s="16"/>
      <c r="E4" s="17"/>
      <c r="F4" s="18" t="s">
        <v>10</v>
      </c>
      <c r="G4" s="18" t="s">
        <v>82</v>
      </c>
      <c r="H4" s="18" t="s">
        <v>12</v>
      </c>
      <c r="I4" s="18" t="s">
        <v>14</v>
      </c>
      <c r="J4" s="18" t="s">
        <v>13</v>
      </c>
      <c r="K4" s="18" t="s">
        <v>83</v>
      </c>
      <c r="L4" s="18" t="s">
        <v>11</v>
      </c>
      <c r="M4" s="18" t="s">
        <v>14</v>
      </c>
      <c r="N4" s="18" t="s">
        <v>15</v>
      </c>
      <c r="O4" s="18" t="s">
        <v>16</v>
      </c>
      <c r="P4" s="18" t="s">
        <v>17</v>
      </c>
      <c r="Q4" s="18" t="s">
        <v>14</v>
      </c>
      <c r="R4" s="18" t="s">
        <v>18</v>
      </c>
      <c r="S4" s="18" t="s">
        <v>95</v>
      </c>
      <c r="T4" s="18" t="s">
        <v>13</v>
      </c>
      <c r="U4" s="18" t="s">
        <v>14</v>
      </c>
      <c r="V4" s="42"/>
    </row>
    <row r="5" ht="45" customHeight="1" spans="1:22">
      <c r="A5" s="26">
        <v>1</v>
      </c>
      <c r="B5" s="90" t="s">
        <v>87</v>
      </c>
      <c r="C5" s="91"/>
      <c r="D5" s="68" t="s">
        <v>118</v>
      </c>
      <c r="E5" s="27">
        <f>1103.32*1.3</f>
        <v>1434.316</v>
      </c>
      <c r="F5" s="27">
        <f>E5/100*15*0.855*0.2*0.88*0.8*0.4</f>
        <v>10.36012184064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9"/>
      <c r="T5" s="29"/>
      <c r="U5" s="29"/>
      <c r="V5" s="29"/>
    </row>
    <row r="6" ht="45" customHeight="1" spans="1:22">
      <c r="A6" s="26">
        <v>2</v>
      </c>
      <c r="B6" s="32"/>
      <c r="C6" s="68"/>
      <c r="D6" s="26" t="s">
        <v>21</v>
      </c>
      <c r="E6" s="27">
        <f>1103.32*1.3</f>
        <v>1434.316</v>
      </c>
      <c r="F6" s="27">
        <f>E6/100*15*0.145*0.15*0.8*0.8</f>
        <v>2.994851808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9"/>
      <c r="T6" s="29"/>
      <c r="U6" s="29"/>
      <c r="V6" s="29"/>
    </row>
    <row r="7" ht="45" customHeight="1" spans="1:22">
      <c r="A7" s="26">
        <v>3</v>
      </c>
      <c r="B7" s="25" t="s">
        <v>88</v>
      </c>
      <c r="C7" s="64" t="s">
        <v>119</v>
      </c>
      <c r="D7" s="65" t="s">
        <v>21</v>
      </c>
      <c r="E7" s="66">
        <f>1103.32*1.3</f>
        <v>1434.316</v>
      </c>
      <c r="F7" s="66">
        <f>E7/100*15*0.145*0.7*0.43*0.82</f>
        <v>7.69988878386</v>
      </c>
      <c r="G7" s="66">
        <f>E7/100*15*0.145*0.7*0.43*0.08</f>
        <v>0.75120866184</v>
      </c>
      <c r="H7" s="66">
        <f>E7/100*15*0.145*0.7*0.43*0.08</f>
        <v>0.75120866184</v>
      </c>
      <c r="I7" s="66"/>
      <c r="J7" s="66">
        <f>E7/100*15*0.145*0.7*0.04*0.82</f>
        <v>0.71626872408</v>
      </c>
      <c r="K7" s="66">
        <f>E7/100*15*0.145*0.7*0.04*0.08</f>
        <v>0.06987987552</v>
      </c>
      <c r="L7" s="66">
        <f>E7/100*15*0.145*0.7*0.04*0.08</f>
        <v>0.06987987552</v>
      </c>
      <c r="M7" s="66"/>
      <c r="N7" s="66">
        <f>E7/100*15*0.145*0.7*0.36*0.08</f>
        <v>0.62891887968</v>
      </c>
      <c r="O7" s="66">
        <f>E7/100*15*0.145*0.7*0.36*0.82</f>
        <v>6.44641851672</v>
      </c>
      <c r="P7" s="66">
        <f>E7/100*15*0.145*0.7*0.36*0.08</f>
        <v>0.62891887968</v>
      </c>
      <c r="Q7" s="66"/>
      <c r="R7" s="66">
        <f>E7/100*15*0.145*0.7*0.17*0.82</f>
        <v>3.04414207734</v>
      </c>
      <c r="S7" s="31">
        <f>E7/100*15*0.145*0.7*0.17*0.08</f>
        <v>0.29698947096</v>
      </c>
      <c r="T7" s="31">
        <f>E7/100*15*0.145*0.7*0.17*0.08</f>
        <v>0.29698947096</v>
      </c>
      <c r="U7" s="31"/>
      <c r="V7" s="45"/>
    </row>
    <row r="8" ht="45" customHeight="1" spans="1:22">
      <c r="A8" s="26">
        <v>4</v>
      </c>
      <c r="B8" s="25"/>
      <c r="C8" s="67"/>
      <c r="D8" s="68" t="s">
        <v>118</v>
      </c>
      <c r="E8" s="29">
        <f>1103.32*1.3</f>
        <v>1434.316</v>
      </c>
      <c r="F8" s="29">
        <f>E8/100*15*0.855*0.6*0.334*0.82</f>
        <v>30.228304364856</v>
      </c>
      <c r="G8" s="29">
        <f>E8/100*15*0.855*0.6*0.334*0.08</f>
        <v>2.949102864864</v>
      </c>
      <c r="H8" s="29">
        <f>E8/100*15*0.855*0.6*0.334*0.08</f>
        <v>2.949102864864</v>
      </c>
      <c r="I8" s="29"/>
      <c r="J8" s="29">
        <f>E8/100*15*0.855*0.6*0.388*0.82</f>
        <v>35.115515250192</v>
      </c>
      <c r="K8" s="29">
        <f>E8/100*15*0.855*0.6*0.388*0.08</f>
        <v>3.425903926848</v>
      </c>
      <c r="L8" s="29">
        <f>E8/100*15*0.855*0.6*0.388*0.08</f>
        <v>3.425903926848</v>
      </c>
      <c r="M8" s="29"/>
      <c r="N8" s="29">
        <f>E8/100*15*0.855*0.6*0.14*0.08</f>
        <v>1.23615090144</v>
      </c>
      <c r="O8" s="29">
        <f>E8/100*15*0.855*0.6*0.14*0.82</f>
        <v>12.67054673976</v>
      </c>
      <c r="P8" s="29">
        <f>E8/100*15*0.855*0.6*0.14*0.08</f>
        <v>1.23615090144</v>
      </c>
      <c r="Q8" s="29"/>
      <c r="R8" s="29">
        <f>E8/100*15*0.855*0.6*0.147*0.82</f>
        <v>13.304074076748</v>
      </c>
      <c r="S8" s="29">
        <f>E8/100*15*0.855*0.6*0.147*0.08</f>
        <v>1.297958446512</v>
      </c>
      <c r="T8" s="29">
        <f>E8/100*15*0.855*0.6*0.147*0.08</f>
        <v>1.297958446512</v>
      </c>
      <c r="U8" s="29"/>
      <c r="V8" s="45"/>
    </row>
    <row r="9" ht="45" customHeight="1" spans="1:22">
      <c r="A9" s="26">
        <v>5</v>
      </c>
      <c r="B9" s="25"/>
      <c r="C9" s="26"/>
      <c r="D9" s="67" t="s">
        <v>89</v>
      </c>
      <c r="E9" s="29"/>
      <c r="F9" s="29">
        <f>SUM(F5:H8)*0.09</f>
        <v>5.28154108656876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45"/>
    </row>
    <row r="10" ht="45" customHeight="1" spans="1:22">
      <c r="A10" s="26">
        <v>6</v>
      </c>
      <c r="B10" s="25"/>
      <c r="C10" s="26"/>
      <c r="D10" s="68" t="s">
        <v>90</v>
      </c>
      <c r="E10" s="29"/>
      <c r="F10" s="29"/>
      <c r="G10" s="29"/>
      <c r="H10" s="29"/>
      <c r="I10" s="29"/>
      <c r="J10" s="29">
        <f>SUM(J7:L8)*0.09</f>
        <v>3.85410164211072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45"/>
    </row>
    <row r="11" ht="45" customHeight="1" spans="1:22">
      <c r="A11" s="26">
        <v>7</v>
      </c>
      <c r="B11" s="25"/>
      <c r="C11" s="26"/>
      <c r="D11" s="68" t="s">
        <v>91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>
        <f>SUM(N7:P8)*0.1</f>
        <v>2.284710481872</v>
      </c>
      <c r="P11" s="29"/>
      <c r="Q11" s="29"/>
      <c r="R11" s="29"/>
      <c r="S11" s="29"/>
      <c r="T11" s="29"/>
      <c r="U11" s="29"/>
      <c r="V11" s="45"/>
    </row>
    <row r="12" ht="45" customHeight="1" spans="1:22">
      <c r="A12" s="26">
        <v>8</v>
      </c>
      <c r="B12" s="25"/>
      <c r="C12" s="26"/>
      <c r="D12" s="68" t="s">
        <v>92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>
        <f>SUM(R7:T8)*0.1</f>
        <v>1.9538111989032</v>
      </c>
      <c r="S12" s="29"/>
      <c r="T12" s="29"/>
      <c r="U12" s="29"/>
      <c r="V12" s="45"/>
    </row>
    <row r="13" ht="45" customHeight="1" spans="1:22">
      <c r="A13" s="26">
        <v>9</v>
      </c>
      <c r="B13" s="32"/>
      <c r="C13" s="26"/>
      <c r="D13" s="26" t="s">
        <v>59</v>
      </c>
      <c r="E13" s="29"/>
      <c r="F13" s="29"/>
      <c r="G13" s="29"/>
      <c r="H13" s="29"/>
      <c r="I13" s="29"/>
      <c r="J13" s="29">
        <f>SUM(F5:T8)*0.15</f>
        <v>21.5838537356286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45"/>
    </row>
    <row r="14" ht="45" customHeight="1" spans="1:23">
      <c r="A14" s="26" t="s">
        <v>60</v>
      </c>
      <c r="B14" s="26"/>
      <c r="C14" s="26"/>
      <c r="D14" s="26"/>
      <c r="E14" s="29"/>
      <c r="F14" s="29">
        <f>SUM(F5:F13)*1.3</f>
        <v>73.5341202491022</v>
      </c>
      <c r="G14" s="29">
        <f>SUM(G5:G13)*1.3</f>
        <v>4.8104049847152</v>
      </c>
      <c r="H14" s="29">
        <f>SUM(H5:H13)*1.3</f>
        <v>4.8104049847152</v>
      </c>
      <c r="I14" s="29"/>
      <c r="J14" s="29">
        <f>SUM(J5:J13)*1.3</f>
        <v>79.6506611576147</v>
      </c>
      <c r="K14" s="29">
        <f>SUM(K5:K13)*1.3</f>
        <v>4.5445189430784</v>
      </c>
      <c r="L14" s="29">
        <f>SUM(L5:L13)*1.3</f>
        <v>4.5445189430784</v>
      </c>
      <c r="M14" s="29"/>
      <c r="N14" s="29">
        <f>SUM(N5:N13)*1.3</f>
        <v>2.424590715456</v>
      </c>
      <c r="O14" s="29">
        <f>SUM(O5:O13)*1.3</f>
        <v>27.8221784598576</v>
      </c>
      <c r="P14" s="29">
        <f>SUM(P5:P13)*1.3</f>
        <v>2.424590715456</v>
      </c>
      <c r="Q14" s="29"/>
      <c r="R14" s="29">
        <f>SUM(R5:R13)*1.3</f>
        <v>23.7926355588886</v>
      </c>
      <c r="S14" s="29">
        <f>SUM(S5:S13)*1.3</f>
        <v>2.0734322927136</v>
      </c>
      <c r="T14" s="29">
        <f>SUM(T5:T13)*1.3</f>
        <v>2.0734322927136</v>
      </c>
      <c r="U14" s="29"/>
      <c r="V14" s="45"/>
      <c r="W14" s="46" t="s">
        <v>120</v>
      </c>
    </row>
    <row r="15" ht="45" customHeight="1" spans="1:23">
      <c r="A15" s="33" t="s">
        <v>61</v>
      </c>
      <c r="B15" s="34"/>
      <c r="C15" s="35"/>
      <c r="D15" s="35"/>
      <c r="E15" s="36"/>
      <c r="F15" s="37">
        <f>SUM(F14:V14)</f>
        <v>232.505489297389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62"/>
    </row>
  </sheetData>
  <mergeCells count="18">
    <mergeCell ref="A1:V1"/>
    <mergeCell ref="F2:U2"/>
    <mergeCell ref="F3:I3"/>
    <mergeCell ref="J3:M3"/>
    <mergeCell ref="N3:Q3"/>
    <mergeCell ref="R3:U3"/>
    <mergeCell ref="A14:B14"/>
    <mergeCell ref="A15:B15"/>
    <mergeCell ref="F15:V15"/>
    <mergeCell ref="A2:A4"/>
    <mergeCell ref="B2:B4"/>
    <mergeCell ref="B5:B6"/>
    <mergeCell ref="B7:B13"/>
    <mergeCell ref="C2:C4"/>
    <mergeCell ref="C7:C8"/>
    <mergeCell ref="D2:D4"/>
    <mergeCell ref="E2:E4"/>
    <mergeCell ref="V2:V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新兴高速房建工程初设</vt:lpstr>
      <vt:lpstr>丰昌高速房建工程</vt:lpstr>
      <vt:lpstr>油墩街收费改造</vt:lpstr>
      <vt:lpstr>瑞洪收费站改扩建</vt:lpstr>
      <vt:lpstr>抚州管理中心2024年收费站大棚维修工程</vt:lpstr>
      <vt:lpstr>2024年新建养护应急仓库专项工程</vt:lpstr>
      <vt:lpstr>南昌东管理中心南新养护站应急仓库建筑工程</vt:lpstr>
      <vt:lpstr>昌北机场新增综合服务站</vt:lpstr>
      <vt:lpstr>修水收费所房屋维修改造工程</vt:lpstr>
      <vt:lpstr>南昌南房建地基下沉改造工程</vt:lpstr>
      <vt:lpstr>南昌西管理中心上富站路政综合楼加固改造工程</vt:lpstr>
      <vt:lpstr>（暂不计）麻丘管理中心综合楼改造工程</vt:lpstr>
      <vt:lpstr>九江管理中心提质升级</vt:lpstr>
      <vt:lpstr>新兴、丰昌投标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降落伞</cp:lastModifiedBy>
  <dcterms:created xsi:type="dcterms:W3CDTF">2025-05-25T09:07:00Z</dcterms:created>
  <dcterms:modified xsi:type="dcterms:W3CDTF">2025-05-29T06:36:31Z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339B29F785AB4D66B44A91C56E71ABF2_12</vt:lpwstr>
  </property>
  <property fmtid="{D5CDD505-2E9C-101B-9397-08002B2CF9AE}" pid="3" name="KSOProductBuildVer">
    <vt:lpwstr>2052-11.1.0.12763</vt:lpwstr>
  </property>
</Properties>
</file>