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2024项目\000001工日2024年\"/>
    </mc:Choice>
  </mc:AlternateContent>
  <xr:revisionPtr revIDLastSave="0" documentId="13_ncr:1_{BDF9E76A-16ED-48E2-9340-6967825562C8}" xr6:coauthVersionLast="47" xr6:coauthVersionMax="47" xr10:uidLastSave="{00000000-0000-0000-0000-000000000000}"/>
  <bookViews>
    <workbookView xWindow="-120" yWindow="-120" windowWidth="29040" windowHeight="15840" tabRatio="887" firstSheet="2" activeTab="7" xr2:uid="{00000000-000D-0000-FFFF-FFFF00000000}"/>
  </bookViews>
  <sheets>
    <sheet name="现金结算" sheetId="26" r:id="rId1"/>
    <sheet name="景德镇管理中心2024年消防安全隐患整治专项工程，景德镇管理中" sheetId="17" r:id="rId2"/>
    <sheet name="南昌西九岭山隧道设备房改造" sheetId="19" r:id="rId3"/>
    <sheet name="吉安西管理中心新建仓库养护项目" sheetId="16" r:id="rId4"/>
    <sheet name="九江管理中心湖口收费站维修改造，九江管理中心都昌收费所房屋维修" sheetId="20" r:id="rId5"/>
    <sheet name="宜春管理中心3个大棚维修改造" sheetId="14" r:id="rId6"/>
    <sheet name="宜春管理中心新建5个设备棚" sheetId="23" r:id="rId7"/>
    <sheet name="白水湖码头" sheetId="21" r:id="rId8"/>
  </sheets>
  <calcPr calcId="191029"/>
</workbook>
</file>

<file path=xl/calcChain.xml><?xml version="1.0" encoding="utf-8"?>
<calcChain xmlns="http://schemas.openxmlformats.org/spreadsheetml/2006/main">
  <c r="F6" i="23" l="1"/>
  <c r="H5" i="26"/>
  <c r="H4" i="26"/>
  <c r="E6" i="17" l="1"/>
  <c r="J6" i="14"/>
  <c r="N9" i="23"/>
  <c r="N8" i="23"/>
  <c r="J20" i="23"/>
  <c r="E6" i="23"/>
  <c r="G20" i="23"/>
  <c r="F5" i="23"/>
  <c r="E5" i="23"/>
  <c r="BU6" i="23"/>
  <c r="BV6" i="23" s="1"/>
  <c r="BE6" i="23" s="1"/>
  <c r="BQ6" i="23"/>
  <c r="BR6" i="23" s="1"/>
  <c r="BA6" i="23" s="1"/>
  <c r="BM6" i="23"/>
  <c r="BN6" i="23" s="1"/>
  <c r="AW6" i="23" s="1"/>
  <c r="BI6" i="23"/>
  <c r="AR6" i="23" s="1"/>
  <c r="BC6" i="23"/>
  <c r="AZ6" i="23"/>
  <c r="AY6" i="23"/>
  <c r="AU6" i="23"/>
  <c r="AQ6" i="23"/>
  <c r="BU5" i="23"/>
  <c r="BV5" i="23" s="1"/>
  <c r="BE5" i="23" s="1"/>
  <c r="BQ5" i="23"/>
  <c r="BR5" i="23" s="1"/>
  <c r="BA5" i="23" s="1"/>
  <c r="BM5" i="23"/>
  <c r="BN5" i="23" s="1"/>
  <c r="AW5" i="23" s="1"/>
  <c r="BI5" i="23"/>
  <c r="BJ5" i="23" s="1"/>
  <c r="AS5" i="23" s="1"/>
  <c r="BC5" i="23"/>
  <c r="AY5" i="23"/>
  <c r="AU5" i="23"/>
  <c r="AR5" i="23"/>
  <c r="AQ5" i="23"/>
  <c r="E6" i="14"/>
  <c r="T6" i="14"/>
  <c r="S6" i="14"/>
  <c r="R6" i="14"/>
  <c r="L6" i="14"/>
  <c r="K6" i="14"/>
  <c r="T9" i="20"/>
  <c r="S9" i="20"/>
  <c r="R9" i="20"/>
  <c r="H9" i="20"/>
  <c r="G9" i="20"/>
  <c r="F9" i="20"/>
  <c r="L6" i="20"/>
  <c r="K6" i="20"/>
  <c r="J6" i="20"/>
  <c r="E9" i="20"/>
  <c r="E6" i="20"/>
  <c r="K12" i="16"/>
  <c r="E12" i="16"/>
  <c r="F12" i="16"/>
  <c r="F9" i="16"/>
  <c r="F8" i="16"/>
  <c r="F6" i="16"/>
  <c r="F5" i="16"/>
  <c r="G5" i="19"/>
  <c r="G6" i="19"/>
  <c r="G6" i="16"/>
  <c r="G5" i="16"/>
  <c r="E6" i="16"/>
  <c r="E5" i="16"/>
  <c r="BV6" i="16"/>
  <c r="BE6" i="16" s="1"/>
  <c r="BR6" i="16"/>
  <c r="BS6" i="16" s="1"/>
  <c r="BB6" i="16" s="1"/>
  <c r="BN6" i="16"/>
  <c r="AW6" i="16" s="1"/>
  <c r="BJ6" i="16"/>
  <c r="AS6" i="16" s="1"/>
  <c r="BD6" i="16"/>
  <c r="AZ6" i="16"/>
  <c r="AV6" i="16"/>
  <c r="AR6" i="16"/>
  <c r="BV5" i="16"/>
  <c r="BW5" i="16" s="1"/>
  <c r="BF5" i="16" s="1"/>
  <c r="BR5" i="16"/>
  <c r="BS5" i="16" s="1"/>
  <c r="BB5" i="16" s="1"/>
  <c r="BN5" i="16"/>
  <c r="BO5" i="16" s="1"/>
  <c r="AX5" i="16" s="1"/>
  <c r="BJ5" i="16"/>
  <c r="BK5" i="16" s="1"/>
  <c r="AT5" i="16" s="1"/>
  <c r="BD5" i="16"/>
  <c r="AZ5" i="16"/>
  <c r="AW5" i="16"/>
  <c r="AV5" i="16"/>
  <c r="AR5" i="16"/>
  <c r="O17" i="19"/>
  <c r="AR6" i="19"/>
  <c r="K19" i="23" l="1"/>
  <c r="K20" i="23" s="1"/>
  <c r="F15" i="23"/>
  <c r="F20" i="23" s="1"/>
  <c r="BD6" i="23"/>
  <c r="AS5" i="16"/>
  <c r="AV5" i="23"/>
  <c r="AZ5" i="23"/>
  <c r="BJ6" i="23"/>
  <c r="AS6" i="23" s="1"/>
  <c r="BD5" i="23"/>
  <c r="AV6" i="23"/>
  <c r="BK6" i="16"/>
  <c r="AT6" i="16" s="1"/>
  <c r="BA5" i="16"/>
  <c r="BO6" i="16"/>
  <c r="AX6" i="16" s="1"/>
  <c r="BE5" i="16"/>
  <c r="BA6" i="16"/>
  <c r="BW6" i="16"/>
  <c r="BF6" i="16" s="1"/>
  <c r="G15" i="19"/>
  <c r="BV6" i="19"/>
  <c r="BW6" i="19" s="1"/>
  <c r="BF6" i="19" s="1"/>
  <c r="BR6" i="19"/>
  <c r="BS6" i="19" s="1"/>
  <c r="BB6" i="19" s="1"/>
  <c r="BN6" i="19"/>
  <c r="BO6" i="19" s="1"/>
  <c r="AX6" i="19" s="1"/>
  <c r="BJ6" i="19"/>
  <c r="BK6" i="19" s="1"/>
  <c r="AT6" i="19" s="1"/>
  <c r="BD6" i="19"/>
  <c r="AZ6" i="19"/>
  <c r="AV6" i="19"/>
  <c r="BV5" i="19"/>
  <c r="BE5" i="19" s="1"/>
  <c r="BR5" i="19"/>
  <c r="BA5" i="19" s="1"/>
  <c r="BN5" i="19"/>
  <c r="AW5" i="19" s="1"/>
  <c r="BJ5" i="19"/>
  <c r="BK5" i="19" s="1"/>
  <c r="AT5" i="19" s="1"/>
  <c r="BD5" i="19"/>
  <c r="AZ5" i="19"/>
  <c r="AV5" i="19"/>
  <c r="AR5" i="19"/>
  <c r="Z2" i="19"/>
  <c r="F6" i="17"/>
  <c r="AS6" i="19" l="1"/>
  <c r="AW6" i="19"/>
  <c r="BO5" i="19"/>
  <c r="AX5" i="19" s="1"/>
  <c r="AS5" i="19"/>
  <c r="BS5" i="19"/>
  <c r="BB5" i="19" s="1"/>
  <c r="BE6" i="19"/>
  <c r="BW5" i="19"/>
  <c r="BF5" i="19" s="1"/>
  <c r="BA6" i="19"/>
  <c r="E9" i="23" l="1"/>
  <c r="E8" i="23"/>
  <c r="B29" i="23"/>
  <c r="BU12" i="23"/>
  <c r="BD12" i="23" s="1"/>
  <c r="BQ12" i="23"/>
  <c r="BR12" i="23" s="1"/>
  <c r="BA12" i="23" s="1"/>
  <c r="BM12" i="23"/>
  <c r="BN12" i="23" s="1"/>
  <c r="AW12" i="23" s="1"/>
  <c r="BI12" i="23"/>
  <c r="AR12" i="23" s="1"/>
  <c r="BC12" i="23"/>
  <c r="AY12" i="23"/>
  <c r="AU12" i="23"/>
  <c r="AQ12" i="23"/>
  <c r="BU11" i="23"/>
  <c r="BD11" i="23" s="1"/>
  <c r="BQ11" i="23"/>
  <c r="AZ11" i="23" s="1"/>
  <c r="BM11" i="23"/>
  <c r="BN11" i="23" s="1"/>
  <c r="AW11" i="23" s="1"/>
  <c r="BI11" i="23"/>
  <c r="AR11" i="23" s="1"/>
  <c r="BC11" i="23"/>
  <c r="AY11" i="23"/>
  <c r="AU11" i="23"/>
  <c r="AQ11" i="23"/>
  <c r="BU9" i="23"/>
  <c r="BV9" i="23" s="1"/>
  <c r="BE9" i="23" s="1"/>
  <c r="BQ9" i="23"/>
  <c r="AZ9" i="23" s="1"/>
  <c r="BM9" i="23"/>
  <c r="AV9" i="23" s="1"/>
  <c r="BI9" i="23"/>
  <c r="BJ9" i="23" s="1"/>
  <c r="AS9" i="23" s="1"/>
  <c r="BD9" i="23"/>
  <c r="BC9" i="23"/>
  <c r="AY9" i="23"/>
  <c r="AU9" i="23"/>
  <c r="AQ9" i="23"/>
  <c r="BU8" i="23"/>
  <c r="BV8" i="23" s="1"/>
  <c r="BE8" i="23" s="1"/>
  <c r="T8" i="23" s="1"/>
  <c r="BR8" i="23"/>
  <c r="BA8" i="23" s="1"/>
  <c r="P8" i="23" s="1"/>
  <c r="BQ8" i="23"/>
  <c r="AZ8" i="23" s="1"/>
  <c r="BM8" i="23"/>
  <c r="BN8" i="23" s="1"/>
  <c r="AW8" i="23" s="1"/>
  <c r="BI8" i="23"/>
  <c r="BJ8" i="23" s="1"/>
  <c r="AS8" i="23" s="1"/>
  <c r="H8" i="23" s="1"/>
  <c r="BC8" i="23"/>
  <c r="R8" i="23" s="1"/>
  <c r="AY8" i="23"/>
  <c r="AV8" i="23"/>
  <c r="AU8" i="23"/>
  <c r="AR8" i="23"/>
  <c r="G8" i="23" s="1"/>
  <c r="AQ8" i="23"/>
  <c r="Y4" i="23"/>
  <c r="BU9" i="21"/>
  <c r="BD9" i="21" s="1"/>
  <c r="BQ9" i="21"/>
  <c r="AZ9" i="21" s="1"/>
  <c r="BM9" i="21"/>
  <c r="AV9" i="21" s="1"/>
  <c r="BI9" i="21"/>
  <c r="BJ9" i="21" s="1"/>
  <c r="AS9" i="21" s="1"/>
  <c r="BC9" i="21"/>
  <c r="AY9" i="21"/>
  <c r="AU9" i="21"/>
  <c r="AQ9" i="21"/>
  <c r="BU8" i="21"/>
  <c r="BD8" i="21" s="1"/>
  <c r="S8" i="21" s="1"/>
  <c r="BQ8" i="21"/>
  <c r="AZ8" i="21" s="1"/>
  <c r="BM8" i="21"/>
  <c r="AV8" i="21" s="1"/>
  <c r="K8" i="21" s="1"/>
  <c r="BI8" i="21"/>
  <c r="BJ8" i="21" s="1"/>
  <c r="AS8" i="21" s="1"/>
  <c r="BC8" i="21"/>
  <c r="R8" i="21" s="1"/>
  <c r="AY8" i="21"/>
  <c r="AU8" i="21"/>
  <c r="J8" i="21" s="1"/>
  <c r="AR8" i="21"/>
  <c r="AQ8" i="21"/>
  <c r="F8" i="21" s="1"/>
  <c r="BU6" i="21"/>
  <c r="BD6" i="21" s="1"/>
  <c r="BQ6" i="21"/>
  <c r="AZ6" i="21" s="1"/>
  <c r="BM6" i="21"/>
  <c r="AV6" i="21" s="1"/>
  <c r="BI6" i="21"/>
  <c r="BJ6" i="21" s="1"/>
  <c r="AS6" i="21" s="1"/>
  <c r="BC6" i="21"/>
  <c r="AY6" i="21"/>
  <c r="AU6" i="21"/>
  <c r="J6" i="21" s="1"/>
  <c r="AQ6" i="21"/>
  <c r="F6" i="21" s="1"/>
  <c r="BU5" i="21"/>
  <c r="BD5" i="21" s="1"/>
  <c r="S5" i="21" s="1"/>
  <c r="BQ5" i="21"/>
  <c r="AZ5" i="21" s="1"/>
  <c r="O5" i="21" s="1"/>
  <c r="BM5" i="21"/>
  <c r="AV5" i="21" s="1"/>
  <c r="K5" i="21" s="1"/>
  <c r="BI5" i="21"/>
  <c r="BJ5" i="21" s="1"/>
  <c r="AS5" i="21" s="1"/>
  <c r="BC5" i="21"/>
  <c r="R5" i="21" s="1"/>
  <c r="AY5" i="21"/>
  <c r="AU5" i="21"/>
  <c r="J5" i="21" s="1"/>
  <c r="AQ5" i="21"/>
  <c r="Y4" i="21"/>
  <c r="R9" i="21" s="1"/>
  <c r="E8" i="16"/>
  <c r="E9" i="16"/>
  <c r="G9" i="16" s="1"/>
  <c r="E9" i="19"/>
  <c r="BV9" i="20"/>
  <c r="BE9" i="20" s="1"/>
  <c r="BU9" i="20"/>
  <c r="BQ9" i="20"/>
  <c r="BR9" i="20" s="1"/>
  <c r="BA9" i="20" s="1"/>
  <c r="BM9" i="20"/>
  <c r="AV9" i="20" s="1"/>
  <c r="BI9" i="20"/>
  <c r="BJ9" i="20" s="1"/>
  <c r="AS9" i="20" s="1"/>
  <c r="BD9" i="20"/>
  <c r="BC9" i="20"/>
  <c r="AY9" i="20"/>
  <c r="AU9" i="20"/>
  <c r="AQ9" i="20"/>
  <c r="BU8" i="20"/>
  <c r="BD8" i="20" s="1"/>
  <c r="BQ8" i="20"/>
  <c r="AZ8" i="20" s="1"/>
  <c r="BM8" i="20"/>
  <c r="AV8" i="20" s="1"/>
  <c r="BJ8" i="20"/>
  <c r="AS8" i="20" s="1"/>
  <c r="BI8" i="20"/>
  <c r="AR8" i="20" s="1"/>
  <c r="BC8" i="20"/>
  <c r="AY8" i="20"/>
  <c r="AU8" i="20"/>
  <c r="AQ8" i="20"/>
  <c r="BU6" i="20"/>
  <c r="BD6" i="20" s="1"/>
  <c r="BQ6" i="20"/>
  <c r="BR6" i="20" s="1"/>
  <c r="BA6" i="20" s="1"/>
  <c r="BM6" i="20"/>
  <c r="BN6" i="20" s="1"/>
  <c r="AW6" i="20" s="1"/>
  <c r="BI6" i="20"/>
  <c r="AR6" i="20" s="1"/>
  <c r="BC6" i="20"/>
  <c r="AZ6" i="20"/>
  <c r="AY6" i="20"/>
  <c r="AU6" i="20"/>
  <c r="AQ6" i="20"/>
  <c r="BU5" i="20"/>
  <c r="BD5" i="20" s="1"/>
  <c r="BQ5" i="20"/>
  <c r="BR5" i="20" s="1"/>
  <c r="BA5" i="20" s="1"/>
  <c r="BM5" i="20"/>
  <c r="AV5" i="20" s="1"/>
  <c r="BI5" i="20"/>
  <c r="BJ5" i="20" s="1"/>
  <c r="AS5" i="20" s="1"/>
  <c r="BC5" i="20"/>
  <c r="AZ5" i="20"/>
  <c r="AY5" i="20"/>
  <c r="AU5" i="20"/>
  <c r="AQ5" i="20"/>
  <c r="Y4" i="20"/>
  <c r="BV12" i="19"/>
  <c r="BE12" i="19" s="1"/>
  <c r="BR12" i="19"/>
  <c r="BS12" i="19" s="1"/>
  <c r="BB12" i="19" s="1"/>
  <c r="BN12" i="19"/>
  <c r="AW12" i="19" s="1"/>
  <c r="BJ12" i="19"/>
  <c r="AS12" i="19" s="1"/>
  <c r="BD12" i="19"/>
  <c r="AZ12" i="19"/>
  <c r="AV12" i="19"/>
  <c r="AR12" i="19"/>
  <c r="BV11" i="19"/>
  <c r="BW11" i="19" s="1"/>
  <c r="BF11" i="19" s="1"/>
  <c r="BR11" i="19"/>
  <c r="BA11" i="19" s="1"/>
  <c r="BO11" i="19"/>
  <c r="AX11" i="19" s="1"/>
  <c r="BN11" i="19"/>
  <c r="AW11" i="19" s="1"/>
  <c r="BJ11" i="19"/>
  <c r="AS11" i="19" s="1"/>
  <c r="BD11" i="19"/>
  <c r="S11" i="19" s="1"/>
  <c r="AZ11" i="19"/>
  <c r="AV11" i="19"/>
  <c r="AR11" i="19"/>
  <c r="BV9" i="19"/>
  <c r="BW9" i="19" s="1"/>
  <c r="BF9" i="19" s="1"/>
  <c r="BR9" i="19"/>
  <c r="BS9" i="19" s="1"/>
  <c r="BB9" i="19" s="1"/>
  <c r="BN9" i="19"/>
  <c r="AW9" i="19" s="1"/>
  <c r="BJ9" i="19"/>
  <c r="BK9" i="19" s="1"/>
  <c r="AT9" i="19" s="1"/>
  <c r="I9" i="19" s="1"/>
  <c r="BE9" i="19"/>
  <c r="BD9" i="19"/>
  <c r="BA9" i="19"/>
  <c r="AZ9" i="19"/>
  <c r="AV9" i="19"/>
  <c r="AR9" i="19"/>
  <c r="BV8" i="19"/>
  <c r="BE8" i="19" s="1"/>
  <c r="T8" i="19" s="1"/>
  <c r="BR8" i="19"/>
  <c r="BS8" i="19" s="1"/>
  <c r="BB8" i="19" s="1"/>
  <c r="Q8" i="19" s="1"/>
  <c r="BN8" i="19"/>
  <c r="AW8" i="19" s="1"/>
  <c r="BJ8" i="19"/>
  <c r="AS8" i="19" s="1"/>
  <c r="H8" i="19" s="1"/>
  <c r="BD8" i="19"/>
  <c r="S8" i="19" s="1"/>
  <c r="BA8" i="19"/>
  <c r="P8" i="19" s="1"/>
  <c r="AZ8" i="19"/>
  <c r="O8" i="19" s="1"/>
  <c r="AV8" i="19"/>
  <c r="AR8" i="19"/>
  <c r="G8" i="19" s="1"/>
  <c r="Z4" i="19"/>
  <c r="BV9" i="17"/>
  <c r="BE9" i="17" s="1"/>
  <c r="BR9" i="17"/>
  <c r="BA9" i="17" s="1"/>
  <c r="BN9" i="17"/>
  <c r="AW9" i="17" s="1"/>
  <c r="BJ9" i="17"/>
  <c r="AS9" i="17" s="1"/>
  <c r="BD9" i="17"/>
  <c r="AZ9" i="17"/>
  <c r="AV9" i="17"/>
  <c r="AR9" i="17"/>
  <c r="BV8" i="17"/>
  <c r="BW8" i="17" s="1"/>
  <c r="BF8" i="17" s="1"/>
  <c r="BR8" i="17"/>
  <c r="BA8" i="17" s="1"/>
  <c r="BN8" i="17"/>
  <c r="AW8" i="17" s="1"/>
  <c r="BJ8" i="17"/>
  <c r="AS8" i="17" s="1"/>
  <c r="BD8" i="17"/>
  <c r="AZ8" i="17"/>
  <c r="AV8" i="17"/>
  <c r="AR8" i="17"/>
  <c r="BV6" i="17"/>
  <c r="BE6" i="17" s="1"/>
  <c r="BR6" i="17"/>
  <c r="BS6" i="17" s="1"/>
  <c r="BB6" i="17" s="1"/>
  <c r="BN6" i="17"/>
  <c r="BO6" i="17" s="1"/>
  <c r="AX6" i="17" s="1"/>
  <c r="BJ6" i="17"/>
  <c r="BK6" i="17" s="1"/>
  <c r="AT6" i="17" s="1"/>
  <c r="BD6" i="17"/>
  <c r="AZ6" i="17"/>
  <c r="AV6" i="17"/>
  <c r="K6" i="17" s="1"/>
  <c r="AR6" i="17"/>
  <c r="BV5" i="17"/>
  <c r="BE5" i="17" s="1"/>
  <c r="BR5" i="17"/>
  <c r="BA5" i="17" s="1"/>
  <c r="BN5" i="17"/>
  <c r="AW5" i="17" s="1"/>
  <c r="BJ5" i="17"/>
  <c r="BK5" i="17" s="1"/>
  <c r="AT5" i="17" s="1"/>
  <c r="BD5" i="17"/>
  <c r="AZ5" i="17"/>
  <c r="AV5" i="17"/>
  <c r="AR5" i="17"/>
  <c r="Z4" i="17"/>
  <c r="BV12" i="16"/>
  <c r="BE12" i="16" s="1"/>
  <c r="BR12" i="16"/>
  <c r="BS12" i="16" s="1"/>
  <c r="BB12" i="16" s="1"/>
  <c r="BN12" i="16"/>
  <c r="BO12" i="16" s="1"/>
  <c r="AX12" i="16" s="1"/>
  <c r="BJ12" i="16"/>
  <c r="BK12" i="16" s="1"/>
  <c r="AT12" i="16" s="1"/>
  <c r="BD12" i="16"/>
  <c r="AZ12" i="16"/>
  <c r="AV12" i="16"/>
  <c r="AR12" i="16"/>
  <c r="BV11" i="16"/>
  <c r="BW11" i="16" s="1"/>
  <c r="BF11" i="16" s="1"/>
  <c r="BR11" i="16"/>
  <c r="BA11" i="16" s="1"/>
  <c r="BN11" i="16"/>
  <c r="BO11" i="16" s="1"/>
  <c r="AX11" i="16" s="1"/>
  <c r="BJ11" i="16"/>
  <c r="BK11" i="16" s="1"/>
  <c r="AT11" i="16" s="1"/>
  <c r="BD11" i="16"/>
  <c r="AZ11" i="16"/>
  <c r="AW11" i="16"/>
  <c r="AV11" i="16"/>
  <c r="AR11" i="16"/>
  <c r="BV9" i="16"/>
  <c r="BE9" i="16" s="1"/>
  <c r="BS9" i="16"/>
  <c r="BB9" i="16" s="1"/>
  <c r="BR9" i="16"/>
  <c r="BA9" i="16" s="1"/>
  <c r="BN9" i="16"/>
  <c r="BO9" i="16" s="1"/>
  <c r="AX9" i="16" s="1"/>
  <c r="BJ9" i="16"/>
  <c r="BK9" i="16" s="1"/>
  <c r="AT9" i="16" s="1"/>
  <c r="BD9" i="16"/>
  <c r="AZ9" i="16"/>
  <c r="AW9" i="16"/>
  <c r="AV9" i="16"/>
  <c r="AS9" i="16"/>
  <c r="AR9" i="16"/>
  <c r="BV8" i="16"/>
  <c r="BE8" i="16" s="1"/>
  <c r="BR8" i="16"/>
  <c r="BS8" i="16" s="1"/>
  <c r="BB8" i="16" s="1"/>
  <c r="BN8" i="16"/>
  <c r="AW8" i="16" s="1"/>
  <c r="BJ8" i="16"/>
  <c r="BK8" i="16" s="1"/>
  <c r="AT8" i="16" s="1"/>
  <c r="BD8" i="16"/>
  <c r="AZ8" i="16"/>
  <c r="AV8" i="16"/>
  <c r="AR8" i="16"/>
  <c r="Z4" i="16"/>
  <c r="BI9" i="14"/>
  <c r="BJ9" i="14" s="1"/>
  <c r="AS9" i="14" s="1"/>
  <c r="BC9" i="14"/>
  <c r="BC8" i="14"/>
  <c r="AY9" i="14"/>
  <c r="AY8" i="14"/>
  <c r="AU9" i="14"/>
  <c r="AV8" i="14"/>
  <c r="AU8" i="14"/>
  <c r="AQ9" i="14"/>
  <c r="AQ8" i="14"/>
  <c r="BC6" i="14"/>
  <c r="BC5" i="14"/>
  <c r="AY6" i="14"/>
  <c r="AY5" i="14"/>
  <c r="AU6" i="14"/>
  <c r="AV5" i="14"/>
  <c r="AU5" i="14"/>
  <c r="AQ6" i="14"/>
  <c r="AQ5" i="14"/>
  <c r="BU6" i="14"/>
  <c r="BD6" i="14" s="1"/>
  <c r="BU8" i="14"/>
  <c r="BV8" i="14" s="1"/>
  <c r="BE8" i="14" s="1"/>
  <c r="BU9" i="14"/>
  <c r="BV9" i="14" s="1"/>
  <c r="BE9" i="14" s="1"/>
  <c r="BQ6" i="14"/>
  <c r="BR6" i="14" s="1"/>
  <c r="BA6" i="14" s="1"/>
  <c r="BQ8" i="14"/>
  <c r="BR8" i="14" s="1"/>
  <c r="BA8" i="14" s="1"/>
  <c r="BQ9" i="14"/>
  <c r="AZ9" i="14" s="1"/>
  <c r="BR9" i="14"/>
  <c r="BA9" i="14" s="1"/>
  <c r="BM6" i="14"/>
  <c r="BN6" i="14" s="1"/>
  <c r="AW6" i="14" s="1"/>
  <c r="BM8" i="14"/>
  <c r="BN8" i="14" s="1"/>
  <c r="AW8" i="14" s="1"/>
  <c r="BM9" i="14"/>
  <c r="BN9" i="14" s="1"/>
  <c r="AW9" i="14" s="1"/>
  <c r="BI6" i="14"/>
  <c r="BJ6" i="14" s="1"/>
  <c r="AS6" i="14" s="1"/>
  <c r="BI8" i="14"/>
  <c r="BJ8" i="14" s="1"/>
  <c r="AS8" i="14" s="1"/>
  <c r="BU5" i="14"/>
  <c r="BD5" i="14" s="1"/>
  <c r="BQ5" i="14"/>
  <c r="AZ5" i="14" s="1"/>
  <c r="BM5" i="14"/>
  <c r="BN5" i="14" s="1"/>
  <c r="AW5" i="14" s="1"/>
  <c r="BI5" i="14"/>
  <c r="BJ5" i="14" s="1"/>
  <c r="AS5" i="14" s="1"/>
  <c r="AR9" i="23" l="1"/>
  <c r="G9" i="23" s="1"/>
  <c r="J9" i="23"/>
  <c r="R9" i="23"/>
  <c r="F9" i="23"/>
  <c r="H9" i="23"/>
  <c r="K9" i="23"/>
  <c r="AV11" i="23"/>
  <c r="BW12" i="16"/>
  <c r="BF12" i="16" s="1"/>
  <c r="AS8" i="16"/>
  <c r="H8" i="16" s="1"/>
  <c r="AS12" i="16"/>
  <c r="AW12" i="16"/>
  <c r="AS11" i="16"/>
  <c r="S9" i="19"/>
  <c r="P9" i="19"/>
  <c r="P20" i="19" s="1"/>
  <c r="Q9" i="19"/>
  <c r="Q20" i="19" s="1"/>
  <c r="BE11" i="19"/>
  <c r="T20" i="19"/>
  <c r="I20" i="19"/>
  <c r="BA6" i="17"/>
  <c r="BW9" i="17"/>
  <c r="BF9" i="17" s="1"/>
  <c r="K9" i="19"/>
  <c r="BA12" i="19"/>
  <c r="AZ9" i="20"/>
  <c r="BA8" i="16"/>
  <c r="P8" i="16" s="1"/>
  <c r="BE11" i="16"/>
  <c r="AR5" i="14"/>
  <c r="AZ8" i="14"/>
  <c r="BW5" i="17"/>
  <c r="BF5" i="17" s="1"/>
  <c r="BE8" i="17"/>
  <c r="S15" i="17" s="1"/>
  <c r="BD9" i="14"/>
  <c r="G9" i="19"/>
  <c r="S12" i="19"/>
  <c r="BO8" i="16"/>
  <c r="AX8" i="16" s="1"/>
  <c r="BS11" i="16"/>
  <c r="BB11" i="16" s="1"/>
  <c r="BK8" i="17"/>
  <c r="AT8" i="17" s="1"/>
  <c r="AS9" i="19"/>
  <c r="H9" i="19" s="1"/>
  <c r="BV5" i="20"/>
  <c r="BE5" i="20" s="1"/>
  <c r="BW8" i="16"/>
  <c r="BF8" i="16" s="1"/>
  <c r="U8" i="16" s="1"/>
  <c r="BW9" i="16"/>
  <c r="BF9" i="16" s="1"/>
  <c r="BS8" i="17"/>
  <c r="BB8" i="17" s="1"/>
  <c r="O9" i="19"/>
  <c r="AV6" i="20"/>
  <c r="BV11" i="23"/>
  <c r="BE11" i="23" s="1"/>
  <c r="BR8" i="20"/>
  <c r="BA8" i="20" s="1"/>
  <c r="T9" i="19"/>
  <c r="BR8" i="21"/>
  <c r="BA8" i="21" s="1"/>
  <c r="O8" i="23"/>
  <c r="O20" i="23" s="1"/>
  <c r="F8" i="23"/>
  <c r="BA12" i="16"/>
  <c r="L9" i="19"/>
  <c r="L20" i="19" s="1"/>
  <c r="AR6" i="14"/>
  <c r="AV9" i="14"/>
  <c r="BV5" i="21"/>
  <c r="BE5" i="21" s="1"/>
  <c r="T5" i="21" s="1"/>
  <c r="F9" i="21"/>
  <c r="BV9" i="21"/>
  <c r="BE9" i="21" s="1"/>
  <c r="S9" i="21"/>
  <c r="N6" i="21"/>
  <c r="R6" i="21"/>
  <c r="O9" i="21"/>
  <c r="O6" i="21"/>
  <c r="S6" i="21"/>
  <c r="S18" i="21" s="1"/>
  <c r="BN6" i="21"/>
  <c r="AW6" i="21" s="1"/>
  <c r="L6" i="21" s="1"/>
  <c r="O9" i="23"/>
  <c r="T9" i="23"/>
  <c r="T20" i="23" s="1"/>
  <c r="AZ12" i="23"/>
  <c r="S9" i="23"/>
  <c r="S20" i="23" s="1"/>
  <c r="BR9" i="23"/>
  <c r="BA9" i="23" s="1"/>
  <c r="P9" i="23" s="1"/>
  <c r="BJ11" i="23"/>
  <c r="AS11" i="23" s="1"/>
  <c r="BJ12" i="23"/>
  <c r="AS12" i="23" s="1"/>
  <c r="BD8" i="23"/>
  <c r="S8" i="23" s="1"/>
  <c r="BN9" i="23"/>
  <c r="AW9" i="23" s="1"/>
  <c r="L9" i="23" s="1"/>
  <c r="BR11" i="23"/>
  <c r="BA11" i="23" s="1"/>
  <c r="BV12" i="23"/>
  <c r="BE12" i="23" s="1"/>
  <c r="AV12" i="23"/>
  <c r="P8" i="21"/>
  <c r="BN5" i="21"/>
  <c r="AW5" i="21" s="1"/>
  <c r="L5" i="21" s="1"/>
  <c r="T9" i="21"/>
  <c r="BN9" i="21"/>
  <c r="AW9" i="21" s="1"/>
  <c r="L9" i="21" s="1"/>
  <c r="AR5" i="21"/>
  <c r="G5" i="21" s="1"/>
  <c r="BR5" i="21"/>
  <c r="BA5" i="21" s="1"/>
  <c r="P5" i="21" s="1"/>
  <c r="AR9" i="21"/>
  <c r="G9" i="21" s="1"/>
  <c r="BR9" i="21"/>
  <c r="BA9" i="21" s="1"/>
  <c r="P9" i="21" s="1"/>
  <c r="BN8" i="21"/>
  <c r="AW8" i="21" s="1"/>
  <c r="L8" i="21" s="1"/>
  <c r="AR6" i="21"/>
  <c r="G6" i="21" s="1"/>
  <c r="BR6" i="21"/>
  <c r="BA6" i="21" s="1"/>
  <c r="P6" i="21" s="1"/>
  <c r="BV8" i="21"/>
  <c r="BE8" i="21" s="1"/>
  <c r="T8" i="21" s="1"/>
  <c r="BV6" i="21"/>
  <c r="BE6" i="21" s="1"/>
  <c r="T6" i="21" s="1"/>
  <c r="H9" i="21"/>
  <c r="F5" i="21"/>
  <c r="H6" i="21"/>
  <c r="G8" i="21"/>
  <c r="J9" i="21"/>
  <c r="H8" i="21"/>
  <c r="K9" i="21"/>
  <c r="H5" i="21"/>
  <c r="K6" i="21"/>
  <c r="N8" i="21"/>
  <c r="N5" i="21"/>
  <c r="O8" i="21"/>
  <c r="N9" i="21"/>
  <c r="K17" i="20"/>
  <c r="U9" i="19"/>
  <c r="O17" i="20"/>
  <c r="P17" i="20"/>
  <c r="L17" i="20"/>
  <c r="S17" i="20"/>
  <c r="BN5" i="20"/>
  <c r="AW5" i="20" s="1"/>
  <c r="T17" i="20"/>
  <c r="BN9" i="20"/>
  <c r="AW9" i="20" s="1"/>
  <c r="BJ6" i="20"/>
  <c r="AS6" i="20" s="1"/>
  <c r="H17" i="20" s="1"/>
  <c r="BN8" i="20"/>
  <c r="AW8" i="20" s="1"/>
  <c r="AR5" i="20"/>
  <c r="AR9" i="20"/>
  <c r="BV8" i="20"/>
  <c r="BE8" i="20" s="1"/>
  <c r="BV6" i="20"/>
  <c r="BE6" i="20" s="1"/>
  <c r="J13" i="20"/>
  <c r="BK11" i="19"/>
  <c r="AT11" i="19" s="1"/>
  <c r="BK8" i="19"/>
  <c r="AT8" i="19" s="1"/>
  <c r="I8" i="19" s="1"/>
  <c r="BK12" i="19"/>
  <c r="AT12" i="19" s="1"/>
  <c r="BO8" i="19"/>
  <c r="AX8" i="19" s="1"/>
  <c r="BO12" i="19"/>
  <c r="AX12" i="19" s="1"/>
  <c r="BO9" i="19"/>
  <c r="AX9" i="19" s="1"/>
  <c r="M9" i="19" s="1"/>
  <c r="M20" i="19" s="1"/>
  <c r="BS11" i="19"/>
  <c r="BB11" i="19" s="1"/>
  <c r="BW8" i="19"/>
  <c r="BF8" i="19" s="1"/>
  <c r="U8" i="19" s="1"/>
  <c r="BW12" i="19"/>
  <c r="BF12" i="19" s="1"/>
  <c r="M6" i="17"/>
  <c r="M17" i="17" s="1"/>
  <c r="T17" i="17"/>
  <c r="P17" i="17"/>
  <c r="BK9" i="17"/>
  <c r="AT9" i="17" s="1"/>
  <c r="BO8" i="17"/>
  <c r="AX8" i="17" s="1"/>
  <c r="BO9" i="17"/>
  <c r="AX9" i="17" s="1"/>
  <c r="BO5" i="17"/>
  <c r="AX5" i="17" s="1"/>
  <c r="BS5" i="17"/>
  <c r="BB5" i="17" s="1"/>
  <c r="BS9" i="17"/>
  <c r="BB9" i="17" s="1"/>
  <c r="AS6" i="17"/>
  <c r="BW6" i="17"/>
  <c r="BF6" i="17" s="1"/>
  <c r="AS5" i="17"/>
  <c r="AW6" i="17"/>
  <c r="H9" i="16"/>
  <c r="H20" i="16" s="1"/>
  <c r="G8" i="16"/>
  <c r="M9" i="16"/>
  <c r="Q8" i="16"/>
  <c r="P9" i="16"/>
  <c r="K9" i="16"/>
  <c r="O8" i="16"/>
  <c r="S8" i="16"/>
  <c r="Q9" i="16"/>
  <c r="L9" i="16"/>
  <c r="T8" i="16"/>
  <c r="S9" i="16"/>
  <c r="I8" i="16"/>
  <c r="O9" i="16"/>
  <c r="T9" i="16"/>
  <c r="I9" i="16"/>
  <c r="U9" i="16"/>
  <c r="AR9" i="14"/>
  <c r="BD8" i="14"/>
  <c r="AR8" i="14"/>
  <c r="AV6" i="14"/>
  <c r="AZ6" i="14"/>
  <c r="BV6" i="14"/>
  <c r="BE6" i="14" s="1"/>
  <c r="BV5" i="14"/>
  <c r="BE5" i="14" s="1"/>
  <c r="BR5" i="14"/>
  <c r="BA5" i="14" s="1"/>
  <c r="P20" i="23" l="1"/>
  <c r="R18" i="23"/>
  <c r="G15" i="16"/>
  <c r="G20" i="16" s="1"/>
  <c r="K19" i="16"/>
  <c r="C23" i="19"/>
  <c r="S20" i="19"/>
  <c r="H20" i="19"/>
  <c r="K19" i="19"/>
  <c r="C25" i="19" s="1"/>
  <c r="U20" i="19"/>
  <c r="O20" i="19"/>
  <c r="S18" i="19"/>
  <c r="C24" i="19" s="1"/>
  <c r="L6" i="17"/>
  <c r="L17" i="17" s="1"/>
  <c r="R16" i="21"/>
  <c r="R15" i="20"/>
  <c r="R17" i="20" s="1"/>
  <c r="O18" i="21"/>
  <c r="R18" i="21"/>
  <c r="T18" i="21"/>
  <c r="R20" i="23"/>
  <c r="L20" i="23"/>
  <c r="H20" i="23"/>
  <c r="J16" i="23"/>
  <c r="C22" i="23" s="1"/>
  <c r="C24" i="23"/>
  <c r="N17" i="23"/>
  <c r="N20" i="23" s="1"/>
  <c r="J14" i="21"/>
  <c r="C20" i="21" s="1"/>
  <c r="G18" i="21"/>
  <c r="K17" i="21"/>
  <c r="C23" i="21" s="1"/>
  <c r="F13" i="21"/>
  <c r="F18" i="21" s="1"/>
  <c r="L18" i="21"/>
  <c r="P18" i="21"/>
  <c r="N15" i="21"/>
  <c r="N18" i="21" s="1"/>
  <c r="H18" i="21"/>
  <c r="F12" i="20"/>
  <c r="F17" i="20" s="1"/>
  <c r="M20" i="16"/>
  <c r="Q20" i="16"/>
  <c r="T20" i="16"/>
  <c r="O14" i="17"/>
  <c r="C20" i="17" s="1"/>
  <c r="J16" i="20"/>
  <c r="C22" i="20" s="1"/>
  <c r="G17" i="20"/>
  <c r="C20" i="20"/>
  <c r="C19" i="20"/>
  <c r="K16" i="19"/>
  <c r="C22" i="19" s="1"/>
  <c r="C21" i="19"/>
  <c r="C21" i="17"/>
  <c r="S17" i="17"/>
  <c r="U17" i="17"/>
  <c r="Q17" i="17"/>
  <c r="K16" i="17"/>
  <c r="C22" i="17" s="1"/>
  <c r="S18" i="16"/>
  <c r="S20" i="16" s="1"/>
  <c r="O17" i="16"/>
  <c r="C23" i="16" s="1"/>
  <c r="P20" i="16"/>
  <c r="I20" i="16"/>
  <c r="K16" i="16"/>
  <c r="C22" i="16" s="1"/>
  <c r="C25" i="16"/>
  <c r="L20" i="16"/>
  <c r="U20" i="16"/>
  <c r="Y4" i="14"/>
  <c r="K20" i="16" l="1"/>
  <c r="G20" i="19"/>
  <c r="K20" i="19"/>
  <c r="K13" i="17"/>
  <c r="C19" i="17" s="1"/>
  <c r="O17" i="17"/>
  <c r="K18" i="21"/>
  <c r="C21" i="21"/>
  <c r="C22" i="21"/>
  <c r="C25" i="23"/>
  <c r="C21" i="23"/>
  <c r="C23" i="23"/>
  <c r="C19" i="21"/>
  <c r="J18" i="21"/>
  <c r="C18" i="20"/>
  <c r="C21" i="16"/>
  <c r="C18" i="17"/>
  <c r="C21" i="20"/>
  <c r="J17" i="20"/>
  <c r="N17" i="20"/>
  <c r="C26" i="19"/>
  <c r="K17" i="17"/>
  <c r="O20" i="16"/>
  <c r="C24" i="16"/>
  <c r="C23" i="17" l="1"/>
  <c r="C26" i="16"/>
  <c r="C24" i="21"/>
  <c r="C26" i="23"/>
  <c r="C23" i="20"/>
  <c r="J16" i="14"/>
  <c r="K17" i="14"/>
  <c r="C22" i="14" l="1"/>
  <c r="R15" i="14"/>
  <c r="C21" i="14" s="1"/>
  <c r="T17" i="14" l="1"/>
  <c r="S17" i="14"/>
  <c r="O17" i="14"/>
  <c r="H17" i="14"/>
  <c r="L17" i="14"/>
  <c r="G17" i="14" l="1"/>
  <c r="J13" i="14"/>
  <c r="R17" i="14"/>
  <c r="N14" i="14"/>
  <c r="P17" i="14"/>
  <c r="N17" i="14" l="1"/>
  <c r="C20" i="14"/>
  <c r="F17" i="14"/>
  <c r="C18" i="14"/>
  <c r="J17" i="14"/>
  <c r="C19" i="14"/>
  <c r="C23" i="14" l="1"/>
</calcChain>
</file>

<file path=xl/sharedStrings.xml><?xml version="1.0" encoding="utf-8"?>
<sst xmlns="http://schemas.openxmlformats.org/spreadsheetml/2006/main" count="733" uniqueCount="110">
  <si>
    <t>序号</t>
  </si>
  <si>
    <t>设计阶段</t>
  </si>
  <si>
    <t>子项名称</t>
  </si>
  <si>
    <t>单体名称</t>
  </si>
  <si>
    <t>建筑面积</t>
  </si>
  <si>
    <t>总工日</t>
  </si>
  <si>
    <t>备注</t>
  </si>
  <si>
    <t>建筑专业</t>
  </si>
  <si>
    <t>结构专业</t>
  </si>
  <si>
    <t>给排水专业</t>
  </si>
  <si>
    <t>电气专业</t>
  </si>
  <si>
    <t>...</t>
  </si>
  <si>
    <t>质量分</t>
  </si>
  <si>
    <t>总图</t>
  </si>
  <si>
    <t>单体</t>
  </si>
  <si>
    <t>建筑专业负责人</t>
  </si>
  <si>
    <t>结构专业负责人</t>
  </si>
  <si>
    <t>给排水专业负责人</t>
  </si>
  <si>
    <t>电气专业负责人</t>
  </si>
  <si>
    <t>项目负责人</t>
  </si>
  <si>
    <t>合计</t>
  </si>
  <si>
    <t>建筑专业总工日：</t>
  </si>
  <si>
    <t>结构专业总工日：</t>
  </si>
  <si>
    <t>给排水专业总工日：</t>
  </si>
  <si>
    <t>电气专业总工日：</t>
  </si>
  <si>
    <t>项目总工日：</t>
  </si>
  <si>
    <t>周予进</t>
    <phoneticPr fontId="7" type="noConversion"/>
  </si>
  <si>
    <t>肖超群</t>
    <phoneticPr fontId="7" type="noConversion"/>
  </si>
  <si>
    <t>杨捷</t>
    <phoneticPr fontId="7" type="noConversion"/>
  </si>
  <si>
    <t>魏强</t>
    <phoneticPr fontId="7" type="noConversion"/>
  </si>
  <si>
    <t>沙子韬</t>
    <phoneticPr fontId="7" type="noConversion"/>
  </si>
  <si>
    <t>周金民</t>
    <phoneticPr fontId="7" type="noConversion"/>
  </si>
  <si>
    <t xml:space="preserve">
施工图</t>
    <phoneticPr fontId="7" type="noConversion"/>
  </si>
  <si>
    <t>温春辉</t>
    <phoneticPr fontId="7" type="noConversion"/>
  </si>
  <si>
    <t>梁翩翩</t>
    <phoneticPr fontId="7" type="noConversion"/>
  </si>
  <si>
    <t>刘扬</t>
    <phoneticPr fontId="7" type="noConversion"/>
  </si>
  <si>
    <t>朱风琪</t>
    <phoneticPr fontId="7" type="noConversion"/>
  </si>
  <si>
    <t xml:space="preserve">
施工图</t>
  </si>
  <si>
    <t>项目负责人工日</t>
    <phoneticPr fontId="7" type="noConversion"/>
  </si>
  <si>
    <t>原始面积为</t>
    <phoneticPr fontId="7" type="noConversion"/>
  </si>
  <si>
    <t>放大系数1.3</t>
    <phoneticPr fontId="7" type="noConversion"/>
  </si>
  <si>
    <t>面积放大系数</t>
    <phoneticPr fontId="7" type="noConversion"/>
  </si>
  <si>
    <t>总图比例</t>
    <phoneticPr fontId="7" type="noConversion"/>
  </si>
  <si>
    <t>设计审核复核比例</t>
    <phoneticPr fontId="7" type="noConversion"/>
  </si>
  <si>
    <t>工日单价</t>
    <phoneticPr fontId="7" type="noConversion"/>
  </si>
  <si>
    <t>魏强（注册）</t>
    <phoneticPr fontId="7" type="noConversion"/>
  </si>
  <si>
    <t>施工图比例</t>
    <phoneticPr fontId="7" type="noConversion"/>
  </si>
  <si>
    <t>/单体比例</t>
    <phoneticPr fontId="7" type="noConversion"/>
  </si>
  <si>
    <t>系数表格</t>
    <phoneticPr fontId="7" type="noConversion"/>
  </si>
  <si>
    <t>方案/初设/施工图</t>
    <phoneticPr fontId="7" type="noConversion"/>
  </si>
  <si>
    <t>中继表格</t>
    <phoneticPr fontId="7" type="noConversion"/>
  </si>
  <si>
    <t>总图/单体专业分配比例</t>
    <phoneticPr fontId="7" type="noConversion"/>
  </si>
  <si>
    <t>方案/初设/施工图比例</t>
    <phoneticPr fontId="7" type="noConversion"/>
  </si>
  <si>
    <t>消防改造</t>
    <phoneticPr fontId="7" type="noConversion"/>
  </si>
  <si>
    <t>胡志雄</t>
    <phoneticPr fontId="7" type="noConversion"/>
  </si>
  <si>
    <t>大棚维修</t>
    <phoneticPr fontId="7" type="noConversion"/>
  </si>
  <si>
    <t>南昌西九岭山隧道设备房改造</t>
    <phoneticPr fontId="7" type="noConversion"/>
  </si>
  <si>
    <t>设备房</t>
    <phoneticPr fontId="7" type="noConversion"/>
  </si>
  <si>
    <t>谢近轲</t>
    <phoneticPr fontId="7" type="noConversion"/>
  </si>
  <si>
    <t>郭勤</t>
    <phoneticPr fontId="7" type="noConversion"/>
  </si>
  <si>
    <t>设备库</t>
    <phoneticPr fontId="7" type="noConversion"/>
  </si>
  <si>
    <t>大棚维修（未出图，给做法及统计大棚杆件表面积）</t>
    <phoneticPr fontId="7" type="noConversion"/>
  </si>
  <si>
    <t>谢进轲</t>
    <phoneticPr fontId="7" type="noConversion"/>
  </si>
  <si>
    <t>左淦龙</t>
    <phoneticPr fontId="7" type="noConversion"/>
  </si>
  <si>
    <t>5个设备棚</t>
  </si>
  <si>
    <t>熊高亮</t>
    <phoneticPr fontId="7" type="noConversion"/>
  </si>
  <si>
    <r>
      <t>湖口收费所房屋维修工程（</t>
    </r>
    <r>
      <rPr>
        <sz val="11"/>
        <color rgb="FFFF0000"/>
        <rFont val="宋体"/>
        <family val="3"/>
        <charset val="134"/>
      </rPr>
      <t>出施工图但项目取消</t>
    </r>
    <r>
      <rPr>
        <sz val="11"/>
        <color indexed="8"/>
        <rFont val="宋体"/>
        <family val="3"/>
        <charset val="134"/>
      </rPr>
      <t>）</t>
    </r>
    <phoneticPr fontId="7" type="noConversion"/>
  </si>
  <si>
    <t>码头</t>
  </si>
  <si>
    <t>码头</t>
    <phoneticPr fontId="7" type="noConversion"/>
  </si>
  <si>
    <t>初设</t>
    <phoneticPr fontId="7" type="noConversion"/>
  </si>
  <si>
    <t>朱凤琪</t>
    <phoneticPr fontId="7" type="noConversion"/>
  </si>
  <si>
    <t>肖注册</t>
    <phoneticPr fontId="7" type="noConversion"/>
  </si>
  <si>
    <t>注册</t>
    <phoneticPr fontId="7" type="noConversion"/>
  </si>
  <si>
    <t>吉安西管理中心新建仓库养护项目</t>
    <phoneticPr fontId="7" type="noConversion"/>
  </si>
  <si>
    <t>都昌收费所屋面加固改造工程</t>
    <phoneticPr fontId="7" type="noConversion"/>
  </si>
  <si>
    <t>宜春管理中心3个大棚维修改造</t>
    <phoneticPr fontId="7" type="noConversion"/>
  </si>
  <si>
    <t>宜春管理中心新建5个设备棚</t>
    <phoneticPr fontId="7" type="noConversion"/>
  </si>
  <si>
    <t>景德镇管理中心2024年消防安全隐患整治专项工程，景德镇管理中心新建仓库等养护项目（养护项目只做了大棚维修，其余在2025年结算）</t>
    <phoneticPr fontId="7" type="noConversion"/>
  </si>
  <si>
    <t>可研报告</t>
    <phoneticPr fontId="7" type="noConversion"/>
  </si>
  <si>
    <t>骆中璨完成，单独结算</t>
    <phoneticPr fontId="7" type="noConversion"/>
  </si>
  <si>
    <t>周予进提供建筑支持，分一半工日</t>
    <phoneticPr fontId="7" type="noConversion"/>
  </si>
  <si>
    <t>周予进做环保局报规文本图纸，初设工日x2</t>
    <phoneticPr fontId="7" type="noConversion"/>
  </si>
  <si>
    <t>白水湖码头</t>
    <phoneticPr fontId="7" type="noConversion"/>
  </si>
  <si>
    <t>序
号</t>
  </si>
  <si>
    <t>项目名称</t>
  </si>
  <si>
    <t>涉及人员</t>
  </si>
  <si>
    <t>现金结算</t>
  </si>
  <si>
    <t>修水服务区施工图投标</t>
    <phoneticPr fontId="7" type="noConversion"/>
  </si>
  <si>
    <t>施工图</t>
    <phoneticPr fontId="7" type="noConversion"/>
  </si>
  <si>
    <t>主标2000元，陪标1000元</t>
  </si>
  <si>
    <t>原始建筑面积</t>
    <phoneticPr fontId="7" type="noConversion"/>
  </si>
  <si>
    <t>维修项目建筑面积*0.3</t>
    <phoneticPr fontId="7" type="noConversion"/>
  </si>
  <si>
    <t>方案</t>
    <phoneticPr fontId="7" type="noConversion"/>
  </si>
  <si>
    <t>不足500按500建筑面积</t>
    <phoneticPr fontId="7" type="noConversion"/>
  </si>
  <si>
    <t>方案?</t>
    <phoneticPr fontId="7" type="noConversion"/>
  </si>
  <si>
    <t>电气迁移部分（此项目电气部分较为困难，除新建设备房外还有电气迁移内容，出了迁移方案和清单）,且电气迁移部分也计了设计费</t>
    <phoneticPr fontId="7" type="noConversion"/>
  </si>
  <si>
    <t>九江管理中心湖口收费站维修改造，九江管理中心都昌收费所房屋维修(两个项目）</t>
    <phoneticPr fontId="7" type="noConversion"/>
  </si>
  <si>
    <t>电气为一个大棚的亮化工程，按大棚投影面积算工日未折减.结构专业按维修折减0.3</t>
    <phoneticPr fontId="7" type="noConversion"/>
  </si>
  <si>
    <t>维修折减0.3</t>
    <phoneticPr fontId="7" type="noConversion"/>
  </si>
  <si>
    <t>主标：刘国印，陶澍  
陪标：沙子韬，魏强，肖超群，尚红伟</t>
    <phoneticPr fontId="7" type="noConversion"/>
  </si>
  <si>
    <t>面积放大系数=1.4*1.3</t>
    <phoneticPr fontId="7" type="noConversion"/>
  </si>
  <si>
    <t>赣州管理中心消防改造</t>
    <phoneticPr fontId="7" type="noConversion"/>
  </si>
  <si>
    <t>设计费</t>
    <phoneticPr fontId="7" type="noConversion"/>
  </si>
  <si>
    <t>景德镇管理中心消防改造</t>
    <phoneticPr fontId="7" type="noConversion"/>
  </si>
  <si>
    <t xml:space="preserve">沙子韬 :700元；
温春辉：5700元；
周金民：800元；
</t>
    <phoneticPr fontId="7" type="noConversion"/>
  </si>
  <si>
    <t>-</t>
    <phoneticPr fontId="7" type="noConversion"/>
  </si>
  <si>
    <r>
      <t>水专业7个站点画图，4个站点出工程量；
电气1个站点画图；</t>
    </r>
    <r>
      <rPr>
        <sz val="11"/>
        <color rgb="FFFF0000"/>
        <rFont val="宋体"/>
        <family val="3"/>
        <charset val="134"/>
      </rPr>
      <t>现金结算</t>
    </r>
    <phoneticPr fontId="7" type="noConversion"/>
  </si>
  <si>
    <t>水（7个站点图+4个工程量）：温春辉；
电（1个站点+2工程量）：周金民</t>
    <phoneticPr fontId="7" type="noConversion"/>
  </si>
  <si>
    <t>钢楼梯：沙子韬/水：温春辉，电气：周金民/建筑专业技术支持：肖超群</t>
    <phoneticPr fontId="7" type="noConversion"/>
  </si>
  <si>
    <t xml:space="preserve">沙子韬 :8600元；
温春辉：2500元；
周金民：1000元；
肖超群：500元
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</si>
</sst>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;[Red]0.00"/>
    <numFmt numFmtId="177" formatCode="0.00_);[Red]\(0.00\)"/>
    <numFmt numFmtId="178" formatCode="0.00_ "/>
  </numFmts>
  <fonts count="11">
    <font>
      <sz val="11"/>
      <color indexed="8"/>
      <name val="宋体"/>
      <charset val="134"/>
    </font>
    <font>
      <sz val="1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等线"/>
      <family val="3"/>
      <charset val="134"/>
    </font>
    <font>
      <sz val="10"/>
      <color rgb="FF000000"/>
      <name val="Microsoft YaHe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7" fontId="0" fillId="0" borderId="1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left" vertical="center"/>
    </xf>
    <xf numFmtId="176" fontId="1" fillId="0" borderId="17" xfId="0" applyNumberFormat="1" applyFont="1" applyBorder="1" applyAlignment="1">
      <alignment horizontal="center" vertical="center"/>
    </xf>
    <xf numFmtId="176" fontId="0" fillId="0" borderId="17" xfId="0" applyNumberFormat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176" fontId="0" fillId="0" borderId="21" xfId="0" applyNumberForma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77" fontId="1" fillId="0" borderId="5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78" fontId="1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25" xfId="0" applyNumberForma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13" xfId="0" applyFont="1" applyBorder="1">
      <alignment vertical="center"/>
    </xf>
    <xf numFmtId="0" fontId="0" fillId="0" borderId="21" xfId="0" applyBorder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Border="1">
      <alignment vertical="center"/>
    </xf>
    <xf numFmtId="0" fontId="6" fillId="0" borderId="15" xfId="0" applyFont="1" applyBorder="1">
      <alignment vertical="center"/>
    </xf>
    <xf numFmtId="0" fontId="3" fillId="0" borderId="23" xfId="0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2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178" fontId="6" fillId="2" borderId="5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176" fontId="0" fillId="0" borderId="18" xfId="0" applyNumberFormat="1" applyBorder="1" applyAlignment="1">
      <alignment horizontal="left" vertical="center"/>
    </xf>
    <xf numFmtId="176" fontId="0" fillId="0" borderId="15" xfId="0" applyNumberForma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left" vertical="center"/>
    </xf>
    <xf numFmtId="176" fontId="0" fillId="0" borderId="24" xfId="0" applyNumberFormat="1" applyBorder="1" applyAlignment="1">
      <alignment horizontal="left" vertical="center"/>
    </xf>
    <xf numFmtId="176" fontId="0" fillId="0" borderId="15" xfId="0" applyNumberFormat="1" applyBorder="1" applyAlignment="1">
      <alignment horizontal="left" vertical="center"/>
    </xf>
    <xf numFmtId="176" fontId="0" fillId="0" borderId="23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32E1-C33E-40C5-91B3-CDC8DC98AE04}">
  <dimension ref="A1:H5"/>
  <sheetViews>
    <sheetView topLeftCell="A4" workbookViewId="0">
      <selection activeCell="E4" sqref="E4"/>
    </sheetView>
  </sheetViews>
  <sheetFormatPr defaultRowHeight="13.5"/>
  <cols>
    <col min="4" max="4" width="9" style="44"/>
    <col min="5" max="5" width="13.5" customWidth="1"/>
    <col min="6" max="6" width="14.75" customWidth="1"/>
    <col min="8" max="8" width="9" style="44"/>
  </cols>
  <sheetData>
    <row r="1" spans="1:8">
      <c r="A1" s="76" t="s">
        <v>83</v>
      </c>
      <c r="B1" s="77" t="s">
        <v>84</v>
      </c>
      <c r="C1" s="77" t="s">
        <v>1</v>
      </c>
      <c r="D1" s="77" t="s">
        <v>19</v>
      </c>
      <c r="E1" s="77" t="s">
        <v>85</v>
      </c>
      <c r="F1" s="77" t="s">
        <v>86</v>
      </c>
      <c r="G1" s="74" t="s">
        <v>6</v>
      </c>
      <c r="H1" s="72" t="s">
        <v>102</v>
      </c>
    </row>
    <row r="2" spans="1:8">
      <c r="A2" s="77"/>
      <c r="B2" s="77"/>
      <c r="C2" s="77"/>
      <c r="D2" s="77"/>
      <c r="E2" s="77"/>
      <c r="F2" s="75"/>
      <c r="G2" s="75"/>
      <c r="H2" s="73"/>
    </row>
    <row r="3" spans="1:8" ht="155.44999999999999" customHeight="1">
      <c r="A3" s="70">
        <v>1</v>
      </c>
      <c r="B3" s="70" t="s">
        <v>87</v>
      </c>
      <c r="C3" s="70" t="s">
        <v>88</v>
      </c>
      <c r="D3" s="71" t="s">
        <v>30</v>
      </c>
      <c r="E3" s="70" t="s">
        <v>99</v>
      </c>
      <c r="F3" s="70" t="s">
        <v>89</v>
      </c>
      <c r="G3" s="70"/>
      <c r="H3" s="71" t="s">
        <v>105</v>
      </c>
    </row>
    <row r="4" spans="1:8" ht="155.44999999999999" customHeight="1">
      <c r="A4" s="70">
        <v>2</v>
      </c>
      <c r="B4" s="70" t="s">
        <v>101</v>
      </c>
      <c r="C4" s="70" t="s">
        <v>88</v>
      </c>
      <c r="D4" s="71" t="s">
        <v>30</v>
      </c>
      <c r="E4" s="70" t="s">
        <v>108</v>
      </c>
      <c r="F4" s="70" t="s">
        <v>109</v>
      </c>
      <c r="G4" s="70"/>
      <c r="H4" s="11">
        <f>13412+22616</f>
        <v>36028</v>
      </c>
    </row>
    <row r="5" spans="1:8" ht="155.44999999999999" customHeight="1">
      <c r="A5" s="70">
        <v>3</v>
      </c>
      <c r="B5" s="70" t="s">
        <v>103</v>
      </c>
      <c r="C5" s="70" t="s">
        <v>88</v>
      </c>
      <c r="D5" s="71" t="s">
        <v>30</v>
      </c>
      <c r="E5" s="70" t="s">
        <v>107</v>
      </c>
      <c r="F5" s="70" t="s">
        <v>104</v>
      </c>
      <c r="G5" s="70"/>
      <c r="H5" s="11">
        <f>7442+13246</f>
        <v>20688</v>
      </c>
    </row>
  </sheetData>
  <mergeCells count="8">
    <mergeCell ref="H1:H2"/>
    <mergeCell ref="G1:G2"/>
    <mergeCell ref="A1:A2"/>
    <mergeCell ref="B1:B2"/>
    <mergeCell ref="C1:C2"/>
    <mergeCell ref="D1:D2"/>
    <mergeCell ref="E1:E2"/>
    <mergeCell ref="F1:F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2EBF-5837-4115-BF80-C712B20F7E30}">
  <dimension ref="A1:BY29"/>
  <sheetViews>
    <sheetView zoomScale="70" zoomScaleNormal="70" workbookViewId="0">
      <pane ySplit="4" topLeftCell="A5" activePane="bottomLeft" state="frozen"/>
      <selection pane="bottomLeft" activeCell="R10" sqref="R10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5" width="27.875" customWidth="1"/>
    <col min="6" max="6" width="15.75" customWidth="1"/>
    <col min="7" max="22" width="9.625" customWidth="1"/>
    <col min="23" max="23" width="14.125" hidden="1" customWidth="1"/>
    <col min="24" max="24" width="35.25" customWidth="1"/>
    <col min="25" max="25" width="15.875" customWidth="1"/>
    <col min="60" max="60" width="25.25" style="44" customWidth="1"/>
  </cols>
  <sheetData>
    <row r="1" spans="1:77" ht="30" customHeight="1" thickBot="1">
      <c r="A1" s="109" t="s">
        <v>77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47" t="s">
        <v>44</v>
      </c>
      <c r="Z1" s="48">
        <v>15</v>
      </c>
      <c r="AA1" s="72" t="s">
        <v>48</v>
      </c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I1" s="43" t="s">
        <v>50</v>
      </c>
    </row>
    <row r="2" spans="1:77" ht="30" customHeight="1">
      <c r="A2" s="112" t="s">
        <v>0</v>
      </c>
      <c r="B2" s="114" t="s">
        <v>1</v>
      </c>
      <c r="C2" s="114" t="s">
        <v>2</v>
      </c>
      <c r="D2" s="116" t="s">
        <v>3</v>
      </c>
      <c r="E2" s="105" t="s">
        <v>91</v>
      </c>
      <c r="F2" s="116" t="s">
        <v>90</v>
      </c>
      <c r="G2" s="117"/>
      <c r="H2" s="117"/>
      <c r="I2" s="117"/>
      <c r="J2" s="117"/>
      <c r="K2" s="117"/>
      <c r="L2" s="117"/>
      <c r="M2" s="117"/>
      <c r="N2" s="117"/>
      <c r="O2" s="118"/>
      <c r="P2" s="118"/>
      <c r="Q2" s="118"/>
      <c r="R2" s="118"/>
      <c r="S2" s="118"/>
      <c r="T2" s="118"/>
      <c r="U2" s="118"/>
      <c r="V2" s="118"/>
      <c r="W2" s="119" t="s">
        <v>5</v>
      </c>
      <c r="X2" s="120" t="s">
        <v>6</v>
      </c>
      <c r="Y2" s="43" t="s">
        <v>41</v>
      </c>
      <c r="Z2">
        <v>1</v>
      </c>
      <c r="AA2" s="100" t="s">
        <v>43</v>
      </c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2"/>
      <c r="AR2" s="100" t="s">
        <v>46</v>
      </c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2"/>
      <c r="BH2" s="50" t="s">
        <v>52</v>
      </c>
      <c r="BI2" s="100" t="s">
        <v>51</v>
      </c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2"/>
    </row>
    <row r="3" spans="1:77" ht="30" customHeight="1">
      <c r="A3" s="113"/>
      <c r="B3" s="114"/>
      <c r="C3" s="114"/>
      <c r="D3" s="116"/>
      <c r="E3" s="105"/>
      <c r="F3" s="116"/>
      <c r="G3" s="103" t="s">
        <v>7</v>
      </c>
      <c r="H3" s="103"/>
      <c r="I3" s="103"/>
      <c r="J3" s="103"/>
      <c r="K3" s="104" t="s">
        <v>8</v>
      </c>
      <c r="L3" s="103"/>
      <c r="M3" s="103"/>
      <c r="N3" s="103"/>
      <c r="O3" s="105" t="s">
        <v>9</v>
      </c>
      <c r="P3" s="105"/>
      <c r="Q3" s="105"/>
      <c r="R3" s="105"/>
      <c r="S3" s="104" t="s">
        <v>10</v>
      </c>
      <c r="T3" s="103"/>
      <c r="U3" s="103"/>
      <c r="V3" s="103"/>
      <c r="W3" s="105"/>
      <c r="X3" s="104"/>
      <c r="Y3" s="45" t="s">
        <v>42</v>
      </c>
      <c r="Z3" s="51">
        <v>0.14499999999999999</v>
      </c>
      <c r="AA3" s="106" t="s">
        <v>7</v>
      </c>
      <c r="AB3" s="103"/>
      <c r="AC3" s="103"/>
      <c r="AD3" s="103"/>
      <c r="AE3" s="104" t="s">
        <v>8</v>
      </c>
      <c r="AF3" s="103"/>
      <c r="AG3" s="103"/>
      <c r="AH3" s="103"/>
      <c r="AI3" s="105" t="s">
        <v>9</v>
      </c>
      <c r="AJ3" s="105"/>
      <c r="AK3" s="105"/>
      <c r="AL3" s="105"/>
      <c r="AM3" s="104" t="s">
        <v>10</v>
      </c>
      <c r="AN3" s="103"/>
      <c r="AO3" s="103"/>
      <c r="AP3" s="108"/>
      <c r="AR3" s="106" t="s">
        <v>7</v>
      </c>
      <c r="AS3" s="103"/>
      <c r="AT3" s="103"/>
      <c r="AU3" s="107"/>
      <c r="AV3" s="104" t="s">
        <v>8</v>
      </c>
      <c r="AW3" s="103"/>
      <c r="AX3" s="103"/>
      <c r="AY3" s="107"/>
      <c r="AZ3" s="104" t="s">
        <v>9</v>
      </c>
      <c r="BA3" s="103"/>
      <c r="BB3" s="103"/>
      <c r="BC3" s="107"/>
      <c r="BD3" s="104" t="s">
        <v>10</v>
      </c>
      <c r="BE3" s="103"/>
      <c r="BF3" s="103"/>
      <c r="BG3" s="108"/>
      <c r="BH3" s="50" t="s">
        <v>49</v>
      </c>
      <c r="BI3" s="106" t="s">
        <v>7</v>
      </c>
      <c r="BJ3" s="103"/>
      <c r="BK3" s="103"/>
      <c r="BL3" s="107"/>
      <c r="BM3" s="104" t="s">
        <v>8</v>
      </c>
      <c r="BN3" s="103"/>
      <c r="BO3" s="103"/>
      <c r="BP3" s="107"/>
      <c r="BQ3" s="104" t="s">
        <v>9</v>
      </c>
      <c r="BR3" s="103"/>
      <c r="BS3" s="103"/>
      <c r="BT3" s="107"/>
      <c r="BU3" s="104" t="s">
        <v>10</v>
      </c>
      <c r="BV3" s="103"/>
      <c r="BW3" s="103"/>
      <c r="BX3" s="108"/>
    </row>
    <row r="4" spans="1:77" ht="30" customHeight="1">
      <c r="A4" s="113"/>
      <c r="B4" s="115"/>
      <c r="C4" s="115"/>
      <c r="D4" s="116"/>
      <c r="E4" s="105"/>
      <c r="F4" s="116"/>
      <c r="G4" s="29"/>
      <c r="H4" s="29"/>
      <c r="I4" s="29"/>
      <c r="J4" s="2" t="s">
        <v>12</v>
      </c>
      <c r="K4" s="35" t="s">
        <v>30</v>
      </c>
      <c r="L4" s="29" t="s">
        <v>26</v>
      </c>
      <c r="M4" s="29" t="s">
        <v>29</v>
      </c>
      <c r="N4" s="2" t="s">
        <v>12</v>
      </c>
      <c r="O4" s="35" t="s">
        <v>33</v>
      </c>
      <c r="P4" s="29" t="s">
        <v>34</v>
      </c>
      <c r="Q4" s="29" t="s">
        <v>36</v>
      </c>
      <c r="R4" s="2" t="s">
        <v>12</v>
      </c>
      <c r="S4" s="2" t="s">
        <v>31</v>
      </c>
      <c r="T4" s="29" t="s">
        <v>54</v>
      </c>
      <c r="U4" s="29" t="s">
        <v>35</v>
      </c>
      <c r="V4" s="2" t="s">
        <v>12</v>
      </c>
      <c r="W4" s="105"/>
      <c r="X4" s="104"/>
      <c r="Y4" s="46" t="s">
        <v>47</v>
      </c>
      <c r="Z4" s="52">
        <f>1-Z3</f>
        <v>0.85499999999999998</v>
      </c>
      <c r="AA4" s="42"/>
      <c r="AB4" s="29"/>
      <c r="AC4" s="29"/>
      <c r="AD4" s="2" t="s">
        <v>12</v>
      </c>
      <c r="AE4" s="63" t="s">
        <v>30</v>
      </c>
      <c r="AF4" s="64" t="s">
        <v>26</v>
      </c>
      <c r="AG4" s="29" t="s">
        <v>45</v>
      </c>
      <c r="AH4" s="2" t="s">
        <v>12</v>
      </c>
      <c r="AI4" s="35" t="s">
        <v>33</v>
      </c>
      <c r="AJ4" s="29"/>
      <c r="AK4" s="29"/>
      <c r="AL4" s="2" t="s">
        <v>12</v>
      </c>
      <c r="AM4" s="2" t="s">
        <v>31</v>
      </c>
      <c r="AN4" s="29"/>
      <c r="AO4" s="29"/>
      <c r="AP4" s="53" t="s">
        <v>12</v>
      </c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50" t="s">
        <v>49</v>
      </c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</row>
    <row r="5" spans="1:77" ht="30" customHeight="1">
      <c r="A5" s="90">
        <v>1</v>
      </c>
      <c r="B5" s="93" t="s">
        <v>37</v>
      </c>
      <c r="C5" s="98" t="s">
        <v>55</v>
      </c>
      <c r="D5" s="8" t="s">
        <v>13</v>
      </c>
      <c r="E5" s="5">
        <v>0</v>
      </c>
      <c r="F5" s="5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20"/>
      <c r="X5" s="21"/>
      <c r="Y5" s="8"/>
      <c r="AA5" s="54">
        <v>0.8</v>
      </c>
      <c r="AB5" s="36">
        <v>0.08</v>
      </c>
      <c r="AC5" s="36">
        <v>0.08</v>
      </c>
      <c r="AD5" s="33"/>
      <c r="AE5" s="65">
        <v>0.44</v>
      </c>
      <c r="AF5" s="65">
        <v>0.44</v>
      </c>
      <c r="AG5" s="36">
        <v>0.1</v>
      </c>
      <c r="AH5" s="33"/>
      <c r="AI5" s="37">
        <v>0.82</v>
      </c>
      <c r="AJ5" s="36">
        <v>0.08</v>
      </c>
      <c r="AK5" s="36">
        <v>0.08</v>
      </c>
      <c r="AL5" s="33"/>
      <c r="AM5" s="37">
        <v>0.82</v>
      </c>
      <c r="AN5" s="36">
        <v>0.08</v>
      </c>
      <c r="AO5" s="36">
        <v>0.08</v>
      </c>
      <c r="AP5" s="28"/>
      <c r="AQ5" s="8" t="s">
        <v>13</v>
      </c>
      <c r="AR5" s="61">
        <f>$BH5*BI5</f>
        <v>0.30099999999999999</v>
      </c>
      <c r="AS5" s="61">
        <f t="shared" ref="AS5:AT6" si="0">$BH5*BJ5</f>
        <v>0.30099999999999999</v>
      </c>
      <c r="AT5" s="61">
        <f t="shared" si="0"/>
        <v>0.30099999999999999</v>
      </c>
      <c r="AU5" s="61"/>
      <c r="AV5" s="61">
        <f>$BH5*BM5</f>
        <v>2.7999999999999997E-2</v>
      </c>
      <c r="AW5" s="61">
        <f t="shared" ref="AW5:AX6" si="1">$BH5*BN5</f>
        <v>2.7999999999999997E-2</v>
      </c>
      <c r="AX5" s="61">
        <f t="shared" si="1"/>
        <v>2.7999999999999997E-2</v>
      </c>
      <c r="AY5" s="61"/>
      <c r="AZ5" s="61">
        <f>$BH5*BQ5</f>
        <v>0.252</v>
      </c>
      <c r="BA5" s="61">
        <f t="shared" ref="BA5:BB6" si="2">$BH5*BR5</f>
        <v>0.252</v>
      </c>
      <c r="BB5" s="61">
        <f t="shared" si="2"/>
        <v>0.252</v>
      </c>
      <c r="BC5" s="61"/>
      <c r="BD5" s="61">
        <f>$BH5*BU5</f>
        <v>0.11899999999999999</v>
      </c>
      <c r="BE5" s="61">
        <f t="shared" ref="BE5:BF6" si="3">$BH5*BV5</f>
        <v>0.11899999999999999</v>
      </c>
      <c r="BF5" s="61">
        <f t="shared" si="3"/>
        <v>0.11899999999999999</v>
      </c>
      <c r="BG5" s="61"/>
      <c r="BH5" s="44">
        <v>0.7</v>
      </c>
      <c r="BI5" s="61">
        <v>0.43</v>
      </c>
      <c r="BJ5" s="61">
        <f>BI5</f>
        <v>0.43</v>
      </c>
      <c r="BK5" s="61">
        <f>BJ5</f>
        <v>0.43</v>
      </c>
      <c r="BL5" s="61"/>
      <c r="BM5" s="61">
        <v>0.04</v>
      </c>
      <c r="BN5" s="61">
        <f>BM5</f>
        <v>0.04</v>
      </c>
      <c r="BO5" s="61">
        <f>BN5</f>
        <v>0.04</v>
      </c>
      <c r="BP5" s="61"/>
      <c r="BQ5" s="61">
        <v>0.36</v>
      </c>
      <c r="BR5" s="61">
        <f>BQ5</f>
        <v>0.36</v>
      </c>
      <c r="BS5" s="61">
        <f>BR5</f>
        <v>0.36</v>
      </c>
      <c r="BT5" s="61"/>
      <c r="BU5" s="61">
        <v>0.17</v>
      </c>
      <c r="BV5" s="61">
        <f>BU5</f>
        <v>0.17</v>
      </c>
      <c r="BW5" s="61">
        <f>BV5</f>
        <v>0.17</v>
      </c>
      <c r="BX5" s="61"/>
      <c r="BY5" s="8" t="s">
        <v>13</v>
      </c>
    </row>
    <row r="6" spans="1:77" ht="30" customHeight="1">
      <c r="A6" s="97"/>
      <c r="B6" s="94"/>
      <c r="C6" s="99"/>
      <c r="D6" s="4" t="s">
        <v>14</v>
      </c>
      <c r="E6" s="5">
        <f>(43*20+45*20+70*8.2+38*16+38*16+25*21+48*22+28*22+33*23+29*23+75*19)*0.3</f>
        <v>2579.4</v>
      </c>
      <c r="F6" s="5">
        <f>(43*20+45*20+70*8.2+38*16+38*16+25*21+48*22+28*22+33*23+29*23+75*19)</f>
        <v>8598</v>
      </c>
      <c r="G6" s="37"/>
      <c r="H6" s="37"/>
      <c r="I6" s="37"/>
      <c r="J6" s="37"/>
      <c r="K6" s="37">
        <f>$E6/100*$Z$1*$Z$2*AE6*AV6*(IF($D6="总图",$Z$3,$Z$4))</f>
        <v>33.885330177600004</v>
      </c>
      <c r="L6" s="37">
        <f>$E6/100*$Z$1*$Z$2*AF6*AW6*(IF($D6="总图",$Z$3,$Z$4))</f>
        <v>33.885330177600004</v>
      </c>
      <c r="M6" s="37">
        <f t="shared" ref="M6" si="4">$E6/100*$Z$1*$Z$2*AG6*AX6*(IF($D6="总图",$Z$3,$Z$4))</f>
        <v>7.7012114040000013</v>
      </c>
      <c r="N6" s="37"/>
      <c r="O6" s="37"/>
      <c r="P6" s="37"/>
      <c r="Q6" s="37"/>
      <c r="R6" s="37"/>
      <c r="S6" s="37"/>
      <c r="T6" s="37"/>
      <c r="U6" s="37"/>
      <c r="V6" s="37"/>
      <c r="W6" s="20"/>
      <c r="X6" s="19" t="s">
        <v>80</v>
      </c>
      <c r="Y6" s="4"/>
      <c r="AA6" s="54">
        <v>0.8</v>
      </c>
      <c r="AB6" s="36">
        <v>0.08</v>
      </c>
      <c r="AC6" s="36">
        <v>0.08</v>
      </c>
      <c r="AD6" s="33"/>
      <c r="AE6" s="65">
        <v>0.44</v>
      </c>
      <c r="AF6" s="65">
        <v>0.44</v>
      </c>
      <c r="AG6" s="36">
        <v>0.1</v>
      </c>
      <c r="AH6" s="33"/>
      <c r="AI6" s="37">
        <v>0.82</v>
      </c>
      <c r="AJ6" s="36">
        <v>0.08</v>
      </c>
      <c r="AK6" s="36">
        <v>0.08</v>
      </c>
      <c r="AL6" s="33"/>
      <c r="AM6" s="37">
        <v>0.82</v>
      </c>
      <c r="AN6" s="36">
        <v>0.08</v>
      </c>
      <c r="AO6" s="36">
        <v>0.08</v>
      </c>
      <c r="AP6" s="28"/>
      <c r="AQ6" s="4" t="s">
        <v>14</v>
      </c>
      <c r="AR6" s="61">
        <f>$BH6*BI6</f>
        <v>0.20039999999999999</v>
      </c>
      <c r="AS6" s="61">
        <f t="shared" si="0"/>
        <v>0.20039999999999999</v>
      </c>
      <c r="AT6" s="61">
        <f t="shared" si="0"/>
        <v>0.20039999999999999</v>
      </c>
      <c r="AU6" s="61"/>
      <c r="AV6" s="61">
        <f>$BH6*BM6</f>
        <v>0.23280000000000001</v>
      </c>
      <c r="AW6" s="61">
        <f t="shared" si="1"/>
        <v>0.23280000000000001</v>
      </c>
      <c r="AX6" s="61">
        <f t="shared" si="1"/>
        <v>0.23280000000000001</v>
      </c>
      <c r="AY6" s="61"/>
      <c r="AZ6" s="61">
        <f>$BH6*BQ6</f>
        <v>7.8E-2</v>
      </c>
      <c r="BA6" s="61">
        <f t="shared" si="2"/>
        <v>7.8E-2</v>
      </c>
      <c r="BB6" s="61">
        <f t="shared" si="2"/>
        <v>7.8E-2</v>
      </c>
      <c r="BC6" s="61"/>
      <c r="BD6" s="61">
        <f>$BH6*BU6</f>
        <v>8.8199999999999987E-2</v>
      </c>
      <c r="BE6" s="61">
        <f t="shared" si="3"/>
        <v>8.8199999999999987E-2</v>
      </c>
      <c r="BF6" s="61">
        <f t="shared" si="3"/>
        <v>8.8199999999999987E-2</v>
      </c>
      <c r="BG6" s="61"/>
      <c r="BH6" s="44">
        <v>0.6</v>
      </c>
      <c r="BI6" s="61">
        <v>0.33400000000000002</v>
      </c>
      <c r="BJ6" s="61">
        <f t="shared" ref="BJ6:BK6" si="5">BI6</f>
        <v>0.33400000000000002</v>
      </c>
      <c r="BK6" s="61">
        <f t="shared" si="5"/>
        <v>0.33400000000000002</v>
      </c>
      <c r="BL6" s="61"/>
      <c r="BM6" s="61">
        <v>0.38800000000000001</v>
      </c>
      <c r="BN6" s="61">
        <f t="shared" ref="BN6:BO6" si="6">BM6</f>
        <v>0.38800000000000001</v>
      </c>
      <c r="BO6" s="61">
        <f t="shared" si="6"/>
        <v>0.38800000000000001</v>
      </c>
      <c r="BP6" s="61"/>
      <c r="BQ6" s="61">
        <v>0.13</v>
      </c>
      <c r="BR6" s="61">
        <f t="shared" ref="BR6:BS6" si="7">BQ6</f>
        <v>0.13</v>
      </c>
      <c r="BS6" s="61">
        <f t="shared" si="7"/>
        <v>0.13</v>
      </c>
      <c r="BT6" s="61"/>
      <c r="BU6" s="61">
        <v>0.14699999999999999</v>
      </c>
      <c r="BV6" s="61">
        <f t="shared" ref="BV6:BW6" si="8">BU6</f>
        <v>0.14699999999999999</v>
      </c>
      <c r="BW6" s="61">
        <f t="shared" si="8"/>
        <v>0.14699999999999999</v>
      </c>
      <c r="BX6" s="61"/>
      <c r="BY6" s="4" t="s">
        <v>14</v>
      </c>
    </row>
    <row r="7" spans="1:77" ht="30" customHeight="1">
      <c r="A7" s="97"/>
      <c r="B7" s="95"/>
      <c r="C7" s="99"/>
      <c r="D7" s="3"/>
      <c r="E7" s="5"/>
      <c r="F7" s="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9"/>
      <c r="W7" s="20"/>
      <c r="X7" s="21"/>
      <c r="AA7" s="55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28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</row>
    <row r="8" spans="1:77" ht="58.15" customHeight="1">
      <c r="A8" s="90">
        <v>2</v>
      </c>
      <c r="B8" s="93" t="s">
        <v>32</v>
      </c>
      <c r="C8" s="93" t="s">
        <v>53</v>
      </c>
      <c r="D8" s="8" t="s">
        <v>13</v>
      </c>
      <c r="E8" s="5">
        <v>0</v>
      </c>
      <c r="F8" s="5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22"/>
      <c r="X8" s="23" t="s">
        <v>106</v>
      </c>
      <c r="AA8" s="54">
        <v>0.8</v>
      </c>
      <c r="AB8" s="36">
        <v>0.08</v>
      </c>
      <c r="AC8" s="36">
        <v>0.08</v>
      </c>
      <c r="AD8" s="33"/>
      <c r="AE8" s="65">
        <v>0.44</v>
      </c>
      <c r="AF8" s="65">
        <v>0.44</v>
      </c>
      <c r="AG8" s="36">
        <v>0.1</v>
      </c>
      <c r="AH8" s="33"/>
      <c r="AI8" s="37">
        <v>0.82</v>
      </c>
      <c r="AJ8" s="36">
        <v>0.08</v>
      </c>
      <c r="AK8" s="36">
        <v>0.08</v>
      </c>
      <c r="AL8" s="33"/>
      <c r="AM8" s="37">
        <v>0.82</v>
      </c>
      <c r="AN8" s="36">
        <v>0.08</v>
      </c>
      <c r="AO8" s="36">
        <v>0.08</v>
      </c>
      <c r="AP8" s="28"/>
      <c r="AQ8" s="8" t="s">
        <v>13</v>
      </c>
      <c r="AR8" s="61">
        <f>$BH8*BI8</f>
        <v>0.30099999999999999</v>
      </c>
      <c r="AS8" s="61">
        <f t="shared" ref="AS8:AT9" si="9">$BH8*BJ8</f>
        <v>0.30099999999999999</v>
      </c>
      <c r="AT8" s="61">
        <f t="shared" si="9"/>
        <v>0.30099999999999999</v>
      </c>
      <c r="AU8" s="61"/>
      <c r="AV8" s="61">
        <f>$BH8*BM8</f>
        <v>2.7999999999999997E-2</v>
      </c>
      <c r="AW8" s="61">
        <f t="shared" ref="AW8:AX9" si="10">$BH8*BN8</f>
        <v>2.7999999999999997E-2</v>
      </c>
      <c r="AX8" s="61">
        <f t="shared" si="10"/>
        <v>2.7999999999999997E-2</v>
      </c>
      <c r="AY8" s="61"/>
      <c r="AZ8" s="61">
        <f>$BH8*BQ8</f>
        <v>0.252</v>
      </c>
      <c r="BA8" s="61">
        <f t="shared" ref="BA8:BB9" si="11">$BH8*BR8</f>
        <v>0.252</v>
      </c>
      <c r="BB8" s="61">
        <f t="shared" si="11"/>
        <v>0.252</v>
      </c>
      <c r="BC8" s="61"/>
      <c r="BD8" s="61">
        <f>$BH8*BU8</f>
        <v>0.11899999999999999</v>
      </c>
      <c r="BE8" s="61">
        <f t="shared" ref="BE8:BF9" si="12">$BH8*BV8</f>
        <v>0.11899999999999999</v>
      </c>
      <c r="BF8" s="61">
        <f t="shared" si="12"/>
        <v>0.11899999999999999</v>
      </c>
      <c r="BG8" s="61"/>
      <c r="BH8" s="44">
        <v>0.7</v>
      </c>
      <c r="BI8" s="61">
        <v>0.43</v>
      </c>
      <c r="BJ8" s="61">
        <f t="shared" ref="BJ8:BK9" si="13">BI8</f>
        <v>0.43</v>
      </c>
      <c r="BK8" s="61">
        <f t="shared" si="13"/>
        <v>0.43</v>
      </c>
      <c r="BL8" s="61"/>
      <c r="BM8" s="61">
        <v>0.04</v>
      </c>
      <c r="BN8" s="61">
        <f t="shared" ref="BN8:BO9" si="14">BM8</f>
        <v>0.04</v>
      </c>
      <c r="BO8" s="61">
        <f t="shared" si="14"/>
        <v>0.04</v>
      </c>
      <c r="BP8" s="61"/>
      <c r="BQ8" s="61">
        <v>0.36</v>
      </c>
      <c r="BR8" s="61">
        <f t="shared" ref="BR8:BS9" si="15">BQ8</f>
        <v>0.36</v>
      </c>
      <c r="BS8" s="61">
        <f t="shared" si="15"/>
        <v>0.36</v>
      </c>
      <c r="BT8" s="61"/>
      <c r="BU8" s="61">
        <v>0.17</v>
      </c>
      <c r="BV8" s="61">
        <f t="shared" ref="BV8:BW9" si="16">BU8</f>
        <v>0.17</v>
      </c>
      <c r="BW8" s="61">
        <f t="shared" si="16"/>
        <v>0.17</v>
      </c>
      <c r="BX8" s="61"/>
      <c r="BY8" s="8" t="s">
        <v>13</v>
      </c>
    </row>
    <row r="9" spans="1:77" s="1" customFormat="1" ht="30" customHeight="1" thickBot="1">
      <c r="A9" s="91"/>
      <c r="B9" s="94"/>
      <c r="C9" s="96"/>
      <c r="D9" s="4" t="s">
        <v>14</v>
      </c>
      <c r="E9" s="5">
        <v>0</v>
      </c>
      <c r="F9" s="5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24"/>
      <c r="X9" s="23"/>
      <c r="AA9" s="56">
        <v>0.8</v>
      </c>
      <c r="AB9" s="57">
        <v>0.08</v>
      </c>
      <c r="AC9" s="57">
        <v>0.08</v>
      </c>
      <c r="AD9" s="58"/>
      <c r="AE9" s="65">
        <v>0.44</v>
      </c>
      <c r="AF9" s="65">
        <v>0.44</v>
      </c>
      <c r="AG9" s="57">
        <v>0.1</v>
      </c>
      <c r="AH9" s="58"/>
      <c r="AI9" s="59">
        <v>0.82</v>
      </c>
      <c r="AJ9" s="57">
        <v>0.08</v>
      </c>
      <c r="AK9" s="57">
        <v>0.08</v>
      </c>
      <c r="AL9" s="58"/>
      <c r="AM9" s="37">
        <v>0.82</v>
      </c>
      <c r="AN9" s="57">
        <v>0.08</v>
      </c>
      <c r="AO9" s="57">
        <v>0.08</v>
      </c>
      <c r="AP9" s="60"/>
      <c r="AQ9" s="4" t="s">
        <v>14</v>
      </c>
      <c r="AR9" s="61">
        <f>$BH9*BI9</f>
        <v>0.20039999999999999</v>
      </c>
      <c r="AS9" s="61">
        <f t="shared" si="9"/>
        <v>0.20039999999999999</v>
      </c>
      <c r="AT9" s="61">
        <f t="shared" si="9"/>
        <v>0.20039999999999999</v>
      </c>
      <c r="AU9" s="61"/>
      <c r="AV9" s="61">
        <f>$BH9*BM9</f>
        <v>0.23280000000000001</v>
      </c>
      <c r="AW9" s="61">
        <f t="shared" si="10"/>
        <v>0.23280000000000001</v>
      </c>
      <c r="AX9" s="61">
        <f t="shared" si="10"/>
        <v>0.23280000000000001</v>
      </c>
      <c r="AY9" s="61"/>
      <c r="AZ9" s="61">
        <f>$BH9*BQ9</f>
        <v>7.8E-2</v>
      </c>
      <c r="BA9" s="61">
        <f t="shared" si="11"/>
        <v>7.8E-2</v>
      </c>
      <c r="BB9" s="61">
        <f t="shared" si="11"/>
        <v>7.8E-2</v>
      </c>
      <c r="BC9" s="61"/>
      <c r="BD9" s="61">
        <f>$BH9*BU9</f>
        <v>8.8199999999999987E-2</v>
      </c>
      <c r="BE9" s="61">
        <f t="shared" si="12"/>
        <v>8.8199999999999987E-2</v>
      </c>
      <c r="BF9" s="61">
        <f t="shared" si="12"/>
        <v>8.8199999999999987E-2</v>
      </c>
      <c r="BG9" s="61"/>
      <c r="BH9" s="44">
        <v>0.6</v>
      </c>
      <c r="BI9" s="61">
        <v>0.33400000000000002</v>
      </c>
      <c r="BJ9" s="61">
        <f t="shared" si="13"/>
        <v>0.33400000000000002</v>
      </c>
      <c r="BK9" s="61">
        <f t="shared" si="13"/>
        <v>0.33400000000000002</v>
      </c>
      <c r="BL9" s="61"/>
      <c r="BM9" s="61">
        <v>0.38800000000000001</v>
      </c>
      <c r="BN9" s="61">
        <f t="shared" si="14"/>
        <v>0.38800000000000001</v>
      </c>
      <c r="BO9" s="61">
        <f t="shared" si="14"/>
        <v>0.38800000000000001</v>
      </c>
      <c r="BP9" s="61"/>
      <c r="BQ9" s="61">
        <v>0.13</v>
      </c>
      <c r="BR9" s="61">
        <f t="shared" si="15"/>
        <v>0.13</v>
      </c>
      <c r="BS9" s="61">
        <f t="shared" si="15"/>
        <v>0.13</v>
      </c>
      <c r="BT9" s="61"/>
      <c r="BU9" s="61">
        <v>0.14699999999999999</v>
      </c>
      <c r="BV9" s="61">
        <f t="shared" si="16"/>
        <v>0.14699999999999999</v>
      </c>
      <c r="BW9" s="61">
        <f t="shared" si="16"/>
        <v>0.14699999999999999</v>
      </c>
      <c r="BX9" s="61"/>
      <c r="BY9" s="4" t="s">
        <v>14</v>
      </c>
    </row>
    <row r="10" spans="1:77" s="1" customFormat="1" ht="30" customHeight="1">
      <c r="A10" s="91"/>
      <c r="B10" s="94"/>
      <c r="C10" s="96"/>
      <c r="D10" s="3"/>
      <c r="E10" s="5"/>
      <c r="F10" s="5"/>
      <c r="G10" s="33"/>
      <c r="H10" s="33"/>
      <c r="I10" s="31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9"/>
      <c r="W10" s="24"/>
      <c r="X10" s="25"/>
      <c r="BH10" s="49"/>
    </row>
    <row r="11" spans="1:77" ht="30" customHeight="1">
      <c r="A11" s="92"/>
      <c r="B11" s="95"/>
      <c r="C11" s="95"/>
      <c r="D11" s="8"/>
      <c r="E11" s="5"/>
      <c r="F11" s="5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9"/>
      <c r="W11" s="22"/>
      <c r="X11" s="21"/>
    </row>
    <row r="12" spans="1:77" ht="30" customHeight="1">
      <c r="A12" s="10" t="s">
        <v>11</v>
      </c>
      <c r="B12" s="30"/>
      <c r="C12" s="4"/>
      <c r="D12" s="11" t="s">
        <v>15</v>
      </c>
      <c r="E12" s="2"/>
      <c r="F12" s="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11"/>
      <c r="W12" s="22"/>
      <c r="X12" s="21"/>
    </row>
    <row r="13" spans="1:77" ht="30" customHeight="1">
      <c r="A13" s="10" t="s">
        <v>11</v>
      </c>
      <c r="B13" s="30"/>
      <c r="C13" s="4"/>
      <c r="D13" s="11" t="s">
        <v>16</v>
      </c>
      <c r="E13" s="35" t="s">
        <v>30</v>
      </c>
      <c r="F13" s="69"/>
      <c r="G13" s="32"/>
      <c r="H13" s="32"/>
      <c r="I13" s="32"/>
      <c r="J13" s="32"/>
      <c r="K13" s="32">
        <f>SUM(K5:M9)*0.09</f>
        <v>6.7924684583280008</v>
      </c>
      <c r="L13" s="32"/>
      <c r="M13" s="32"/>
      <c r="N13" s="32"/>
      <c r="O13" s="33"/>
      <c r="P13" s="33"/>
      <c r="Q13" s="33"/>
      <c r="R13" s="33"/>
      <c r="S13" s="33"/>
      <c r="T13" s="33"/>
      <c r="U13" s="33"/>
      <c r="V13" s="11"/>
      <c r="W13" s="7"/>
      <c r="X13" s="21"/>
    </row>
    <row r="14" spans="1:77" ht="30" customHeight="1">
      <c r="A14" s="10" t="s">
        <v>11</v>
      </c>
      <c r="B14" s="30"/>
      <c r="C14" s="4"/>
      <c r="D14" s="11" t="s">
        <v>17</v>
      </c>
      <c r="E14" s="35" t="s">
        <v>33</v>
      </c>
      <c r="F14" s="69"/>
      <c r="G14" s="32"/>
      <c r="H14" s="32"/>
      <c r="I14" s="32"/>
      <c r="J14" s="32"/>
      <c r="K14" s="32"/>
      <c r="L14" s="32"/>
      <c r="M14" s="32"/>
      <c r="N14" s="32"/>
      <c r="O14" s="32">
        <f>SUM(O5:Q9)*0.09</f>
        <v>0</v>
      </c>
      <c r="P14" s="32"/>
      <c r="Q14" s="32"/>
      <c r="R14" s="32"/>
      <c r="S14" s="33"/>
      <c r="T14" s="33"/>
      <c r="U14" s="33"/>
      <c r="V14" s="11"/>
      <c r="W14" s="7"/>
      <c r="X14" s="21"/>
    </row>
    <row r="15" spans="1:77" ht="30" customHeight="1">
      <c r="A15" s="10" t="s">
        <v>11</v>
      </c>
      <c r="B15" s="30"/>
      <c r="C15" s="4"/>
      <c r="D15" s="11" t="s">
        <v>18</v>
      </c>
      <c r="E15" s="2" t="s">
        <v>31</v>
      </c>
      <c r="F15" s="2"/>
      <c r="G15" s="12"/>
      <c r="H15" s="12"/>
      <c r="I15" s="12"/>
      <c r="J15" s="12"/>
      <c r="K15" s="12"/>
      <c r="L15" s="12"/>
      <c r="M15" s="12"/>
      <c r="N15" s="7"/>
      <c r="O15" s="7"/>
      <c r="P15" s="7"/>
      <c r="Q15" s="11"/>
      <c r="R15" s="11"/>
      <c r="S15" s="32">
        <f>SUM(S5:U9)*0.09</f>
        <v>0</v>
      </c>
      <c r="T15" s="12"/>
      <c r="U15" s="12"/>
      <c r="V15" s="12"/>
      <c r="W15" s="7"/>
      <c r="X15" s="21"/>
    </row>
    <row r="16" spans="1:77" ht="30" customHeight="1">
      <c r="A16" s="13" t="s">
        <v>11</v>
      </c>
      <c r="B16" s="6"/>
      <c r="C16" s="4"/>
      <c r="D16" s="11" t="s">
        <v>19</v>
      </c>
      <c r="E16" s="34" t="s">
        <v>30</v>
      </c>
      <c r="F16" s="34"/>
      <c r="G16" s="14"/>
      <c r="H16" s="14"/>
      <c r="I16" s="14"/>
      <c r="J16" s="14"/>
      <c r="K16" s="14">
        <f>SUM(G5:U9)*0.15</f>
        <v>11.320780763880002</v>
      </c>
      <c r="M16" s="14"/>
      <c r="N16" s="14"/>
      <c r="O16" s="14"/>
      <c r="P16" s="14"/>
      <c r="Q16" s="14"/>
      <c r="R16" s="14"/>
      <c r="S16" s="26"/>
      <c r="T16" s="27"/>
      <c r="U16" s="27"/>
      <c r="V16" s="27"/>
      <c r="W16" s="7"/>
      <c r="X16" s="21"/>
    </row>
    <row r="17" spans="1:24" ht="30" customHeight="1">
      <c r="A17" s="78" t="s">
        <v>20</v>
      </c>
      <c r="B17" s="79"/>
      <c r="C17" s="11"/>
      <c r="D17" s="11"/>
      <c r="E17" s="9"/>
      <c r="F17" s="9"/>
      <c r="G17" s="9"/>
      <c r="H17" s="9"/>
      <c r="I17" s="9"/>
      <c r="J17" s="9"/>
      <c r="K17" s="9">
        <f>SUM(K5:K16)</f>
        <v>51.998579399808008</v>
      </c>
      <c r="L17" s="9">
        <f>SUM(L5:L15)</f>
        <v>33.885330177600004</v>
      </c>
      <c r="M17" s="9">
        <f>SUM(M5:M15)</f>
        <v>7.7012114040000013</v>
      </c>
      <c r="N17" s="9"/>
      <c r="O17" s="9">
        <f>SUM(O5:O15)</f>
        <v>0</v>
      </c>
      <c r="P17" s="9">
        <f>SUM(P5:P15)</f>
        <v>0</v>
      </c>
      <c r="Q17" s="9">
        <f>SUM(Q5:Q15)</f>
        <v>0</v>
      </c>
      <c r="R17" s="9"/>
      <c r="S17" s="9">
        <f>SUM(S5:S15)</f>
        <v>0</v>
      </c>
      <c r="T17" s="9">
        <f>SUM(T5:T15)</f>
        <v>0</v>
      </c>
      <c r="U17" s="9">
        <f>SUM(U5:U15)</f>
        <v>0</v>
      </c>
      <c r="V17" s="9"/>
      <c r="W17" s="7"/>
      <c r="X17" s="28"/>
    </row>
    <row r="18" spans="1:24" ht="30" customHeight="1">
      <c r="A18" s="80" t="s">
        <v>21</v>
      </c>
      <c r="B18" s="81"/>
      <c r="C18" s="5">
        <f>SUM(G5:I15)</f>
        <v>0</v>
      </c>
      <c r="D18" s="5"/>
      <c r="E18" s="15"/>
      <c r="F18" s="6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9"/>
    </row>
    <row r="19" spans="1:24" ht="30" customHeight="1">
      <c r="A19" s="80" t="s">
        <v>22</v>
      </c>
      <c r="B19" s="81"/>
      <c r="C19" s="5">
        <f>SUM(K5:M15)</f>
        <v>82.264340217528016</v>
      </c>
      <c r="D19" s="5"/>
      <c r="E19" s="15"/>
      <c r="F19" s="6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9"/>
    </row>
    <row r="20" spans="1:24" ht="30" customHeight="1">
      <c r="A20" s="80" t="s">
        <v>23</v>
      </c>
      <c r="B20" s="81"/>
      <c r="C20" s="5">
        <f>SUM(O5:Q15)</f>
        <v>0</v>
      </c>
      <c r="D20" s="5"/>
      <c r="E20" s="15"/>
      <c r="F20" s="6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9"/>
    </row>
    <row r="21" spans="1:24" ht="30" customHeight="1">
      <c r="A21" s="80" t="s">
        <v>24</v>
      </c>
      <c r="B21" s="81"/>
      <c r="C21" s="5">
        <f>SUM(S5:U15)</f>
        <v>0</v>
      </c>
      <c r="D21" s="5"/>
      <c r="E21" s="15"/>
      <c r="F21" s="6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9"/>
    </row>
    <row r="22" spans="1:24" ht="30" customHeight="1">
      <c r="A22" s="82" t="s">
        <v>38</v>
      </c>
      <c r="B22" s="83"/>
      <c r="C22" s="38">
        <f>K16</f>
        <v>11.320780763880002</v>
      </c>
      <c r="D22" s="38"/>
      <c r="E22" s="39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1"/>
    </row>
    <row r="23" spans="1:24" ht="30" customHeight="1" thickBot="1">
      <c r="A23" s="84" t="s">
        <v>25</v>
      </c>
      <c r="B23" s="85"/>
      <c r="C23" s="16">
        <f>SUM(C18:C22)</f>
        <v>93.585120981408011</v>
      </c>
      <c r="D23" s="16"/>
      <c r="E23" s="17"/>
      <c r="F23" s="6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7"/>
    </row>
    <row r="26" spans="1:24">
      <c r="A26" s="43"/>
      <c r="C26" s="43"/>
    </row>
    <row r="29" spans="1:24" ht="17.100000000000001" customHeight="1">
      <c r="I29" s="18"/>
    </row>
  </sheetData>
  <mergeCells count="48">
    <mergeCell ref="A1:X1"/>
    <mergeCell ref="AA1:BG1"/>
    <mergeCell ref="A2:A4"/>
    <mergeCell ref="B2:B4"/>
    <mergeCell ref="C2:C4"/>
    <mergeCell ref="D2:D4"/>
    <mergeCell ref="E2:E4"/>
    <mergeCell ref="G2:V2"/>
    <mergeCell ref="W2:W4"/>
    <mergeCell ref="X2:X4"/>
    <mergeCell ref="AA2:AP2"/>
    <mergeCell ref="AR2:BG2"/>
    <mergeCell ref="BD3:BG3"/>
    <mergeCell ref="F2:F4"/>
    <mergeCell ref="BI2:BX2"/>
    <mergeCell ref="G3:J3"/>
    <mergeCell ref="K3:N3"/>
    <mergeCell ref="O3:R3"/>
    <mergeCell ref="S3:V3"/>
    <mergeCell ref="AA3:AD3"/>
    <mergeCell ref="AE3:AH3"/>
    <mergeCell ref="AI3:AL3"/>
    <mergeCell ref="BM3:BP3"/>
    <mergeCell ref="BQ3:BT3"/>
    <mergeCell ref="BU3:BX3"/>
    <mergeCell ref="AV3:AY3"/>
    <mergeCell ref="AZ3:BC3"/>
    <mergeCell ref="BI3:BL3"/>
    <mergeCell ref="AM3:AP3"/>
    <mergeCell ref="AR3:AU3"/>
    <mergeCell ref="A8:A11"/>
    <mergeCell ref="B8:B11"/>
    <mergeCell ref="C8:C11"/>
    <mergeCell ref="A5:A7"/>
    <mergeCell ref="B5:B7"/>
    <mergeCell ref="C5:C7"/>
    <mergeCell ref="A17:B17"/>
    <mergeCell ref="A18:B18"/>
    <mergeCell ref="A22:B22"/>
    <mergeCell ref="A23:B23"/>
    <mergeCell ref="G23:X23"/>
    <mergeCell ref="A19:B19"/>
    <mergeCell ref="G19:X19"/>
    <mergeCell ref="A20:B20"/>
    <mergeCell ref="G20:X20"/>
    <mergeCell ref="A21:B21"/>
    <mergeCell ref="G21:X21"/>
    <mergeCell ref="G18:X18"/>
  </mergeCells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D575-45EC-4E00-996E-11E939284448}">
  <dimension ref="A1:BY32"/>
  <sheetViews>
    <sheetView zoomScale="85" zoomScaleNormal="85" workbookViewId="0">
      <pane ySplit="4" topLeftCell="A5" activePane="bottomLeft" state="frozen"/>
      <selection pane="bottomLeft" activeCell="H14" sqref="H14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6" width="15.75" customWidth="1"/>
    <col min="7" max="22" width="9.625" customWidth="1"/>
    <col min="23" max="23" width="14.125" hidden="1" customWidth="1"/>
    <col min="24" max="24" width="35.25" customWidth="1"/>
    <col min="25" max="25" width="23.25" customWidth="1"/>
    <col min="60" max="60" width="25.25" style="44" customWidth="1"/>
  </cols>
  <sheetData>
    <row r="1" spans="1:77" ht="30" customHeight="1" thickBot="1">
      <c r="A1" s="109" t="s">
        <v>56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47" t="s">
        <v>44</v>
      </c>
      <c r="Z1" s="48">
        <v>15</v>
      </c>
      <c r="AA1" s="72" t="s">
        <v>48</v>
      </c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I1" s="43" t="s">
        <v>50</v>
      </c>
    </row>
    <row r="2" spans="1:77" ht="30" customHeight="1">
      <c r="A2" s="112" t="s">
        <v>0</v>
      </c>
      <c r="B2" s="114" t="s">
        <v>1</v>
      </c>
      <c r="C2" s="114" t="s">
        <v>2</v>
      </c>
      <c r="D2" s="116" t="s">
        <v>3</v>
      </c>
      <c r="E2" s="116" t="s">
        <v>93</v>
      </c>
      <c r="F2" s="116" t="s">
        <v>90</v>
      </c>
      <c r="G2" s="117"/>
      <c r="H2" s="117"/>
      <c r="I2" s="117"/>
      <c r="J2" s="117"/>
      <c r="K2" s="117"/>
      <c r="L2" s="117"/>
      <c r="M2" s="117"/>
      <c r="N2" s="117"/>
      <c r="O2" s="118"/>
      <c r="P2" s="118"/>
      <c r="Q2" s="118"/>
      <c r="R2" s="118"/>
      <c r="S2" s="118"/>
      <c r="T2" s="118"/>
      <c r="U2" s="118"/>
      <c r="V2" s="118"/>
      <c r="W2" s="119" t="s">
        <v>5</v>
      </c>
      <c r="X2" s="120" t="s">
        <v>6</v>
      </c>
      <c r="Y2" s="43" t="s">
        <v>100</v>
      </c>
      <c r="Z2">
        <f>1.4*1.3</f>
        <v>1.8199999999999998</v>
      </c>
      <c r="AA2" s="100" t="s">
        <v>43</v>
      </c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2"/>
      <c r="AR2" s="100" t="s">
        <v>46</v>
      </c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2"/>
      <c r="BH2" s="50" t="s">
        <v>52</v>
      </c>
      <c r="BI2" s="100" t="s">
        <v>51</v>
      </c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2"/>
    </row>
    <row r="3" spans="1:77" ht="30" customHeight="1">
      <c r="A3" s="113"/>
      <c r="B3" s="114"/>
      <c r="C3" s="114"/>
      <c r="D3" s="116"/>
      <c r="E3" s="116"/>
      <c r="F3" s="116"/>
      <c r="G3" s="103" t="s">
        <v>7</v>
      </c>
      <c r="H3" s="103"/>
      <c r="I3" s="103"/>
      <c r="J3" s="103"/>
      <c r="K3" s="104" t="s">
        <v>8</v>
      </c>
      <c r="L3" s="103"/>
      <c r="M3" s="103"/>
      <c r="N3" s="103"/>
      <c r="O3" s="105" t="s">
        <v>9</v>
      </c>
      <c r="P3" s="105"/>
      <c r="Q3" s="105"/>
      <c r="R3" s="105"/>
      <c r="S3" s="104" t="s">
        <v>10</v>
      </c>
      <c r="T3" s="103"/>
      <c r="U3" s="103"/>
      <c r="V3" s="103"/>
      <c r="W3" s="105"/>
      <c r="X3" s="104"/>
      <c r="Y3" s="45" t="s">
        <v>42</v>
      </c>
      <c r="Z3" s="51">
        <v>0.14499999999999999</v>
      </c>
      <c r="AA3" s="106" t="s">
        <v>7</v>
      </c>
      <c r="AB3" s="103"/>
      <c r="AC3" s="103"/>
      <c r="AD3" s="103"/>
      <c r="AE3" s="104" t="s">
        <v>8</v>
      </c>
      <c r="AF3" s="103"/>
      <c r="AG3" s="103"/>
      <c r="AH3" s="103"/>
      <c r="AI3" s="105" t="s">
        <v>9</v>
      </c>
      <c r="AJ3" s="105"/>
      <c r="AK3" s="105"/>
      <c r="AL3" s="105"/>
      <c r="AM3" s="104" t="s">
        <v>10</v>
      </c>
      <c r="AN3" s="103"/>
      <c r="AO3" s="103"/>
      <c r="AP3" s="108"/>
      <c r="AR3" s="106" t="s">
        <v>7</v>
      </c>
      <c r="AS3" s="103"/>
      <c r="AT3" s="103"/>
      <c r="AU3" s="107"/>
      <c r="AV3" s="104" t="s">
        <v>8</v>
      </c>
      <c r="AW3" s="103"/>
      <c r="AX3" s="103"/>
      <c r="AY3" s="107"/>
      <c r="AZ3" s="104" t="s">
        <v>9</v>
      </c>
      <c r="BA3" s="103"/>
      <c r="BB3" s="103"/>
      <c r="BC3" s="107"/>
      <c r="BD3" s="104" t="s">
        <v>10</v>
      </c>
      <c r="BE3" s="103"/>
      <c r="BF3" s="103"/>
      <c r="BG3" s="108"/>
      <c r="BH3" s="50" t="s">
        <v>49</v>
      </c>
      <c r="BI3" s="106" t="s">
        <v>7</v>
      </c>
      <c r="BJ3" s="103"/>
      <c r="BK3" s="103"/>
      <c r="BL3" s="107"/>
      <c r="BM3" s="104" t="s">
        <v>8</v>
      </c>
      <c r="BN3" s="103"/>
      <c r="BO3" s="103"/>
      <c r="BP3" s="107"/>
      <c r="BQ3" s="104" t="s">
        <v>9</v>
      </c>
      <c r="BR3" s="103"/>
      <c r="BS3" s="103"/>
      <c r="BT3" s="107"/>
      <c r="BU3" s="104" t="s">
        <v>10</v>
      </c>
      <c r="BV3" s="103"/>
      <c r="BW3" s="103"/>
      <c r="BX3" s="108"/>
    </row>
    <row r="4" spans="1:77" ht="30" customHeight="1">
      <c r="A4" s="113"/>
      <c r="B4" s="115"/>
      <c r="C4" s="115"/>
      <c r="D4" s="116"/>
      <c r="E4" s="116"/>
      <c r="F4" s="116"/>
      <c r="G4" s="2" t="s">
        <v>27</v>
      </c>
      <c r="H4" s="29" t="s">
        <v>26</v>
      </c>
      <c r="I4" s="29" t="s">
        <v>28</v>
      </c>
      <c r="J4" s="2" t="s">
        <v>12</v>
      </c>
      <c r="K4" s="35" t="s">
        <v>30</v>
      </c>
      <c r="L4" s="29" t="s">
        <v>35</v>
      </c>
      <c r="M4" s="29" t="s">
        <v>29</v>
      </c>
      <c r="N4" s="2" t="s">
        <v>12</v>
      </c>
      <c r="O4" s="35" t="s">
        <v>33</v>
      </c>
      <c r="P4" s="29" t="s">
        <v>36</v>
      </c>
      <c r="Q4" s="29" t="s">
        <v>34</v>
      </c>
      <c r="R4" s="2" t="s">
        <v>12</v>
      </c>
      <c r="S4" s="2" t="s">
        <v>31</v>
      </c>
      <c r="T4" s="29" t="s">
        <v>58</v>
      </c>
      <c r="U4" s="29" t="s">
        <v>35</v>
      </c>
      <c r="V4" s="2" t="s">
        <v>12</v>
      </c>
      <c r="W4" s="105"/>
      <c r="X4" s="104"/>
      <c r="Y4" s="46" t="s">
        <v>47</v>
      </c>
      <c r="Z4" s="52">
        <f>1-Z3</f>
        <v>0.85499999999999998</v>
      </c>
      <c r="AA4" s="42" t="s">
        <v>27</v>
      </c>
      <c r="AB4" s="29"/>
      <c r="AC4" s="29"/>
      <c r="AD4" s="2" t="s">
        <v>12</v>
      </c>
      <c r="AE4" s="35" t="s">
        <v>30</v>
      </c>
      <c r="AF4" s="29"/>
      <c r="AG4" s="29" t="s">
        <v>45</v>
      </c>
      <c r="AH4" s="2" t="s">
        <v>12</v>
      </c>
      <c r="AI4" s="35" t="s">
        <v>33</v>
      </c>
      <c r="AJ4" s="29"/>
      <c r="AK4" s="29"/>
      <c r="AL4" s="2" t="s">
        <v>12</v>
      </c>
      <c r="AM4" s="2" t="s">
        <v>31</v>
      </c>
      <c r="AN4" s="29"/>
      <c r="AO4" s="29"/>
      <c r="AP4" s="53" t="s">
        <v>12</v>
      </c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50" t="s">
        <v>49</v>
      </c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</row>
    <row r="5" spans="1:77" ht="30" customHeight="1">
      <c r="A5" s="90">
        <v>1</v>
      </c>
      <c r="B5" s="93" t="s">
        <v>94</v>
      </c>
      <c r="C5" s="98" t="s">
        <v>57</v>
      </c>
      <c r="D5" s="8" t="s">
        <v>13</v>
      </c>
      <c r="E5" s="5">
        <v>500</v>
      </c>
      <c r="F5" s="5">
        <v>46.2</v>
      </c>
      <c r="G5" s="37">
        <f>E5*1.4*1.3/100*15*0.145*0.15*0.88*0.82*0.4</f>
        <v>0.85693607999999966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20"/>
      <c r="X5" s="21"/>
      <c r="Y5" s="8"/>
      <c r="AA5" s="37">
        <v>0.82</v>
      </c>
      <c r="AB5" s="36">
        <v>0.08</v>
      </c>
      <c r="AC5" s="36">
        <v>0.08</v>
      </c>
      <c r="AD5" s="33"/>
      <c r="AE5" s="37">
        <v>0.8</v>
      </c>
      <c r="AF5" s="36">
        <v>0.08</v>
      </c>
      <c r="AG5" s="36">
        <v>0.1</v>
      </c>
      <c r="AH5" s="33"/>
      <c r="AI5" s="37">
        <v>0.82</v>
      </c>
      <c r="AJ5" s="36">
        <v>0.08</v>
      </c>
      <c r="AK5" s="36">
        <v>0.08</v>
      </c>
      <c r="AL5" s="33"/>
      <c r="AM5" s="37">
        <v>0.82</v>
      </c>
      <c r="AN5" s="36">
        <v>0.08</v>
      </c>
      <c r="AO5" s="36">
        <v>0.08</v>
      </c>
      <c r="AP5" s="28"/>
      <c r="AQ5" s="8" t="s">
        <v>13</v>
      </c>
      <c r="AR5" s="61">
        <f>$BH5*BI5</f>
        <v>0.12</v>
      </c>
      <c r="AS5" s="61">
        <f t="shared" ref="AS5:AT6" si="0">$BH5*BJ5</f>
        <v>0.12</v>
      </c>
      <c r="AT5" s="61">
        <f t="shared" si="0"/>
        <v>0.12</v>
      </c>
      <c r="AU5" s="61"/>
      <c r="AV5" s="61">
        <f>$BH5*BM5</f>
        <v>7.4999999999999997E-3</v>
      </c>
      <c r="AW5" s="61">
        <f t="shared" ref="AW5:AX6" si="1">$BH5*BN5</f>
        <v>7.4999999999999997E-3</v>
      </c>
      <c r="AX5" s="61">
        <f t="shared" si="1"/>
        <v>7.4999999999999997E-3</v>
      </c>
      <c r="AY5" s="61"/>
      <c r="AZ5" s="61">
        <f>$BH5*BQ5</f>
        <v>1.125E-2</v>
      </c>
      <c r="BA5" s="61">
        <f t="shared" ref="BA5:BB6" si="2">$BH5*BR5</f>
        <v>1.125E-2</v>
      </c>
      <c r="BB5" s="61">
        <f t="shared" si="2"/>
        <v>1.125E-2</v>
      </c>
      <c r="BC5" s="61"/>
      <c r="BD5" s="61">
        <f>$BH5*BU5</f>
        <v>1.125E-2</v>
      </c>
      <c r="BE5" s="61">
        <f t="shared" ref="BE5:BF6" si="3">$BH5*BV5</f>
        <v>1.125E-2</v>
      </c>
      <c r="BF5" s="61">
        <f t="shared" si="3"/>
        <v>1.125E-2</v>
      </c>
      <c r="BG5" s="61"/>
      <c r="BH5" s="44">
        <v>0.15</v>
      </c>
      <c r="BI5" s="61">
        <v>0.8</v>
      </c>
      <c r="BJ5" s="61">
        <f>BI5</f>
        <v>0.8</v>
      </c>
      <c r="BK5" s="61">
        <f>BJ5</f>
        <v>0.8</v>
      </c>
      <c r="BL5" s="61"/>
      <c r="BM5" s="61">
        <v>0.05</v>
      </c>
      <c r="BN5" s="61">
        <f>BM5</f>
        <v>0.05</v>
      </c>
      <c r="BO5" s="61">
        <f>BN5</f>
        <v>0.05</v>
      </c>
      <c r="BP5" s="61"/>
      <c r="BQ5" s="61">
        <v>7.4999999999999997E-2</v>
      </c>
      <c r="BR5" s="61">
        <f>BQ5</f>
        <v>7.4999999999999997E-2</v>
      </c>
      <c r="BS5" s="61">
        <f>BR5</f>
        <v>7.4999999999999997E-2</v>
      </c>
      <c r="BT5" s="61"/>
      <c r="BU5" s="61">
        <v>7.4999999999999997E-2</v>
      </c>
      <c r="BV5" s="61">
        <f>BU5</f>
        <v>7.4999999999999997E-2</v>
      </c>
      <c r="BW5" s="61">
        <f>BV5</f>
        <v>7.4999999999999997E-2</v>
      </c>
      <c r="BX5" s="61"/>
      <c r="BY5" s="8" t="s">
        <v>13</v>
      </c>
    </row>
    <row r="6" spans="1:77" ht="30" customHeight="1">
      <c r="A6" s="97"/>
      <c r="B6" s="94"/>
      <c r="C6" s="99"/>
      <c r="D6" s="4" t="s">
        <v>14</v>
      </c>
      <c r="E6" s="5">
        <v>500</v>
      </c>
      <c r="F6" s="5">
        <v>46.2</v>
      </c>
      <c r="G6" s="37">
        <f>E6*1.4*1.3/100*15*0.855*0.2*0.88*0.82*0.4</f>
        <v>6.7372905599999999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0"/>
      <c r="X6" s="19"/>
      <c r="Y6" s="4"/>
      <c r="AA6" s="37">
        <v>0.82</v>
      </c>
      <c r="AB6" s="36">
        <v>0.08</v>
      </c>
      <c r="AC6" s="36">
        <v>0.08</v>
      </c>
      <c r="AD6" s="33"/>
      <c r="AE6" s="37">
        <v>0.8</v>
      </c>
      <c r="AF6" s="36">
        <v>0.08</v>
      </c>
      <c r="AG6" s="36">
        <v>0.1</v>
      </c>
      <c r="AH6" s="33"/>
      <c r="AI6" s="37">
        <v>0.82</v>
      </c>
      <c r="AJ6" s="36">
        <v>0.08</v>
      </c>
      <c r="AK6" s="36">
        <v>0.08</v>
      </c>
      <c r="AL6" s="33"/>
      <c r="AM6" s="37">
        <v>0.82</v>
      </c>
      <c r="AN6" s="36">
        <v>0.08</v>
      </c>
      <c r="AO6" s="36">
        <v>0.08</v>
      </c>
      <c r="AP6" s="28"/>
      <c r="AQ6" s="4" t="s">
        <v>14</v>
      </c>
      <c r="AR6" s="61">
        <f>$BH6*BI6</f>
        <v>0.17600000000000002</v>
      </c>
      <c r="AS6" s="61">
        <f t="shared" si="0"/>
        <v>0.17600000000000002</v>
      </c>
      <c r="AT6" s="61">
        <f t="shared" si="0"/>
        <v>0.17600000000000002</v>
      </c>
      <c r="AU6" s="61"/>
      <c r="AV6" s="61">
        <f>$BH6*BM6</f>
        <v>8.0000000000000002E-3</v>
      </c>
      <c r="AW6" s="61">
        <f t="shared" si="1"/>
        <v>8.0000000000000002E-3</v>
      </c>
      <c r="AX6" s="61">
        <f t="shared" si="1"/>
        <v>8.0000000000000002E-3</v>
      </c>
      <c r="AY6" s="61"/>
      <c r="AZ6" s="61">
        <f>$BH6*BQ6</f>
        <v>6.0000000000000001E-3</v>
      </c>
      <c r="BA6" s="61">
        <f t="shared" si="2"/>
        <v>6.0000000000000001E-3</v>
      </c>
      <c r="BB6" s="61">
        <f t="shared" si="2"/>
        <v>6.0000000000000001E-3</v>
      </c>
      <c r="BC6" s="61"/>
      <c r="BD6" s="61">
        <f>$BH6*BU6</f>
        <v>5.000000000000001E-3</v>
      </c>
      <c r="BE6" s="61">
        <f t="shared" si="3"/>
        <v>5.000000000000001E-3</v>
      </c>
      <c r="BF6" s="61">
        <f t="shared" si="3"/>
        <v>5.000000000000001E-3</v>
      </c>
      <c r="BG6" s="61"/>
      <c r="BH6" s="44">
        <v>0.2</v>
      </c>
      <c r="BI6" s="61">
        <v>0.88</v>
      </c>
      <c r="BJ6" s="61">
        <f t="shared" ref="BJ6:BK6" si="4">BI6</f>
        <v>0.88</v>
      </c>
      <c r="BK6" s="61">
        <f t="shared" si="4"/>
        <v>0.88</v>
      </c>
      <c r="BL6" s="61"/>
      <c r="BM6" s="61">
        <v>0.04</v>
      </c>
      <c r="BN6" s="61">
        <f t="shared" ref="BN6:BO6" si="5">BM6</f>
        <v>0.04</v>
      </c>
      <c r="BO6" s="61">
        <f t="shared" si="5"/>
        <v>0.04</v>
      </c>
      <c r="BP6" s="61"/>
      <c r="BQ6" s="61">
        <v>0.03</v>
      </c>
      <c r="BR6" s="61">
        <f t="shared" ref="BR6:BS6" si="6">BQ6</f>
        <v>0.03</v>
      </c>
      <c r="BS6" s="61">
        <f t="shared" si="6"/>
        <v>0.03</v>
      </c>
      <c r="BT6" s="61"/>
      <c r="BU6" s="61">
        <v>2.5000000000000001E-2</v>
      </c>
      <c r="BV6" s="61">
        <f t="shared" ref="BV6:BW6" si="7">BU6</f>
        <v>2.5000000000000001E-2</v>
      </c>
      <c r="BW6" s="61">
        <f t="shared" si="7"/>
        <v>2.5000000000000001E-2</v>
      </c>
      <c r="BX6" s="61"/>
      <c r="BY6" s="4" t="s">
        <v>14</v>
      </c>
    </row>
    <row r="7" spans="1:77" ht="30" customHeight="1">
      <c r="A7" s="97"/>
      <c r="B7" s="95"/>
      <c r="C7" s="99"/>
      <c r="D7" s="3"/>
      <c r="E7" s="5"/>
      <c r="F7" s="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9"/>
      <c r="W7" s="20"/>
      <c r="X7" s="21"/>
      <c r="AA7" s="55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28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</row>
    <row r="8" spans="1:77" ht="30" customHeight="1">
      <c r="A8" s="90">
        <v>2</v>
      </c>
      <c r="B8" s="93" t="s">
        <v>37</v>
      </c>
      <c r="C8" s="98" t="s">
        <v>57</v>
      </c>
      <c r="D8" s="8" t="s">
        <v>13</v>
      </c>
      <c r="E8" s="5">
        <v>500</v>
      </c>
      <c r="F8" s="5">
        <v>46.2</v>
      </c>
      <c r="G8" s="37">
        <f t="shared" ref="G8:I9" si="8">$E8/100*$Z$1*$Z$2*AA8*AR8*(IF($D8="总图",$Z$3,$Z$4))</f>
        <v>4.885184849999999</v>
      </c>
      <c r="H8" s="37">
        <f t="shared" si="8"/>
        <v>0.47660339999999995</v>
      </c>
      <c r="I8" s="37">
        <f t="shared" si="8"/>
        <v>0.47660339999999995</v>
      </c>
      <c r="J8" s="37"/>
      <c r="K8" s="37"/>
      <c r="L8" s="37"/>
      <c r="M8" s="37"/>
      <c r="N8" s="37"/>
      <c r="O8" s="37">
        <f t="shared" ref="O8:Q9" si="9">$E8/100*$Z$1*$Z$2*AI8*AZ8*(IF($D8="总图",$Z$3,$Z$4))</f>
        <v>4.0899222000000002</v>
      </c>
      <c r="P8" s="37">
        <f t="shared" si="9"/>
        <v>0.3990168</v>
      </c>
      <c r="Q8" s="37">
        <f t="shared" si="9"/>
        <v>0.3990168</v>
      </c>
      <c r="R8" s="37"/>
      <c r="S8" s="37">
        <f t="shared" ref="S8:U9" si="10">$E8/100*$Z$1*$Z$2*AM8*BD8*(IF($D8="总图",$Z$3,$Z$4))</f>
        <v>1.9313521499999997</v>
      </c>
      <c r="T8" s="37">
        <f t="shared" si="10"/>
        <v>0.18842459999999997</v>
      </c>
      <c r="U8" s="37">
        <f t="shared" si="10"/>
        <v>0.18842459999999997</v>
      </c>
      <c r="V8" s="37"/>
      <c r="W8" s="20"/>
      <c r="X8" s="21"/>
      <c r="Y8" s="8"/>
      <c r="AA8" s="37">
        <v>0.82</v>
      </c>
      <c r="AB8" s="36">
        <v>0.08</v>
      </c>
      <c r="AC8" s="36">
        <v>0.08</v>
      </c>
      <c r="AD8" s="33"/>
      <c r="AE8" s="37">
        <v>0.8</v>
      </c>
      <c r="AF8" s="36">
        <v>0.08</v>
      </c>
      <c r="AG8" s="36">
        <v>0.1</v>
      </c>
      <c r="AH8" s="33"/>
      <c r="AI8" s="37">
        <v>0.82</v>
      </c>
      <c r="AJ8" s="36">
        <v>0.08</v>
      </c>
      <c r="AK8" s="36">
        <v>0.08</v>
      </c>
      <c r="AL8" s="33"/>
      <c r="AM8" s="37">
        <v>0.82</v>
      </c>
      <c r="AN8" s="36">
        <v>0.08</v>
      </c>
      <c r="AO8" s="36">
        <v>0.08</v>
      </c>
      <c r="AP8" s="28"/>
      <c r="AQ8" s="8" t="s">
        <v>13</v>
      </c>
      <c r="AR8" s="61">
        <f>$BH8*BI8</f>
        <v>0.30099999999999999</v>
      </c>
      <c r="AS8" s="61">
        <f t="shared" ref="AS8:AT9" si="11">$BH8*BJ8</f>
        <v>0.30099999999999999</v>
      </c>
      <c r="AT8" s="61">
        <f t="shared" si="11"/>
        <v>0.30099999999999999</v>
      </c>
      <c r="AU8" s="61"/>
      <c r="AV8" s="61">
        <f>$BH8*BM8</f>
        <v>2.7999999999999997E-2</v>
      </c>
      <c r="AW8" s="61">
        <f t="shared" ref="AW8:AX9" si="12">$BH8*BN8</f>
        <v>2.7999999999999997E-2</v>
      </c>
      <c r="AX8" s="61">
        <f t="shared" si="12"/>
        <v>2.7999999999999997E-2</v>
      </c>
      <c r="AY8" s="61"/>
      <c r="AZ8" s="61">
        <f>$BH8*BQ8</f>
        <v>0.252</v>
      </c>
      <c r="BA8" s="61">
        <f t="shared" ref="BA8:BB9" si="13">$BH8*BR8</f>
        <v>0.252</v>
      </c>
      <c r="BB8" s="61">
        <f t="shared" si="13"/>
        <v>0.252</v>
      </c>
      <c r="BC8" s="61"/>
      <c r="BD8" s="61">
        <f>$BH8*BU8</f>
        <v>0.11899999999999999</v>
      </c>
      <c r="BE8" s="61">
        <f t="shared" ref="BE8:BF9" si="14">$BH8*BV8</f>
        <v>0.11899999999999999</v>
      </c>
      <c r="BF8" s="61">
        <f t="shared" si="14"/>
        <v>0.11899999999999999</v>
      </c>
      <c r="BG8" s="61"/>
      <c r="BH8" s="44">
        <v>0.7</v>
      </c>
      <c r="BI8" s="61">
        <v>0.43</v>
      </c>
      <c r="BJ8" s="61">
        <f>BI8</f>
        <v>0.43</v>
      </c>
      <c r="BK8" s="61">
        <f>BJ8</f>
        <v>0.43</v>
      </c>
      <c r="BL8" s="61"/>
      <c r="BM8" s="61">
        <v>0.04</v>
      </c>
      <c r="BN8" s="61">
        <f>BM8</f>
        <v>0.04</v>
      </c>
      <c r="BO8" s="61">
        <f>BN8</f>
        <v>0.04</v>
      </c>
      <c r="BP8" s="61"/>
      <c r="BQ8" s="61">
        <v>0.36</v>
      </c>
      <c r="BR8" s="61">
        <f>BQ8</f>
        <v>0.36</v>
      </c>
      <c r="BS8" s="61">
        <f>BR8</f>
        <v>0.36</v>
      </c>
      <c r="BT8" s="61"/>
      <c r="BU8" s="61">
        <v>0.17</v>
      </c>
      <c r="BV8" s="61">
        <f>BU8</f>
        <v>0.17</v>
      </c>
      <c r="BW8" s="61">
        <f>BV8</f>
        <v>0.17</v>
      </c>
      <c r="BX8" s="61"/>
      <c r="BY8" s="8" t="s">
        <v>13</v>
      </c>
    </row>
    <row r="9" spans="1:77" ht="30" customHeight="1">
      <c r="A9" s="97"/>
      <c r="B9" s="94"/>
      <c r="C9" s="99"/>
      <c r="D9" s="4" t="s">
        <v>14</v>
      </c>
      <c r="E9" s="5">
        <f>500</f>
        <v>500</v>
      </c>
      <c r="F9" s="5"/>
      <c r="G9" s="37">
        <f t="shared" si="8"/>
        <v>19.178310059999998</v>
      </c>
      <c r="H9" s="37">
        <f t="shared" si="8"/>
        <v>1.8710546400000001</v>
      </c>
      <c r="I9" s="37">
        <f t="shared" si="8"/>
        <v>1.8710546400000001</v>
      </c>
      <c r="J9" s="37"/>
      <c r="K9" s="37">
        <f>$E9/100*$Z$1*$Z$2*AE9*AV9*(IF($D9="总图",$Z$3,$Z$4))</f>
        <v>21.735604800000001</v>
      </c>
      <c r="L9" s="37">
        <f>$E9/100*$Z$1*$Z$2*AF9*AW9*(IF($D9="总图",$Z$3,$Z$4))</f>
        <v>2.1735604799999999</v>
      </c>
      <c r="M9" s="37">
        <f>$E9/100*$Z$1*$Z$2*AG9*AX9*(IF($D9="总图",$Z$3,$Z$4))</f>
        <v>2.7169506000000001</v>
      </c>
      <c r="N9" s="37"/>
      <c r="O9" s="37">
        <f t="shared" si="9"/>
        <v>7.4646116999999998</v>
      </c>
      <c r="P9" s="37">
        <f t="shared" si="9"/>
        <v>0.72825479999999998</v>
      </c>
      <c r="Q9" s="37">
        <f t="shared" si="9"/>
        <v>0.72825479999999998</v>
      </c>
      <c r="R9" s="37"/>
      <c r="S9" s="37">
        <f t="shared" si="10"/>
        <v>8.4407532299999986</v>
      </c>
      <c r="T9" s="37">
        <f t="shared" si="10"/>
        <v>0.82348811999999993</v>
      </c>
      <c r="U9" s="37">
        <f t="shared" si="10"/>
        <v>0.82348811999999993</v>
      </c>
      <c r="V9" s="37"/>
      <c r="W9" s="20"/>
      <c r="X9" s="19"/>
      <c r="Y9" s="4"/>
      <c r="AA9" s="37">
        <v>0.82</v>
      </c>
      <c r="AB9" s="36">
        <v>0.08</v>
      </c>
      <c r="AC9" s="36">
        <v>0.08</v>
      </c>
      <c r="AD9" s="33"/>
      <c r="AE9" s="37">
        <v>0.8</v>
      </c>
      <c r="AF9" s="36">
        <v>0.08</v>
      </c>
      <c r="AG9" s="36">
        <v>0.1</v>
      </c>
      <c r="AH9" s="33"/>
      <c r="AI9" s="37">
        <v>0.82</v>
      </c>
      <c r="AJ9" s="36">
        <v>0.08</v>
      </c>
      <c r="AK9" s="36">
        <v>0.08</v>
      </c>
      <c r="AL9" s="33"/>
      <c r="AM9" s="37">
        <v>0.82</v>
      </c>
      <c r="AN9" s="36">
        <v>0.08</v>
      </c>
      <c r="AO9" s="36">
        <v>0.08</v>
      </c>
      <c r="AP9" s="28"/>
      <c r="AQ9" s="4" t="s">
        <v>14</v>
      </c>
      <c r="AR9" s="61">
        <f>$BH9*BI9</f>
        <v>0.20039999999999999</v>
      </c>
      <c r="AS9" s="61">
        <f t="shared" si="11"/>
        <v>0.20039999999999999</v>
      </c>
      <c r="AT9" s="61">
        <f t="shared" si="11"/>
        <v>0.20039999999999999</v>
      </c>
      <c r="AU9" s="61"/>
      <c r="AV9" s="61">
        <f>$BH9*BM9</f>
        <v>0.23280000000000001</v>
      </c>
      <c r="AW9" s="61">
        <f t="shared" si="12"/>
        <v>0.23280000000000001</v>
      </c>
      <c r="AX9" s="61">
        <f t="shared" si="12"/>
        <v>0.23280000000000001</v>
      </c>
      <c r="AY9" s="61"/>
      <c r="AZ9" s="61">
        <f>$BH9*BQ9</f>
        <v>7.8E-2</v>
      </c>
      <c r="BA9" s="61">
        <f t="shared" si="13"/>
        <v>7.8E-2</v>
      </c>
      <c r="BB9" s="61">
        <f t="shared" si="13"/>
        <v>7.8E-2</v>
      </c>
      <c r="BC9" s="61"/>
      <c r="BD9" s="61">
        <f>$BH9*BU9</f>
        <v>8.8199999999999987E-2</v>
      </c>
      <c r="BE9" s="61">
        <f t="shared" si="14"/>
        <v>8.8199999999999987E-2</v>
      </c>
      <c r="BF9" s="61">
        <f t="shared" si="14"/>
        <v>8.8199999999999987E-2</v>
      </c>
      <c r="BG9" s="61"/>
      <c r="BH9" s="44">
        <v>0.6</v>
      </c>
      <c r="BI9" s="61">
        <v>0.33400000000000002</v>
      </c>
      <c r="BJ9" s="61">
        <f t="shared" ref="BJ9:BK9" si="15">BI9</f>
        <v>0.33400000000000002</v>
      </c>
      <c r="BK9" s="61">
        <f t="shared" si="15"/>
        <v>0.33400000000000002</v>
      </c>
      <c r="BL9" s="61"/>
      <c r="BM9" s="61">
        <v>0.38800000000000001</v>
      </c>
      <c r="BN9" s="61">
        <f t="shared" ref="BN9:BO9" si="16">BM9</f>
        <v>0.38800000000000001</v>
      </c>
      <c r="BO9" s="61">
        <f t="shared" si="16"/>
        <v>0.38800000000000001</v>
      </c>
      <c r="BP9" s="61"/>
      <c r="BQ9" s="61">
        <v>0.13</v>
      </c>
      <c r="BR9" s="61">
        <f t="shared" ref="BR9:BS9" si="17">BQ9</f>
        <v>0.13</v>
      </c>
      <c r="BS9" s="61">
        <f t="shared" si="17"/>
        <v>0.13</v>
      </c>
      <c r="BT9" s="61"/>
      <c r="BU9" s="61">
        <v>0.14699999999999999</v>
      </c>
      <c r="BV9" s="61">
        <f t="shared" ref="BV9:BW9" si="18">BU9</f>
        <v>0.14699999999999999</v>
      </c>
      <c r="BW9" s="61">
        <f t="shared" si="18"/>
        <v>0.14699999999999999</v>
      </c>
      <c r="BX9" s="61"/>
      <c r="BY9" s="4" t="s">
        <v>14</v>
      </c>
    </row>
    <row r="10" spans="1:77" ht="30" customHeight="1">
      <c r="A10" s="97"/>
      <c r="B10" s="95"/>
      <c r="C10" s="99"/>
      <c r="D10" s="3"/>
      <c r="E10" s="5"/>
      <c r="F10" s="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9"/>
      <c r="W10" s="20"/>
      <c r="X10" s="21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28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</row>
    <row r="11" spans="1:77" ht="30" customHeight="1">
      <c r="A11" s="90">
        <v>3</v>
      </c>
      <c r="B11" s="93" t="s">
        <v>37</v>
      </c>
      <c r="C11" s="93" t="s">
        <v>95</v>
      </c>
      <c r="D11" s="8" t="s">
        <v>13</v>
      </c>
      <c r="E11" s="5">
        <v>500</v>
      </c>
      <c r="F11" s="5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29"/>
      <c r="R11" s="37"/>
      <c r="S11" s="37">
        <f>$E11/100*$Z$1*$Z$2*AM11*BD11*(IF($D11="总图",$Z$3,$Z$4))</f>
        <v>1.9313521499999997</v>
      </c>
      <c r="T11" s="37"/>
      <c r="U11" s="37"/>
      <c r="V11" s="37"/>
      <c r="W11" s="22"/>
      <c r="X11" s="23"/>
      <c r="AA11" s="37">
        <v>0.82</v>
      </c>
      <c r="AB11" s="36">
        <v>0.08</v>
      </c>
      <c r="AC11" s="36">
        <v>0.08</v>
      </c>
      <c r="AD11" s="33"/>
      <c r="AE11" s="37">
        <v>0.8</v>
      </c>
      <c r="AF11" s="36">
        <v>0.08</v>
      </c>
      <c r="AG11" s="36">
        <v>0.1</v>
      </c>
      <c r="AH11" s="33"/>
      <c r="AI11" s="37">
        <v>0.82</v>
      </c>
      <c r="AJ11" s="36">
        <v>0.08</v>
      </c>
      <c r="AK11" s="36">
        <v>0.08</v>
      </c>
      <c r="AL11" s="33"/>
      <c r="AM11" s="37">
        <v>0.82</v>
      </c>
      <c r="AN11" s="36">
        <v>0.08</v>
      </c>
      <c r="AO11" s="36">
        <v>0.08</v>
      </c>
      <c r="AP11" s="28"/>
      <c r="AQ11" s="8" t="s">
        <v>13</v>
      </c>
      <c r="AR11" s="61">
        <f>$BH11*BI11</f>
        <v>0.30099999999999999</v>
      </c>
      <c r="AS11" s="61">
        <f t="shared" ref="AS11:AT12" si="19">$BH11*BJ11</f>
        <v>0.30099999999999999</v>
      </c>
      <c r="AT11" s="61">
        <f t="shared" si="19"/>
        <v>0.30099999999999999</v>
      </c>
      <c r="AU11" s="61"/>
      <c r="AV11" s="61">
        <f>$BH11*BM11</f>
        <v>2.7999999999999997E-2</v>
      </c>
      <c r="AW11" s="61">
        <f t="shared" ref="AW11:AX12" si="20">$BH11*BN11</f>
        <v>2.7999999999999997E-2</v>
      </c>
      <c r="AX11" s="61">
        <f t="shared" si="20"/>
        <v>2.7999999999999997E-2</v>
      </c>
      <c r="AY11" s="61"/>
      <c r="AZ11" s="61">
        <f>$BH11*BQ11</f>
        <v>0.252</v>
      </c>
      <c r="BA11" s="61">
        <f t="shared" ref="BA11:BB12" si="21">$BH11*BR11</f>
        <v>0.252</v>
      </c>
      <c r="BB11" s="61">
        <f t="shared" si="21"/>
        <v>0.252</v>
      </c>
      <c r="BC11" s="61"/>
      <c r="BD11" s="61">
        <f>$BH11*BU11</f>
        <v>0.11899999999999999</v>
      </c>
      <c r="BE11" s="61">
        <f t="shared" ref="BE11:BF12" si="22">$BH11*BV11</f>
        <v>0.11899999999999999</v>
      </c>
      <c r="BF11" s="61">
        <f t="shared" si="22"/>
        <v>0.11899999999999999</v>
      </c>
      <c r="BG11" s="61"/>
      <c r="BH11" s="44">
        <v>0.7</v>
      </c>
      <c r="BI11" s="61">
        <v>0.43</v>
      </c>
      <c r="BJ11" s="61">
        <f t="shared" ref="BJ11:BK12" si="23">BI11</f>
        <v>0.43</v>
      </c>
      <c r="BK11" s="61">
        <f t="shared" si="23"/>
        <v>0.43</v>
      </c>
      <c r="BL11" s="61"/>
      <c r="BM11" s="61">
        <v>0.04</v>
      </c>
      <c r="BN11" s="61">
        <f t="shared" ref="BN11:BO12" si="24">BM11</f>
        <v>0.04</v>
      </c>
      <c r="BO11" s="61">
        <f t="shared" si="24"/>
        <v>0.04</v>
      </c>
      <c r="BP11" s="61"/>
      <c r="BQ11" s="61">
        <v>0.36</v>
      </c>
      <c r="BR11" s="61">
        <f t="shared" ref="BR11:BS12" si="25">BQ11</f>
        <v>0.36</v>
      </c>
      <c r="BS11" s="61">
        <f t="shared" si="25"/>
        <v>0.36</v>
      </c>
      <c r="BT11" s="61"/>
      <c r="BU11" s="61">
        <v>0.17</v>
      </c>
      <c r="BV11" s="61">
        <f t="shared" ref="BV11:BW12" si="26">BU11</f>
        <v>0.17</v>
      </c>
      <c r="BW11" s="61">
        <f t="shared" si="26"/>
        <v>0.17</v>
      </c>
      <c r="BX11" s="61"/>
      <c r="BY11" s="8" t="s">
        <v>13</v>
      </c>
    </row>
    <row r="12" spans="1:77" s="1" customFormat="1" ht="30" customHeight="1" thickBot="1">
      <c r="A12" s="91"/>
      <c r="B12" s="94"/>
      <c r="C12" s="96"/>
      <c r="D12" s="4" t="s">
        <v>14</v>
      </c>
      <c r="E12" s="5">
        <v>500</v>
      </c>
      <c r="F12" s="2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>
        <f>$E12/100*$Z$1*$Z$2*AM12*BD12*(IF($D12="总图",$Z$3,$Z$4))</f>
        <v>8.4407532299999986</v>
      </c>
      <c r="T12" s="37"/>
      <c r="U12" s="37"/>
      <c r="V12" s="37"/>
      <c r="W12" s="24"/>
      <c r="X12" s="23"/>
      <c r="AA12" s="59">
        <v>0.82</v>
      </c>
      <c r="AB12" s="57">
        <v>0.08</v>
      </c>
      <c r="AC12" s="57">
        <v>0.08</v>
      </c>
      <c r="AD12" s="58"/>
      <c r="AE12" s="59">
        <v>0.8</v>
      </c>
      <c r="AF12" s="57">
        <v>0.08</v>
      </c>
      <c r="AG12" s="57">
        <v>0.1</v>
      </c>
      <c r="AH12" s="58"/>
      <c r="AI12" s="59">
        <v>0.82</v>
      </c>
      <c r="AJ12" s="57">
        <v>0.08</v>
      </c>
      <c r="AK12" s="57">
        <v>0.08</v>
      </c>
      <c r="AL12" s="58"/>
      <c r="AM12" s="59">
        <v>0.82</v>
      </c>
      <c r="AN12" s="57">
        <v>0.08</v>
      </c>
      <c r="AO12" s="57">
        <v>0.08</v>
      </c>
      <c r="AP12" s="60"/>
      <c r="AQ12" s="4" t="s">
        <v>14</v>
      </c>
      <c r="AR12" s="61">
        <f>$BH12*BI12</f>
        <v>0.20039999999999999</v>
      </c>
      <c r="AS12" s="61">
        <f t="shared" si="19"/>
        <v>0.20039999999999999</v>
      </c>
      <c r="AT12" s="61">
        <f t="shared" si="19"/>
        <v>0.20039999999999999</v>
      </c>
      <c r="AU12" s="61"/>
      <c r="AV12" s="61">
        <f>$BH12*BM12</f>
        <v>0.23280000000000001</v>
      </c>
      <c r="AW12" s="61">
        <f t="shared" si="20"/>
        <v>0.23280000000000001</v>
      </c>
      <c r="AX12" s="61">
        <f t="shared" si="20"/>
        <v>0.23280000000000001</v>
      </c>
      <c r="AY12" s="61"/>
      <c r="AZ12" s="61">
        <f>$BH12*BQ12</f>
        <v>7.8E-2</v>
      </c>
      <c r="BA12" s="61">
        <f t="shared" si="21"/>
        <v>7.8E-2</v>
      </c>
      <c r="BB12" s="61">
        <f t="shared" si="21"/>
        <v>7.8E-2</v>
      </c>
      <c r="BC12" s="61"/>
      <c r="BD12" s="61">
        <f>$BH12*BU12</f>
        <v>8.8199999999999987E-2</v>
      </c>
      <c r="BE12" s="61">
        <f t="shared" si="22"/>
        <v>8.8199999999999987E-2</v>
      </c>
      <c r="BF12" s="61">
        <f t="shared" si="22"/>
        <v>8.8199999999999987E-2</v>
      </c>
      <c r="BG12" s="61"/>
      <c r="BH12" s="44">
        <v>0.6</v>
      </c>
      <c r="BI12" s="61">
        <v>0.33400000000000002</v>
      </c>
      <c r="BJ12" s="61">
        <f t="shared" si="23"/>
        <v>0.33400000000000002</v>
      </c>
      <c r="BK12" s="61">
        <f t="shared" si="23"/>
        <v>0.33400000000000002</v>
      </c>
      <c r="BL12" s="61"/>
      <c r="BM12" s="61">
        <v>0.38800000000000001</v>
      </c>
      <c r="BN12" s="61">
        <f t="shared" si="24"/>
        <v>0.38800000000000001</v>
      </c>
      <c r="BO12" s="61">
        <f t="shared" si="24"/>
        <v>0.38800000000000001</v>
      </c>
      <c r="BP12" s="61"/>
      <c r="BQ12" s="61">
        <v>0.13</v>
      </c>
      <c r="BR12" s="61">
        <f t="shared" si="25"/>
        <v>0.13</v>
      </c>
      <c r="BS12" s="61">
        <f t="shared" si="25"/>
        <v>0.13</v>
      </c>
      <c r="BT12" s="61"/>
      <c r="BU12" s="61">
        <v>0.14699999999999999</v>
      </c>
      <c r="BV12" s="61">
        <f t="shared" si="26"/>
        <v>0.14699999999999999</v>
      </c>
      <c r="BW12" s="61">
        <f t="shared" si="26"/>
        <v>0.14699999999999999</v>
      </c>
      <c r="BX12" s="61"/>
      <c r="BY12" s="4" t="s">
        <v>14</v>
      </c>
    </row>
    <row r="13" spans="1:77" s="1" customFormat="1" ht="30" customHeight="1">
      <c r="A13" s="91"/>
      <c r="B13" s="94"/>
      <c r="C13" s="96"/>
      <c r="D13" s="3"/>
      <c r="E13" s="5"/>
      <c r="F13" s="69"/>
      <c r="G13" s="33"/>
      <c r="H13" s="33"/>
      <c r="I13" s="31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9"/>
      <c r="W13" s="24"/>
      <c r="X13" s="25"/>
      <c r="BH13" s="49"/>
    </row>
    <row r="14" spans="1:77" ht="60.6" customHeight="1">
      <c r="A14" s="92"/>
      <c r="B14" s="95"/>
      <c r="C14" s="95"/>
      <c r="D14" s="8"/>
      <c r="E14" s="5"/>
      <c r="F14" s="69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9"/>
      <c r="W14" s="22"/>
      <c r="X14" s="21"/>
    </row>
    <row r="15" spans="1:77" ht="30" customHeight="1">
      <c r="A15" s="10" t="s">
        <v>11</v>
      </c>
      <c r="B15" s="30"/>
      <c r="C15" s="4"/>
      <c r="D15" s="11" t="s">
        <v>15</v>
      </c>
      <c r="E15" s="2" t="s">
        <v>27</v>
      </c>
      <c r="F15" s="2"/>
      <c r="G15" s="32">
        <f>SUM(G5:I12)*0.09</f>
        <v>3.2717733866999987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11"/>
      <c r="W15" s="22"/>
      <c r="X15" s="21"/>
    </row>
    <row r="16" spans="1:77" ht="30" customHeight="1">
      <c r="A16" s="10" t="s">
        <v>11</v>
      </c>
      <c r="B16" s="30"/>
      <c r="C16" s="4"/>
      <c r="D16" s="11" t="s">
        <v>16</v>
      </c>
      <c r="E16" s="35" t="s">
        <v>30</v>
      </c>
      <c r="F16" s="34"/>
      <c r="G16" s="32"/>
      <c r="H16" s="32"/>
      <c r="I16" s="32"/>
      <c r="J16" s="32"/>
      <c r="K16" s="32">
        <f>SUM(K8:M12)*0.09</f>
        <v>2.3963504292</v>
      </c>
      <c r="L16" s="32"/>
      <c r="M16" s="32"/>
      <c r="N16" s="32"/>
      <c r="O16" s="33"/>
      <c r="P16" s="33"/>
      <c r="Q16" s="33"/>
      <c r="R16" s="33"/>
      <c r="S16" s="33"/>
      <c r="T16" s="33"/>
      <c r="U16" s="33"/>
      <c r="V16" s="11"/>
      <c r="W16" s="7"/>
      <c r="X16" s="21"/>
    </row>
    <row r="17" spans="1:24" ht="30" customHeight="1">
      <c r="A17" s="10" t="s">
        <v>11</v>
      </c>
      <c r="B17" s="30"/>
      <c r="C17" s="4"/>
      <c r="D17" s="11" t="s">
        <v>17</v>
      </c>
      <c r="E17" s="35" t="s">
        <v>33</v>
      </c>
      <c r="F17" s="9"/>
      <c r="G17" s="32"/>
      <c r="H17" s="32"/>
      <c r="I17" s="32"/>
      <c r="J17" s="32"/>
      <c r="K17" s="32"/>
      <c r="L17" s="32"/>
      <c r="M17" s="32"/>
      <c r="N17" s="32"/>
      <c r="O17" s="32">
        <f>SUM(O8:Q12)*0.09</f>
        <v>1.2428169389999999</v>
      </c>
      <c r="P17" s="32"/>
      <c r="Q17" s="32"/>
      <c r="R17" s="32"/>
      <c r="S17" s="33"/>
      <c r="T17" s="33"/>
      <c r="U17" s="33"/>
      <c r="V17" s="11"/>
      <c r="W17" s="7"/>
      <c r="X17" s="21"/>
    </row>
    <row r="18" spans="1:24" ht="30" customHeight="1">
      <c r="A18" s="10" t="s">
        <v>11</v>
      </c>
      <c r="B18" s="30"/>
      <c r="C18" s="4"/>
      <c r="D18" s="11" t="s">
        <v>18</v>
      </c>
      <c r="E18" s="2" t="s">
        <v>31</v>
      </c>
      <c r="F18" s="68"/>
      <c r="G18" s="12"/>
      <c r="H18" s="12"/>
      <c r="I18" s="12"/>
      <c r="J18" s="12"/>
      <c r="K18" s="12"/>
      <c r="L18" s="12"/>
      <c r="M18" s="12"/>
      <c r="N18" s="7"/>
      <c r="O18" s="7"/>
      <c r="P18" s="7"/>
      <c r="Q18" s="11"/>
      <c r="R18" s="11"/>
      <c r="S18" s="32">
        <f>SUM(S8:U12)*0.09</f>
        <v>2.0491232579999998</v>
      </c>
      <c r="T18" s="12"/>
      <c r="U18" s="12"/>
      <c r="V18" s="12"/>
      <c r="W18" s="7"/>
      <c r="X18" s="21"/>
    </row>
    <row r="19" spans="1:24" ht="30" customHeight="1">
      <c r="A19" s="13" t="s">
        <v>11</v>
      </c>
      <c r="B19" s="6"/>
      <c r="C19" s="4"/>
      <c r="D19" s="11" t="s">
        <v>19</v>
      </c>
      <c r="E19" s="34" t="s">
        <v>30</v>
      </c>
      <c r="F19" s="68"/>
      <c r="G19" s="14"/>
      <c r="H19" s="14"/>
      <c r="I19" s="14"/>
      <c r="J19" s="14"/>
      <c r="K19" s="14">
        <f>SUM(G5:U12)*0.15</f>
        <v>14.933440021499997</v>
      </c>
      <c r="M19" s="14"/>
      <c r="N19" s="14"/>
      <c r="O19" s="14"/>
      <c r="P19" s="14"/>
      <c r="Q19" s="14"/>
      <c r="R19" s="14"/>
      <c r="S19" s="26"/>
      <c r="T19" s="27"/>
      <c r="U19" s="27"/>
      <c r="V19" s="27"/>
      <c r="W19" s="7"/>
      <c r="X19" s="21"/>
    </row>
    <row r="20" spans="1:24" ht="30" customHeight="1">
      <c r="A20" s="78" t="s">
        <v>20</v>
      </c>
      <c r="B20" s="79"/>
      <c r="C20" s="11"/>
      <c r="D20" s="11"/>
      <c r="E20" s="9"/>
      <c r="F20" s="68"/>
      <c r="G20" s="9">
        <f>SUM(G5:G19)</f>
        <v>34.929494936699996</v>
      </c>
      <c r="H20" s="9">
        <f t="shared" ref="H20" si="27">SUM(H5:H19)</f>
        <v>2.3476580400000002</v>
      </c>
      <c r="I20" s="9">
        <f t="shared" ref="I20" si="28">SUM(I5:I19)</f>
        <v>2.3476580400000002</v>
      </c>
      <c r="J20" s="9"/>
      <c r="K20" s="9">
        <f>SUM(K5:K19)</f>
        <v>39.0653952507</v>
      </c>
      <c r="L20" s="9">
        <f t="shared" ref="L20:M20" si="29">SUM(L5:L19)</f>
        <v>2.1735604799999999</v>
      </c>
      <c r="M20" s="9">
        <f t="shared" si="29"/>
        <v>2.7169506000000001</v>
      </c>
      <c r="N20" s="9"/>
      <c r="O20" s="9">
        <f>SUM(O5:O19)</f>
        <v>12.797350839</v>
      </c>
      <c r="P20" s="9">
        <f t="shared" ref="P20" si="30">SUM(P5:P19)</f>
        <v>1.1272716</v>
      </c>
      <c r="Q20" s="9">
        <f t="shared" ref="Q20" si="31">SUM(Q5:Q19)</f>
        <v>1.1272716</v>
      </c>
      <c r="R20" s="9"/>
      <c r="S20" s="9">
        <f>SUM(S5:S19)</f>
        <v>22.793334017999996</v>
      </c>
      <c r="T20" s="9">
        <f t="shared" ref="T20" si="32">SUM(T5:T19)</f>
        <v>1.01191272</v>
      </c>
      <c r="U20" s="9">
        <f t="shared" ref="U20" si="33">SUM(U5:U19)</f>
        <v>1.01191272</v>
      </c>
      <c r="V20" s="9"/>
      <c r="W20" s="7"/>
      <c r="X20" s="28"/>
    </row>
    <row r="21" spans="1:24" ht="30" customHeight="1">
      <c r="A21" s="80" t="s">
        <v>21</v>
      </c>
      <c r="B21" s="81"/>
      <c r="C21" s="5">
        <f>SUM(G5:I18)</f>
        <v>39.624811016699987</v>
      </c>
      <c r="D21" s="5"/>
      <c r="E21" s="15"/>
      <c r="F21" s="6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9"/>
    </row>
    <row r="22" spans="1:24" ht="30" customHeight="1">
      <c r="A22" s="80" t="s">
        <v>22</v>
      </c>
      <c r="B22" s="81"/>
      <c r="C22" s="5">
        <f>SUM(K5:M18)</f>
        <v>29.022466309199999</v>
      </c>
      <c r="D22" s="5"/>
      <c r="E22" s="15"/>
      <c r="F22" s="40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9"/>
    </row>
    <row r="23" spans="1:24" ht="30" customHeight="1" thickBot="1">
      <c r="A23" s="80" t="s">
        <v>23</v>
      </c>
      <c r="B23" s="81"/>
      <c r="C23" s="5">
        <f>SUM(O5:Q18)</f>
        <v>15.051894039</v>
      </c>
      <c r="D23" s="5"/>
      <c r="E23" s="15"/>
      <c r="F23" s="67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9"/>
    </row>
    <row r="24" spans="1:24" ht="30" customHeight="1">
      <c r="A24" s="80" t="s">
        <v>24</v>
      </c>
      <c r="B24" s="81"/>
      <c r="C24" s="5">
        <f>SUM(S5:U18)</f>
        <v>24.817159457999999</v>
      </c>
      <c r="D24" s="5"/>
      <c r="E24" s="15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9"/>
    </row>
    <row r="25" spans="1:24" ht="30" customHeight="1">
      <c r="A25" s="82" t="s">
        <v>38</v>
      </c>
      <c r="B25" s="83"/>
      <c r="C25" s="38">
        <f>K19</f>
        <v>14.933440021499997</v>
      </c>
      <c r="D25" s="38"/>
      <c r="E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1"/>
    </row>
    <row r="26" spans="1:24" ht="30" customHeight="1" thickBot="1">
      <c r="A26" s="84" t="s">
        <v>25</v>
      </c>
      <c r="B26" s="85"/>
      <c r="C26" s="16">
        <f>SUM(C21:C25)</f>
        <v>123.44977084439998</v>
      </c>
      <c r="D26" s="16"/>
      <c r="E26" s="1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7"/>
    </row>
    <row r="29" spans="1:24">
      <c r="A29" s="43"/>
      <c r="C29" s="43"/>
    </row>
    <row r="32" spans="1:24" ht="17.100000000000001" customHeight="1">
      <c r="I32" s="18"/>
    </row>
  </sheetData>
  <mergeCells count="51">
    <mergeCell ref="A1:X1"/>
    <mergeCell ref="AA1:BG1"/>
    <mergeCell ref="A2:A4"/>
    <mergeCell ref="B2:B4"/>
    <mergeCell ref="C2:C4"/>
    <mergeCell ref="D2:D4"/>
    <mergeCell ref="E2:E4"/>
    <mergeCell ref="G2:V2"/>
    <mergeCell ref="W2:W4"/>
    <mergeCell ref="X2:X4"/>
    <mergeCell ref="AA2:AP2"/>
    <mergeCell ref="AR2:BG2"/>
    <mergeCell ref="BD3:BG3"/>
    <mergeCell ref="BI2:BX2"/>
    <mergeCell ref="G3:J3"/>
    <mergeCell ref="K3:N3"/>
    <mergeCell ref="O3:R3"/>
    <mergeCell ref="S3:V3"/>
    <mergeCell ref="AA3:AD3"/>
    <mergeCell ref="AE3:AH3"/>
    <mergeCell ref="AI3:AL3"/>
    <mergeCell ref="BM3:BP3"/>
    <mergeCell ref="BQ3:BT3"/>
    <mergeCell ref="BU3:BX3"/>
    <mergeCell ref="AV3:AY3"/>
    <mergeCell ref="AZ3:BC3"/>
    <mergeCell ref="BI3:BL3"/>
    <mergeCell ref="AM3:AP3"/>
    <mergeCell ref="AR3:AU3"/>
    <mergeCell ref="A21:B21"/>
    <mergeCell ref="A25:B25"/>
    <mergeCell ref="A26:B26"/>
    <mergeCell ref="G26:X26"/>
    <mergeCell ref="A22:B22"/>
    <mergeCell ref="G22:X22"/>
    <mergeCell ref="A23:B23"/>
    <mergeCell ref="G23:X23"/>
    <mergeCell ref="A24:B24"/>
    <mergeCell ref="G24:X24"/>
    <mergeCell ref="G21:X21"/>
    <mergeCell ref="A5:A7"/>
    <mergeCell ref="B5:B7"/>
    <mergeCell ref="C5:C7"/>
    <mergeCell ref="F2:F4"/>
    <mergeCell ref="A20:B20"/>
    <mergeCell ref="A11:A14"/>
    <mergeCell ref="B11:B14"/>
    <mergeCell ref="C11:C14"/>
    <mergeCell ref="A8:A10"/>
    <mergeCell ref="B8:B10"/>
    <mergeCell ref="C8:C10"/>
  </mergeCells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5B7F-150C-4A04-AB74-262EEFA9A833}">
  <dimension ref="A1:BY32"/>
  <sheetViews>
    <sheetView zoomScale="70" zoomScaleNormal="70" workbookViewId="0">
      <pane ySplit="4" topLeftCell="A5" activePane="bottomLeft" state="frozen"/>
      <selection pane="bottomLeft" activeCell="O12" sqref="O12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6" width="15.75" customWidth="1"/>
    <col min="7" max="22" width="9.625" customWidth="1"/>
    <col min="23" max="23" width="14.125" hidden="1" customWidth="1"/>
    <col min="24" max="24" width="35.25" customWidth="1"/>
    <col min="25" max="25" width="15.875" customWidth="1"/>
    <col min="60" max="60" width="25.25" style="44" customWidth="1"/>
  </cols>
  <sheetData>
    <row r="1" spans="1:77" ht="30" customHeight="1" thickBot="1">
      <c r="A1" s="109" t="s">
        <v>73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47" t="s">
        <v>44</v>
      </c>
      <c r="Z1" s="48">
        <v>15</v>
      </c>
      <c r="AA1" s="72" t="s">
        <v>48</v>
      </c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I1" s="43" t="s">
        <v>50</v>
      </c>
    </row>
    <row r="2" spans="1:77" ht="30" customHeight="1">
      <c r="A2" s="112" t="s">
        <v>0</v>
      </c>
      <c r="B2" s="114" t="s">
        <v>1</v>
      </c>
      <c r="C2" s="114" t="s">
        <v>2</v>
      </c>
      <c r="D2" s="116" t="s">
        <v>3</v>
      </c>
      <c r="E2" s="105" t="s">
        <v>4</v>
      </c>
      <c r="F2" s="116" t="s">
        <v>90</v>
      </c>
      <c r="G2" s="117"/>
      <c r="H2" s="117"/>
      <c r="I2" s="117"/>
      <c r="J2" s="117"/>
      <c r="K2" s="117"/>
      <c r="L2" s="117"/>
      <c r="M2" s="117"/>
      <c r="N2" s="117"/>
      <c r="O2" s="118"/>
      <c r="P2" s="118"/>
      <c r="Q2" s="118"/>
      <c r="R2" s="118"/>
      <c r="S2" s="118"/>
      <c r="T2" s="118"/>
      <c r="U2" s="118"/>
      <c r="V2" s="118"/>
      <c r="W2" s="119" t="s">
        <v>5</v>
      </c>
      <c r="X2" s="120" t="s">
        <v>6</v>
      </c>
      <c r="Y2" s="43" t="s">
        <v>41</v>
      </c>
      <c r="Z2">
        <v>1.4</v>
      </c>
      <c r="AA2" s="100" t="s">
        <v>43</v>
      </c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2"/>
      <c r="AR2" s="100" t="s">
        <v>46</v>
      </c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2"/>
      <c r="BH2" s="50" t="s">
        <v>52</v>
      </c>
      <c r="BI2" s="100" t="s">
        <v>51</v>
      </c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2"/>
    </row>
    <row r="3" spans="1:77" ht="30" customHeight="1">
      <c r="A3" s="113"/>
      <c r="B3" s="114"/>
      <c r="C3" s="114"/>
      <c r="D3" s="116"/>
      <c r="E3" s="105"/>
      <c r="F3" s="116"/>
      <c r="G3" s="103" t="s">
        <v>7</v>
      </c>
      <c r="H3" s="103"/>
      <c r="I3" s="103"/>
      <c r="J3" s="103"/>
      <c r="K3" s="104" t="s">
        <v>8</v>
      </c>
      <c r="L3" s="103"/>
      <c r="M3" s="103"/>
      <c r="N3" s="103"/>
      <c r="O3" s="105" t="s">
        <v>9</v>
      </c>
      <c r="P3" s="105"/>
      <c r="Q3" s="105"/>
      <c r="R3" s="105"/>
      <c r="S3" s="104" t="s">
        <v>10</v>
      </c>
      <c r="T3" s="103"/>
      <c r="U3" s="103"/>
      <c r="V3" s="103"/>
      <c r="W3" s="105"/>
      <c r="X3" s="104"/>
      <c r="Y3" s="45" t="s">
        <v>42</v>
      </c>
      <c r="Z3" s="51">
        <v>0.14499999999999999</v>
      </c>
      <c r="AA3" s="106" t="s">
        <v>7</v>
      </c>
      <c r="AB3" s="103"/>
      <c r="AC3" s="103"/>
      <c r="AD3" s="103"/>
      <c r="AE3" s="104" t="s">
        <v>8</v>
      </c>
      <c r="AF3" s="103"/>
      <c r="AG3" s="103"/>
      <c r="AH3" s="103"/>
      <c r="AI3" s="105" t="s">
        <v>9</v>
      </c>
      <c r="AJ3" s="105"/>
      <c r="AK3" s="105"/>
      <c r="AL3" s="105"/>
      <c r="AM3" s="104" t="s">
        <v>10</v>
      </c>
      <c r="AN3" s="103"/>
      <c r="AO3" s="103"/>
      <c r="AP3" s="108"/>
      <c r="AR3" s="106" t="s">
        <v>7</v>
      </c>
      <c r="AS3" s="103"/>
      <c r="AT3" s="103"/>
      <c r="AU3" s="107"/>
      <c r="AV3" s="104" t="s">
        <v>8</v>
      </c>
      <c r="AW3" s="103"/>
      <c r="AX3" s="103"/>
      <c r="AY3" s="107"/>
      <c r="AZ3" s="104" t="s">
        <v>9</v>
      </c>
      <c r="BA3" s="103"/>
      <c r="BB3" s="103"/>
      <c r="BC3" s="107"/>
      <c r="BD3" s="104" t="s">
        <v>10</v>
      </c>
      <c r="BE3" s="103"/>
      <c r="BF3" s="103"/>
      <c r="BG3" s="108"/>
      <c r="BH3" s="50" t="s">
        <v>49</v>
      </c>
      <c r="BI3" s="106" t="s">
        <v>7</v>
      </c>
      <c r="BJ3" s="103"/>
      <c r="BK3" s="103"/>
      <c r="BL3" s="107"/>
      <c r="BM3" s="104" t="s">
        <v>8</v>
      </c>
      <c r="BN3" s="103"/>
      <c r="BO3" s="103"/>
      <c r="BP3" s="107"/>
      <c r="BQ3" s="104" t="s">
        <v>9</v>
      </c>
      <c r="BR3" s="103"/>
      <c r="BS3" s="103"/>
      <c r="BT3" s="107"/>
      <c r="BU3" s="104" t="s">
        <v>10</v>
      </c>
      <c r="BV3" s="103"/>
      <c r="BW3" s="103"/>
      <c r="BX3" s="108"/>
    </row>
    <row r="4" spans="1:77" ht="30" customHeight="1">
      <c r="A4" s="113"/>
      <c r="B4" s="115"/>
      <c r="C4" s="115"/>
      <c r="D4" s="116"/>
      <c r="E4" s="105"/>
      <c r="F4" s="116"/>
      <c r="G4" s="2" t="s">
        <v>26</v>
      </c>
      <c r="H4" s="29" t="s">
        <v>28</v>
      </c>
      <c r="I4" s="29" t="s">
        <v>27</v>
      </c>
      <c r="J4" s="2" t="s">
        <v>12</v>
      </c>
      <c r="K4" s="35" t="s">
        <v>30</v>
      </c>
      <c r="L4" s="29" t="s">
        <v>54</v>
      </c>
      <c r="M4" s="29" t="s">
        <v>29</v>
      </c>
      <c r="N4" s="2" t="s">
        <v>12</v>
      </c>
      <c r="O4" s="35" t="s">
        <v>33</v>
      </c>
      <c r="P4" s="29" t="s">
        <v>59</v>
      </c>
      <c r="Q4" s="29" t="s">
        <v>36</v>
      </c>
      <c r="R4" s="2" t="s">
        <v>12</v>
      </c>
      <c r="S4" s="2" t="s">
        <v>31</v>
      </c>
      <c r="T4" s="29" t="s">
        <v>54</v>
      </c>
      <c r="U4" s="29" t="s">
        <v>35</v>
      </c>
      <c r="V4" s="2" t="s">
        <v>12</v>
      </c>
      <c r="W4" s="105"/>
      <c r="X4" s="104"/>
      <c r="Y4" s="46" t="s">
        <v>47</v>
      </c>
      <c r="Z4" s="52">
        <f>1-Z3</f>
        <v>0.85499999999999998</v>
      </c>
      <c r="AA4" s="42"/>
      <c r="AB4" s="29"/>
      <c r="AC4" s="29"/>
      <c r="AD4" s="2" t="s">
        <v>12</v>
      </c>
      <c r="AE4" s="35" t="s">
        <v>30</v>
      </c>
      <c r="AF4" s="29"/>
      <c r="AG4" s="29" t="s">
        <v>72</v>
      </c>
      <c r="AH4" s="2" t="s">
        <v>12</v>
      </c>
      <c r="AI4" s="35" t="s">
        <v>33</v>
      </c>
      <c r="AJ4" s="29"/>
      <c r="AK4" s="29"/>
      <c r="AL4" s="2" t="s">
        <v>12</v>
      </c>
      <c r="AM4" s="2" t="s">
        <v>31</v>
      </c>
      <c r="AN4" s="29"/>
      <c r="AO4" s="29"/>
      <c r="AP4" s="53" t="s">
        <v>12</v>
      </c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50" t="s">
        <v>49</v>
      </c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</row>
    <row r="5" spans="1:77" ht="30" customHeight="1">
      <c r="A5" s="90">
        <v>1</v>
      </c>
      <c r="B5" s="93" t="s">
        <v>92</v>
      </c>
      <c r="C5" s="98" t="s">
        <v>57</v>
      </c>
      <c r="D5" s="8" t="s">
        <v>13</v>
      </c>
      <c r="E5" s="5">
        <f>631.54</f>
        <v>631.54</v>
      </c>
      <c r="F5" s="5">
        <f>631.54</f>
        <v>631.54</v>
      </c>
      <c r="G5" s="37">
        <f>E5*1.4/100*15*0.145*0.15*0.88*0.82*0.4</f>
        <v>0.83259909532799981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20"/>
      <c r="Y5" s="21"/>
      <c r="Z5" s="8"/>
      <c r="AA5" s="54">
        <v>0.8</v>
      </c>
      <c r="AB5" s="36">
        <v>0.08</v>
      </c>
      <c r="AC5" s="36">
        <v>0.1</v>
      </c>
      <c r="AD5" s="33"/>
      <c r="AE5" s="37">
        <v>0.8</v>
      </c>
      <c r="AF5" s="36">
        <v>0.08</v>
      </c>
      <c r="AG5" s="36">
        <v>0.1</v>
      </c>
      <c r="AH5" s="33"/>
      <c r="AI5" s="37">
        <v>0.82</v>
      </c>
      <c r="AJ5" s="36">
        <v>0.08</v>
      </c>
      <c r="AK5" s="36">
        <v>0.08</v>
      </c>
      <c r="AL5" s="33"/>
      <c r="AM5" s="37">
        <v>0.82</v>
      </c>
      <c r="AN5" s="36">
        <v>0.08</v>
      </c>
      <c r="AO5" s="36">
        <v>0.08</v>
      </c>
      <c r="AP5" s="28"/>
      <c r="AQ5" s="8" t="s">
        <v>13</v>
      </c>
      <c r="AR5" s="61">
        <f t="shared" ref="AR5:AT6" si="0">$BH5*BI5</f>
        <v>0.12</v>
      </c>
      <c r="AS5" s="61">
        <f t="shared" si="0"/>
        <v>0.12</v>
      </c>
      <c r="AT5" s="61">
        <f t="shared" si="0"/>
        <v>0.12</v>
      </c>
      <c r="AU5" s="61"/>
      <c r="AV5" s="61">
        <f t="shared" ref="AV5:AX6" si="1">$BH5*BM5</f>
        <v>7.4999999999999997E-3</v>
      </c>
      <c r="AW5" s="61">
        <f t="shared" si="1"/>
        <v>7.4999999999999997E-3</v>
      </c>
      <c r="AX5" s="61">
        <f t="shared" si="1"/>
        <v>7.4999999999999997E-3</v>
      </c>
      <c r="AY5" s="61"/>
      <c r="AZ5" s="61">
        <f t="shared" ref="AZ5:BB6" si="2">$BH5*BQ5</f>
        <v>1.125E-2</v>
      </c>
      <c r="BA5" s="61">
        <f t="shared" si="2"/>
        <v>1.125E-2</v>
      </c>
      <c r="BB5" s="61">
        <f t="shared" si="2"/>
        <v>1.125E-2</v>
      </c>
      <c r="BC5" s="61"/>
      <c r="BD5" s="61">
        <f t="shared" ref="BD5:BF6" si="3">$BH5*BU5</f>
        <v>1.125E-2</v>
      </c>
      <c r="BE5" s="61">
        <f t="shared" si="3"/>
        <v>1.125E-2</v>
      </c>
      <c r="BF5" s="61">
        <f t="shared" si="3"/>
        <v>1.125E-2</v>
      </c>
      <c r="BH5" s="44">
        <v>0.15</v>
      </c>
      <c r="BI5" s="61">
        <v>0.8</v>
      </c>
      <c r="BJ5" s="61">
        <f>BI5</f>
        <v>0.8</v>
      </c>
      <c r="BK5" s="61">
        <f>BJ5</f>
        <v>0.8</v>
      </c>
      <c r="BL5" s="61"/>
      <c r="BM5" s="61">
        <v>0.05</v>
      </c>
      <c r="BN5" s="61">
        <f>BM5</f>
        <v>0.05</v>
      </c>
      <c r="BO5" s="61">
        <f>BN5</f>
        <v>0.05</v>
      </c>
      <c r="BP5" s="61"/>
      <c r="BQ5" s="61">
        <v>7.4999999999999997E-2</v>
      </c>
      <c r="BR5" s="61">
        <f>BQ5</f>
        <v>7.4999999999999997E-2</v>
      </c>
      <c r="BS5" s="61">
        <f>BR5</f>
        <v>7.4999999999999997E-2</v>
      </c>
      <c r="BT5" s="61"/>
      <c r="BU5" s="61">
        <v>7.4999999999999997E-2</v>
      </c>
      <c r="BV5" s="61">
        <f>BU5</f>
        <v>7.4999999999999997E-2</v>
      </c>
      <c r="BW5" s="61">
        <f>BV5</f>
        <v>7.4999999999999997E-2</v>
      </c>
      <c r="BX5" s="61"/>
      <c r="BY5" s="8" t="s">
        <v>13</v>
      </c>
    </row>
    <row r="6" spans="1:77" ht="30" customHeight="1">
      <c r="A6" s="97"/>
      <c r="B6" s="94"/>
      <c r="C6" s="99"/>
      <c r="D6" s="4" t="s">
        <v>14</v>
      </c>
      <c r="E6" s="5">
        <f>631.54</f>
        <v>631.54</v>
      </c>
      <c r="F6" s="5">
        <f>631.54</f>
        <v>631.54</v>
      </c>
      <c r="G6" s="37">
        <f>E5*1.4/100*15*0.855*0.2*0.88*0.82*0.4</f>
        <v>6.5459515080960005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20"/>
      <c r="Y6" s="19"/>
      <c r="Z6" s="4"/>
      <c r="AA6" s="54">
        <v>0.8</v>
      </c>
      <c r="AB6" s="36">
        <v>0.08</v>
      </c>
      <c r="AC6" s="36">
        <v>0.1</v>
      </c>
      <c r="AD6" s="33"/>
      <c r="AE6" s="37">
        <v>0.8</v>
      </c>
      <c r="AF6" s="36">
        <v>0.08</v>
      </c>
      <c r="AG6" s="36">
        <v>0.1</v>
      </c>
      <c r="AH6" s="33"/>
      <c r="AI6" s="37">
        <v>0.82</v>
      </c>
      <c r="AJ6" s="36">
        <v>0.08</v>
      </c>
      <c r="AK6" s="36">
        <v>0.08</v>
      </c>
      <c r="AL6" s="33"/>
      <c r="AM6" s="37">
        <v>0.82</v>
      </c>
      <c r="AN6" s="36">
        <v>0.08</v>
      </c>
      <c r="AO6" s="36">
        <v>0.08</v>
      </c>
      <c r="AP6" s="28"/>
      <c r="AQ6" s="4" t="s">
        <v>14</v>
      </c>
      <c r="AR6" s="61">
        <f t="shared" si="0"/>
        <v>0.17600000000000002</v>
      </c>
      <c r="AS6" s="61">
        <f t="shared" si="0"/>
        <v>0.17600000000000002</v>
      </c>
      <c r="AT6" s="61">
        <f t="shared" si="0"/>
        <v>0.17600000000000002</v>
      </c>
      <c r="AU6" s="61"/>
      <c r="AV6" s="61">
        <f t="shared" si="1"/>
        <v>8.0000000000000002E-3</v>
      </c>
      <c r="AW6" s="61">
        <f t="shared" si="1"/>
        <v>8.0000000000000002E-3</v>
      </c>
      <c r="AX6" s="61">
        <f t="shared" si="1"/>
        <v>8.0000000000000002E-3</v>
      </c>
      <c r="AY6" s="61"/>
      <c r="AZ6" s="61">
        <f t="shared" si="2"/>
        <v>6.0000000000000001E-3</v>
      </c>
      <c r="BA6" s="61">
        <f t="shared" si="2"/>
        <v>6.0000000000000001E-3</v>
      </c>
      <c r="BB6" s="61">
        <f t="shared" si="2"/>
        <v>6.0000000000000001E-3</v>
      </c>
      <c r="BC6" s="61"/>
      <c r="BD6" s="61">
        <f t="shared" si="3"/>
        <v>5.000000000000001E-3</v>
      </c>
      <c r="BE6" s="61">
        <f t="shared" si="3"/>
        <v>5.000000000000001E-3</v>
      </c>
      <c r="BF6" s="61">
        <f t="shared" si="3"/>
        <v>5.000000000000001E-3</v>
      </c>
      <c r="BH6" s="44">
        <v>0.2</v>
      </c>
      <c r="BI6" s="61">
        <v>0.88</v>
      </c>
      <c r="BJ6" s="61">
        <f t="shared" ref="BJ6:BK6" si="4">BI6</f>
        <v>0.88</v>
      </c>
      <c r="BK6" s="61">
        <f t="shared" si="4"/>
        <v>0.88</v>
      </c>
      <c r="BL6" s="61"/>
      <c r="BM6" s="61">
        <v>0.04</v>
      </c>
      <c r="BN6" s="61">
        <f t="shared" ref="BN6:BO6" si="5">BM6</f>
        <v>0.04</v>
      </c>
      <c r="BO6" s="61">
        <f t="shared" si="5"/>
        <v>0.04</v>
      </c>
      <c r="BP6" s="61"/>
      <c r="BQ6" s="61">
        <v>0.03</v>
      </c>
      <c r="BR6" s="61">
        <f t="shared" ref="BR6:BS6" si="6">BQ6</f>
        <v>0.03</v>
      </c>
      <c r="BS6" s="61">
        <f t="shared" si="6"/>
        <v>0.03</v>
      </c>
      <c r="BT6" s="61"/>
      <c r="BU6" s="61">
        <v>2.5000000000000001E-2</v>
      </c>
      <c r="BV6" s="61">
        <f t="shared" ref="BV6:BW6" si="7">BU6</f>
        <v>2.5000000000000001E-2</v>
      </c>
      <c r="BW6" s="61">
        <f t="shared" si="7"/>
        <v>2.5000000000000001E-2</v>
      </c>
      <c r="BX6" s="61"/>
      <c r="BY6" s="4" t="s">
        <v>14</v>
      </c>
    </row>
    <row r="7" spans="1:77" ht="30" customHeight="1">
      <c r="A7" s="97"/>
      <c r="B7" s="95"/>
      <c r="C7" s="99"/>
      <c r="D7" s="3"/>
      <c r="E7" s="5"/>
      <c r="F7" s="5"/>
      <c r="G7" s="5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9"/>
      <c r="X7" s="20"/>
      <c r="Y7" s="21"/>
      <c r="AA7" s="55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28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H7" s="61"/>
      <c r="BI7" s="44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</row>
    <row r="8" spans="1:77" ht="30" customHeight="1">
      <c r="A8" s="90">
        <v>1</v>
      </c>
      <c r="B8" s="93" t="s">
        <v>37</v>
      </c>
      <c r="C8" s="98" t="s">
        <v>60</v>
      </c>
      <c r="D8" s="8" t="s">
        <v>13</v>
      </c>
      <c r="E8" s="5">
        <f>631.54</f>
        <v>631.54</v>
      </c>
      <c r="F8" s="5">
        <f>631.54</f>
        <v>631.54</v>
      </c>
      <c r="G8" s="37">
        <f t="shared" ref="G8:I9" si="8">$E8/100*$Z$1*$Z$2*AA8*AR8*(IF($D8="总图",$Z$3,$Z$4))</f>
        <v>4.6306786343999988</v>
      </c>
      <c r="H8" s="37">
        <f t="shared" si="8"/>
        <v>0.46306786343999984</v>
      </c>
      <c r="I8" s="37">
        <f t="shared" si="8"/>
        <v>0.57883482929999985</v>
      </c>
      <c r="J8" s="37"/>
      <c r="K8" s="37"/>
      <c r="L8" s="37"/>
      <c r="M8" s="37"/>
      <c r="N8" s="37"/>
      <c r="O8" s="37">
        <f t="shared" ref="O8:Q9" si="9">$E8/100*$Z$1*$Z$2*AI8*AZ8*(IF($D8="总图",$Z$3,$Z$4))</f>
        <v>3.9737684095199985</v>
      </c>
      <c r="P8" s="37">
        <f t="shared" si="9"/>
        <v>0.38768472287999989</v>
      </c>
      <c r="Q8" s="37">
        <f t="shared" si="9"/>
        <v>0.38768472287999989</v>
      </c>
      <c r="R8" s="37"/>
      <c r="S8" s="37">
        <f t="shared" ref="S8:U9" si="10">$E8/100*$Z$1*$Z$2*AM8*BD8*(IF($D8="总图",$Z$3,$Z$4))</f>
        <v>1.8765017489399993</v>
      </c>
      <c r="T8" s="37">
        <f t="shared" si="10"/>
        <v>0.18307334135999995</v>
      </c>
      <c r="U8" s="37">
        <f t="shared" si="10"/>
        <v>0.18307334135999995</v>
      </c>
      <c r="V8" s="37"/>
      <c r="W8" s="20"/>
      <c r="X8" s="21"/>
      <c r="Y8" s="8"/>
      <c r="AA8" s="54">
        <v>0.8</v>
      </c>
      <c r="AB8" s="36">
        <v>0.08</v>
      </c>
      <c r="AC8" s="36">
        <v>0.1</v>
      </c>
      <c r="AD8" s="33"/>
      <c r="AE8" s="37">
        <v>0.8</v>
      </c>
      <c r="AF8" s="36">
        <v>0.08</v>
      </c>
      <c r="AG8" s="36">
        <v>0.1</v>
      </c>
      <c r="AH8" s="33"/>
      <c r="AI8" s="37">
        <v>0.82</v>
      </c>
      <c r="AJ8" s="36">
        <v>0.08</v>
      </c>
      <c r="AK8" s="36">
        <v>0.08</v>
      </c>
      <c r="AL8" s="33"/>
      <c r="AM8" s="37">
        <v>0.82</v>
      </c>
      <c r="AN8" s="36">
        <v>0.08</v>
      </c>
      <c r="AO8" s="36">
        <v>0.08</v>
      </c>
      <c r="AP8" s="28"/>
      <c r="AQ8" s="8" t="s">
        <v>13</v>
      </c>
      <c r="AR8" s="61">
        <f>$BH8*BI8</f>
        <v>0.30099999999999999</v>
      </c>
      <c r="AS8" s="61">
        <f t="shared" ref="AS8:AT9" si="11">$BH8*BJ8</f>
        <v>0.30099999999999999</v>
      </c>
      <c r="AT8" s="61">
        <f t="shared" si="11"/>
        <v>0.30099999999999999</v>
      </c>
      <c r="AU8" s="61"/>
      <c r="AV8" s="61">
        <f>$BH8*BM8</f>
        <v>2.7999999999999997E-2</v>
      </c>
      <c r="AW8" s="61">
        <f t="shared" ref="AW8:AX9" si="12">$BH8*BN8</f>
        <v>2.7999999999999997E-2</v>
      </c>
      <c r="AX8" s="61">
        <f t="shared" si="12"/>
        <v>2.7999999999999997E-2</v>
      </c>
      <c r="AY8" s="61"/>
      <c r="AZ8" s="61">
        <f>$BH8*BQ8</f>
        <v>0.252</v>
      </c>
      <c r="BA8" s="61">
        <f t="shared" ref="BA8:BB9" si="13">$BH8*BR8</f>
        <v>0.252</v>
      </c>
      <c r="BB8" s="61">
        <f t="shared" si="13"/>
        <v>0.252</v>
      </c>
      <c r="BC8" s="61"/>
      <c r="BD8" s="61">
        <f>$BH8*BU8</f>
        <v>0.11899999999999999</v>
      </c>
      <c r="BE8" s="61">
        <f t="shared" ref="BE8:BF9" si="14">$BH8*BV8</f>
        <v>0.11899999999999999</v>
      </c>
      <c r="BF8" s="61">
        <f t="shared" si="14"/>
        <v>0.11899999999999999</v>
      </c>
      <c r="BG8" s="61"/>
      <c r="BH8" s="44">
        <v>0.7</v>
      </c>
      <c r="BI8" s="61">
        <v>0.43</v>
      </c>
      <c r="BJ8" s="61">
        <f>BI8</f>
        <v>0.43</v>
      </c>
      <c r="BK8" s="61">
        <f>BJ8</f>
        <v>0.43</v>
      </c>
      <c r="BL8" s="61"/>
      <c r="BM8" s="61">
        <v>0.04</v>
      </c>
      <c r="BN8" s="61">
        <f>BM8</f>
        <v>0.04</v>
      </c>
      <c r="BO8" s="61">
        <f>BN8</f>
        <v>0.04</v>
      </c>
      <c r="BP8" s="61"/>
      <c r="BQ8" s="61">
        <v>0.36</v>
      </c>
      <c r="BR8" s="61">
        <f>BQ8</f>
        <v>0.36</v>
      </c>
      <c r="BS8" s="61">
        <f>BR8</f>
        <v>0.36</v>
      </c>
      <c r="BT8" s="61"/>
      <c r="BU8" s="61">
        <v>0.17</v>
      </c>
      <c r="BV8" s="61">
        <f>BU8</f>
        <v>0.17</v>
      </c>
      <c r="BW8" s="61">
        <f>BV8</f>
        <v>0.17</v>
      </c>
      <c r="BX8" s="61"/>
      <c r="BY8" s="8" t="s">
        <v>13</v>
      </c>
    </row>
    <row r="9" spans="1:77" ht="30" customHeight="1">
      <c r="A9" s="97"/>
      <c r="B9" s="94"/>
      <c r="C9" s="99"/>
      <c r="D9" s="4" t="s">
        <v>14</v>
      </c>
      <c r="E9" s="5">
        <f>631.54</f>
        <v>631.54</v>
      </c>
      <c r="F9" s="5">
        <f>631.54</f>
        <v>631.54</v>
      </c>
      <c r="G9" s="37">
        <f t="shared" si="8"/>
        <v>18.179166882239997</v>
      </c>
      <c r="H9" s="37">
        <f t="shared" si="8"/>
        <v>1.8179166882239994</v>
      </c>
      <c r="I9" s="37">
        <f t="shared" si="8"/>
        <v>2.2723958602799996</v>
      </c>
      <c r="J9" s="37"/>
      <c r="K9" s="37">
        <f>$E9/100*$Z$1*$Z$2*AE9*AV9*(IF($D9="总图",$Z$3,$Z$4))</f>
        <v>21.118313623679995</v>
      </c>
      <c r="L9" s="37">
        <f>$E9/100*$Z$1*$Z$2*AF9*AW9*(IF($D9="总图",$Z$3,$Z$4))</f>
        <v>2.1118313623679996</v>
      </c>
      <c r="M9" s="37">
        <f>$E9/100*$Z$1*$Z$2*AG9*AX9*(IF($D9="总图",$Z$3,$Z$4))</f>
        <v>2.6397892029599994</v>
      </c>
      <c r="N9" s="37"/>
      <c r="O9" s="37">
        <f t="shared" si="9"/>
        <v>7.2526167277199987</v>
      </c>
      <c r="P9" s="37">
        <f t="shared" si="9"/>
        <v>0.70757236367999976</v>
      </c>
      <c r="Q9" s="37">
        <f t="shared" si="9"/>
        <v>0.70757236367999976</v>
      </c>
      <c r="R9" s="37"/>
      <c r="S9" s="37">
        <f t="shared" si="10"/>
        <v>8.2010358382679964</v>
      </c>
      <c r="T9" s="37">
        <f t="shared" si="10"/>
        <v>0.80010105739199966</v>
      </c>
      <c r="U9" s="37">
        <f t="shared" si="10"/>
        <v>0.80010105739199966</v>
      </c>
      <c r="V9" s="37"/>
      <c r="W9" s="20"/>
      <c r="X9" s="19"/>
      <c r="Y9" s="4"/>
      <c r="AA9" s="54">
        <v>0.8</v>
      </c>
      <c r="AB9" s="36">
        <v>0.08</v>
      </c>
      <c r="AC9" s="36">
        <v>0.1</v>
      </c>
      <c r="AD9" s="33"/>
      <c r="AE9" s="37">
        <v>0.8</v>
      </c>
      <c r="AF9" s="36">
        <v>0.08</v>
      </c>
      <c r="AG9" s="36">
        <v>0.1</v>
      </c>
      <c r="AH9" s="33"/>
      <c r="AI9" s="37">
        <v>0.82</v>
      </c>
      <c r="AJ9" s="36">
        <v>0.08</v>
      </c>
      <c r="AK9" s="36">
        <v>0.08</v>
      </c>
      <c r="AL9" s="33"/>
      <c r="AM9" s="37">
        <v>0.82</v>
      </c>
      <c r="AN9" s="36">
        <v>0.08</v>
      </c>
      <c r="AO9" s="36">
        <v>0.08</v>
      </c>
      <c r="AP9" s="28"/>
      <c r="AQ9" s="4" t="s">
        <v>14</v>
      </c>
      <c r="AR9" s="61">
        <f>$BH9*BI9</f>
        <v>0.20039999999999999</v>
      </c>
      <c r="AS9" s="61">
        <f t="shared" si="11"/>
        <v>0.20039999999999999</v>
      </c>
      <c r="AT9" s="61">
        <f t="shared" si="11"/>
        <v>0.20039999999999999</v>
      </c>
      <c r="AU9" s="61"/>
      <c r="AV9" s="61">
        <f>$BH9*BM9</f>
        <v>0.23280000000000001</v>
      </c>
      <c r="AW9" s="61">
        <f t="shared" si="12"/>
        <v>0.23280000000000001</v>
      </c>
      <c r="AX9" s="61">
        <f t="shared" si="12"/>
        <v>0.23280000000000001</v>
      </c>
      <c r="AY9" s="61"/>
      <c r="AZ9" s="61">
        <f>$BH9*BQ9</f>
        <v>7.8E-2</v>
      </c>
      <c r="BA9" s="61">
        <f t="shared" si="13"/>
        <v>7.8E-2</v>
      </c>
      <c r="BB9" s="61">
        <f t="shared" si="13"/>
        <v>7.8E-2</v>
      </c>
      <c r="BC9" s="61"/>
      <c r="BD9" s="61">
        <f>$BH9*BU9</f>
        <v>8.8199999999999987E-2</v>
      </c>
      <c r="BE9" s="61">
        <f t="shared" si="14"/>
        <v>8.8199999999999987E-2</v>
      </c>
      <c r="BF9" s="61">
        <f t="shared" si="14"/>
        <v>8.8199999999999987E-2</v>
      </c>
      <c r="BG9" s="61"/>
      <c r="BH9" s="44">
        <v>0.6</v>
      </c>
      <c r="BI9" s="61">
        <v>0.33400000000000002</v>
      </c>
      <c r="BJ9" s="61">
        <f t="shared" ref="BJ9:BK9" si="15">BI9</f>
        <v>0.33400000000000002</v>
      </c>
      <c r="BK9" s="61">
        <f t="shared" si="15"/>
        <v>0.33400000000000002</v>
      </c>
      <c r="BL9" s="61"/>
      <c r="BM9" s="61">
        <v>0.38800000000000001</v>
      </c>
      <c r="BN9" s="61">
        <f t="shared" ref="BN9:BO9" si="16">BM9</f>
        <v>0.38800000000000001</v>
      </c>
      <c r="BO9" s="61">
        <f t="shared" si="16"/>
        <v>0.38800000000000001</v>
      </c>
      <c r="BP9" s="61"/>
      <c r="BQ9" s="61">
        <v>0.13</v>
      </c>
      <c r="BR9" s="61">
        <f t="shared" ref="BR9:BS9" si="17">BQ9</f>
        <v>0.13</v>
      </c>
      <c r="BS9" s="61">
        <f t="shared" si="17"/>
        <v>0.13</v>
      </c>
      <c r="BT9" s="61"/>
      <c r="BU9" s="61">
        <v>0.14699999999999999</v>
      </c>
      <c r="BV9" s="61">
        <f t="shared" ref="BV9:BW9" si="18">BU9</f>
        <v>0.14699999999999999</v>
      </c>
      <c r="BW9" s="61">
        <f t="shared" si="18"/>
        <v>0.14699999999999999</v>
      </c>
      <c r="BX9" s="61"/>
      <c r="BY9" s="4" t="s">
        <v>14</v>
      </c>
    </row>
    <row r="10" spans="1:77" ht="30" customHeight="1">
      <c r="A10" s="97"/>
      <c r="B10" s="95"/>
      <c r="C10" s="99"/>
      <c r="D10" s="3"/>
      <c r="E10" s="5"/>
      <c r="F10" s="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9"/>
      <c r="W10" s="20"/>
      <c r="X10" s="21"/>
      <c r="AA10" s="55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28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</row>
    <row r="11" spans="1:77" ht="30" customHeight="1">
      <c r="A11" s="90">
        <v>2</v>
      </c>
      <c r="B11" s="93" t="s">
        <v>32</v>
      </c>
      <c r="C11" s="93" t="s">
        <v>61</v>
      </c>
      <c r="D11" s="8" t="s">
        <v>13</v>
      </c>
      <c r="E11" s="5"/>
      <c r="F11" s="5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22"/>
      <c r="X11" s="23"/>
      <c r="AA11" s="54">
        <v>0.8</v>
      </c>
      <c r="AB11" s="36">
        <v>0.08</v>
      </c>
      <c r="AC11" s="36">
        <v>0.1</v>
      </c>
      <c r="AD11" s="33"/>
      <c r="AE11" s="37">
        <v>0.8</v>
      </c>
      <c r="AF11" s="36">
        <v>0.08</v>
      </c>
      <c r="AG11" s="36">
        <v>0.1</v>
      </c>
      <c r="AH11" s="33"/>
      <c r="AI11" s="37">
        <v>0.82</v>
      </c>
      <c r="AJ11" s="36">
        <v>0.08</v>
      </c>
      <c r="AK11" s="36">
        <v>0.08</v>
      </c>
      <c r="AL11" s="33"/>
      <c r="AM11" s="37">
        <v>0.82</v>
      </c>
      <c r="AN11" s="36">
        <v>0.08</v>
      </c>
      <c r="AO11" s="36">
        <v>0.08</v>
      </c>
      <c r="AP11" s="28"/>
      <c r="AQ11" s="8" t="s">
        <v>13</v>
      </c>
      <c r="AR11" s="61">
        <f>$BH11*BI11</f>
        <v>0.30099999999999999</v>
      </c>
      <c r="AS11" s="61">
        <f t="shared" ref="AS11:AT12" si="19">$BH11*BJ11</f>
        <v>0.30099999999999999</v>
      </c>
      <c r="AT11" s="61">
        <f t="shared" si="19"/>
        <v>0.30099999999999999</v>
      </c>
      <c r="AU11" s="61"/>
      <c r="AV11" s="61">
        <f>$BH11*BM11</f>
        <v>2.7999999999999997E-2</v>
      </c>
      <c r="AW11" s="61">
        <f t="shared" ref="AW11:AX12" si="20">$BH11*BN11</f>
        <v>2.7999999999999997E-2</v>
      </c>
      <c r="AX11" s="61">
        <f t="shared" si="20"/>
        <v>2.7999999999999997E-2</v>
      </c>
      <c r="AY11" s="61"/>
      <c r="AZ11" s="61">
        <f>$BH11*BQ11</f>
        <v>0.252</v>
      </c>
      <c r="BA11" s="61">
        <f t="shared" ref="BA11:BB12" si="21">$BH11*BR11</f>
        <v>0.252</v>
      </c>
      <c r="BB11" s="61">
        <f t="shared" si="21"/>
        <v>0.252</v>
      </c>
      <c r="BC11" s="61"/>
      <c r="BD11" s="61">
        <f>$BH11*BU11</f>
        <v>0.11899999999999999</v>
      </c>
      <c r="BE11" s="61">
        <f t="shared" ref="BE11:BF12" si="22">$BH11*BV11</f>
        <v>0.11899999999999999</v>
      </c>
      <c r="BF11" s="61">
        <f t="shared" si="22"/>
        <v>0.11899999999999999</v>
      </c>
      <c r="BG11" s="61"/>
      <c r="BH11" s="44">
        <v>0.7</v>
      </c>
      <c r="BI11" s="61">
        <v>0.43</v>
      </c>
      <c r="BJ11" s="61">
        <f t="shared" ref="BJ11:BK12" si="23">BI11</f>
        <v>0.43</v>
      </c>
      <c r="BK11" s="61">
        <f t="shared" si="23"/>
        <v>0.43</v>
      </c>
      <c r="BL11" s="61"/>
      <c r="BM11" s="61">
        <v>0.04</v>
      </c>
      <c r="BN11" s="61">
        <f t="shared" ref="BN11:BO12" si="24">BM11</f>
        <v>0.04</v>
      </c>
      <c r="BO11" s="61">
        <f t="shared" si="24"/>
        <v>0.04</v>
      </c>
      <c r="BP11" s="61"/>
      <c r="BQ11" s="61">
        <v>0.36</v>
      </c>
      <c r="BR11" s="61">
        <f t="shared" ref="BR11:BS12" si="25">BQ11</f>
        <v>0.36</v>
      </c>
      <c r="BS11" s="61">
        <f t="shared" si="25"/>
        <v>0.36</v>
      </c>
      <c r="BT11" s="61"/>
      <c r="BU11" s="61">
        <v>0.17</v>
      </c>
      <c r="BV11" s="61">
        <f t="shared" ref="BV11:BW12" si="26">BU11</f>
        <v>0.17</v>
      </c>
      <c r="BW11" s="61">
        <f t="shared" si="26"/>
        <v>0.17</v>
      </c>
      <c r="BX11" s="61"/>
      <c r="BY11" s="8" t="s">
        <v>13</v>
      </c>
    </row>
    <row r="12" spans="1:77" s="1" customFormat="1" ht="30" customHeight="1" thickBot="1">
      <c r="A12" s="91"/>
      <c r="B12" s="94"/>
      <c r="C12" s="96"/>
      <c r="D12" s="4" t="s">
        <v>14</v>
      </c>
      <c r="E12" s="5">
        <f>(450+735+850+1152)</f>
        <v>3187</v>
      </c>
      <c r="F12" s="5">
        <f>(450+735+850+1152)</f>
        <v>3187</v>
      </c>
      <c r="G12" s="37"/>
      <c r="H12" s="37"/>
      <c r="I12" s="37"/>
      <c r="J12" s="37"/>
      <c r="K12" s="37">
        <f>$E12/100*$Z$1*$Z$2*AE12*AV12*(IF($D12="总图",$Z$3,$Z$4))*0.3*0.2/1.4*1.2</f>
        <v>5.4808118899200009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4"/>
      <c r="X12" s="23"/>
      <c r="AA12" s="56">
        <v>0.8</v>
      </c>
      <c r="AB12" s="57">
        <v>0.08</v>
      </c>
      <c r="AC12" s="57">
        <v>0.1</v>
      </c>
      <c r="AD12" s="58"/>
      <c r="AE12" s="59">
        <v>0.8</v>
      </c>
      <c r="AF12" s="57">
        <v>0.08</v>
      </c>
      <c r="AG12" s="57">
        <v>0.1</v>
      </c>
      <c r="AH12" s="58"/>
      <c r="AI12" s="59">
        <v>0.82</v>
      </c>
      <c r="AJ12" s="57">
        <v>0.08</v>
      </c>
      <c r="AK12" s="57">
        <v>0.08</v>
      </c>
      <c r="AL12" s="58"/>
      <c r="AM12" s="59">
        <v>0.82</v>
      </c>
      <c r="AN12" s="57">
        <v>0.08</v>
      </c>
      <c r="AO12" s="57">
        <v>0.08</v>
      </c>
      <c r="AP12" s="60"/>
      <c r="AQ12" s="4" t="s">
        <v>14</v>
      </c>
      <c r="AR12" s="61">
        <f>$BH12*BI12</f>
        <v>0.20039999999999999</v>
      </c>
      <c r="AS12" s="61">
        <f t="shared" si="19"/>
        <v>0.20039999999999999</v>
      </c>
      <c r="AT12" s="61">
        <f t="shared" si="19"/>
        <v>0.20039999999999999</v>
      </c>
      <c r="AU12" s="61"/>
      <c r="AV12" s="61">
        <f>$BH12*BM12</f>
        <v>0.23280000000000001</v>
      </c>
      <c r="AW12" s="61">
        <f t="shared" si="20"/>
        <v>0.23280000000000001</v>
      </c>
      <c r="AX12" s="61">
        <f t="shared" si="20"/>
        <v>0.23280000000000001</v>
      </c>
      <c r="AY12" s="61"/>
      <c r="AZ12" s="61">
        <f>$BH12*BQ12</f>
        <v>7.8E-2</v>
      </c>
      <c r="BA12" s="61">
        <f t="shared" si="21"/>
        <v>7.8E-2</v>
      </c>
      <c r="BB12" s="61">
        <f t="shared" si="21"/>
        <v>7.8E-2</v>
      </c>
      <c r="BC12" s="61"/>
      <c r="BD12" s="61">
        <f>$BH12*BU12</f>
        <v>8.8199999999999987E-2</v>
      </c>
      <c r="BE12" s="61">
        <f t="shared" si="22"/>
        <v>8.8199999999999987E-2</v>
      </c>
      <c r="BF12" s="61">
        <f t="shared" si="22"/>
        <v>8.8199999999999987E-2</v>
      </c>
      <c r="BG12" s="61"/>
      <c r="BH12" s="44">
        <v>0.6</v>
      </c>
      <c r="BI12" s="61">
        <v>0.33400000000000002</v>
      </c>
      <c r="BJ12" s="61">
        <f t="shared" si="23"/>
        <v>0.33400000000000002</v>
      </c>
      <c r="BK12" s="61">
        <f t="shared" si="23"/>
        <v>0.33400000000000002</v>
      </c>
      <c r="BL12" s="61"/>
      <c r="BM12" s="61">
        <v>0.38800000000000001</v>
      </c>
      <c r="BN12" s="61">
        <f t="shared" si="24"/>
        <v>0.38800000000000001</v>
      </c>
      <c r="BO12" s="61">
        <f t="shared" si="24"/>
        <v>0.38800000000000001</v>
      </c>
      <c r="BP12" s="61"/>
      <c r="BQ12" s="61">
        <v>0.13</v>
      </c>
      <c r="BR12" s="61">
        <f t="shared" si="25"/>
        <v>0.13</v>
      </c>
      <c r="BS12" s="61">
        <f t="shared" si="25"/>
        <v>0.13</v>
      </c>
      <c r="BT12" s="61"/>
      <c r="BU12" s="61">
        <v>0.14699999999999999</v>
      </c>
      <c r="BV12" s="61">
        <f t="shared" si="26"/>
        <v>0.14699999999999999</v>
      </c>
      <c r="BW12" s="61">
        <f t="shared" si="26"/>
        <v>0.14699999999999999</v>
      </c>
      <c r="BX12" s="61"/>
      <c r="BY12" s="4" t="s">
        <v>14</v>
      </c>
    </row>
    <row r="13" spans="1:77" s="1" customFormat="1" ht="30" customHeight="1">
      <c r="A13" s="91"/>
      <c r="B13" s="94"/>
      <c r="C13" s="96"/>
      <c r="D13" s="3"/>
      <c r="E13" s="5"/>
      <c r="F13" s="69"/>
      <c r="G13" s="33"/>
      <c r="H13" s="33"/>
      <c r="I13" s="31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9"/>
      <c r="W13" s="24"/>
      <c r="X13" s="25"/>
      <c r="BH13" s="49"/>
    </row>
    <row r="14" spans="1:77" ht="30" customHeight="1">
      <c r="A14" s="92"/>
      <c r="B14" s="95"/>
      <c r="C14" s="95"/>
      <c r="D14" s="8"/>
      <c r="E14" s="5"/>
      <c r="F14" s="69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9"/>
      <c r="W14" s="22"/>
      <c r="X14" s="21"/>
    </row>
    <row r="15" spans="1:77" ht="30" customHeight="1">
      <c r="A15" s="10" t="s">
        <v>11</v>
      </c>
      <c r="B15" s="30"/>
      <c r="C15" s="4"/>
      <c r="D15" s="11" t="s">
        <v>15</v>
      </c>
      <c r="E15" s="2" t="s">
        <v>26</v>
      </c>
      <c r="F15" s="2"/>
      <c r="G15" s="32">
        <f>SUM(G5:I12)*0.09</f>
        <v>3.1788550225177197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11"/>
      <c r="W15" s="22"/>
      <c r="X15" s="21"/>
    </row>
    <row r="16" spans="1:77" ht="30" customHeight="1">
      <c r="A16" s="10" t="s">
        <v>11</v>
      </c>
      <c r="B16" s="30"/>
      <c r="C16" s="4"/>
      <c r="D16" s="11" t="s">
        <v>16</v>
      </c>
      <c r="E16" s="35" t="s">
        <v>30</v>
      </c>
      <c r="F16" s="34"/>
      <c r="G16" s="32"/>
      <c r="H16" s="32"/>
      <c r="I16" s="32"/>
      <c r="J16" s="32"/>
      <c r="K16" s="32">
        <f>SUM(K8:M12)*0.09</f>
        <v>2.8215671471035195</v>
      </c>
      <c r="L16" s="32"/>
      <c r="M16" s="32"/>
      <c r="N16" s="32"/>
      <c r="O16" s="33"/>
      <c r="P16" s="33"/>
      <c r="Q16" s="33"/>
      <c r="R16" s="33"/>
      <c r="S16" s="33"/>
      <c r="T16" s="33"/>
      <c r="U16" s="33"/>
      <c r="V16" s="11"/>
      <c r="W16" s="7"/>
      <c r="X16" s="21"/>
    </row>
    <row r="17" spans="1:24" ht="30" customHeight="1">
      <c r="A17" s="10" t="s">
        <v>11</v>
      </c>
      <c r="B17" s="30"/>
      <c r="C17" s="4"/>
      <c r="D17" s="11" t="s">
        <v>17</v>
      </c>
      <c r="E17" s="35" t="s">
        <v>33</v>
      </c>
      <c r="F17" s="9"/>
      <c r="G17" s="32"/>
      <c r="H17" s="32"/>
      <c r="I17" s="32"/>
      <c r="J17" s="32"/>
      <c r="K17" s="32"/>
      <c r="L17" s="32"/>
      <c r="M17" s="32"/>
      <c r="N17" s="32"/>
      <c r="O17" s="32">
        <f>SUM(O8:Q12)*0.09</f>
        <v>1.2075209379323997</v>
      </c>
      <c r="P17" s="32"/>
      <c r="Q17" s="32"/>
      <c r="R17" s="32"/>
      <c r="S17" s="33"/>
      <c r="T17" s="33"/>
      <c r="U17" s="33"/>
      <c r="V17" s="11"/>
      <c r="W17" s="7"/>
      <c r="X17" s="21"/>
    </row>
    <row r="18" spans="1:24" ht="30" customHeight="1">
      <c r="A18" s="10" t="s">
        <v>11</v>
      </c>
      <c r="B18" s="30"/>
      <c r="C18" s="4"/>
      <c r="D18" s="11" t="s">
        <v>18</v>
      </c>
      <c r="E18" s="2" t="s">
        <v>31</v>
      </c>
      <c r="F18" s="68"/>
      <c r="G18" s="12"/>
      <c r="H18" s="12"/>
      <c r="I18" s="12"/>
      <c r="J18" s="12"/>
      <c r="K18" s="12"/>
      <c r="L18" s="12"/>
      <c r="M18" s="12"/>
      <c r="N18" s="7"/>
      <c r="O18" s="7"/>
      <c r="P18" s="7"/>
      <c r="Q18" s="11"/>
      <c r="R18" s="11"/>
      <c r="S18" s="32">
        <f>SUM(S8:U9)*0.09</f>
        <v>1.0839497746240796</v>
      </c>
      <c r="T18" s="12"/>
      <c r="U18" s="12"/>
      <c r="V18" s="12"/>
      <c r="W18" s="7"/>
      <c r="X18" s="21"/>
    </row>
    <row r="19" spans="1:24" ht="30" customHeight="1">
      <c r="A19" s="13" t="s">
        <v>11</v>
      </c>
      <c r="B19" s="6"/>
      <c r="C19" s="4"/>
      <c r="D19" s="11" t="s">
        <v>19</v>
      </c>
      <c r="E19" s="34" t="s">
        <v>30</v>
      </c>
      <c r="F19" s="68"/>
      <c r="G19" s="14"/>
      <c r="H19" s="14"/>
      <c r="I19" s="14"/>
      <c r="J19" s="14"/>
      <c r="K19" s="14">
        <f>SUM(G5:U12)*0.15</f>
        <v>13.819821470296198</v>
      </c>
      <c r="M19" s="14"/>
      <c r="N19" s="14"/>
      <c r="O19" s="14"/>
      <c r="P19" s="14"/>
      <c r="Q19" s="14"/>
      <c r="R19" s="14"/>
      <c r="S19" s="26"/>
      <c r="T19" s="27"/>
      <c r="U19" s="27"/>
      <c r="V19" s="27"/>
      <c r="W19" s="7"/>
      <c r="X19" s="21"/>
    </row>
    <row r="20" spans="1:24" ht="30" customHeight="1">
      <c r="A20" s="78" t="s">
        <v>20</v>
      </c>
      <c r="B20" s="79"/>
      <c r="C20" s="11"/>
      <c r="D20" s="11"/>
      <c r="E20" s="9"/>
      <c r="F20" s="68"/>
      <c r="G20" s="9">
        <f>SUM(G5:G19)</f>
        <v>33.367251142581715</v>
      </c>
      <c r="H20" s="9">
        <f>SUM(H8:H18)</f>
        <v>2.280984551663999</v>
      </c>
      <c r="I20" s="9">
        <f>SUM(I8:I18)</f>
        <v>2.8512306895799995</v>
      </c>
      <c r="J20" s="9"/>
      <c r="K20" s="9">
        <f>SUM(K5:K19)</f>
        <v>43.240514130999713</v>
      </c>
      <c r="L20" s="9">
        <f>SUM(L8:L18)</f>
        <v>2.1118313623679996</v>
      </c>
      <c r="M20" s="9">
        <f>SUM(M8:M18)</f>
        <v>2.6397892029599994</v>
      </c>
      <c r="N20" s="9"/>
      <c r="O20" s="9">
        <f>SUM(O8:O18)</f>
        <v>12.433906075172397</v>
      </c>
      <c r="P20" s="9">
        <f>SUM(P8:P18)</f>
        <v>1.0952570865599998</v>
      </c>
      <c r="Q20" s="9">
        <f>SUM(Q8:Q18)</f>
        <v>1.0952570865599998</v>
      </c>
      <c r="R20" s="9"/>
      <c r="S20" s="9">
        <f>SUM(S8:S18)</f>
        <v>11.161487361832075</v>
      </c>
      <c r="T20" s="9">
        <f>SUM(T8:T18)</f>
        <v>0.98317439875199963</v>
      </c>
      <c r="U20" s="9">
        <f>SUM(U8:U18)</f>
        <v>0.98317439875199963</v>
      </c>
      <c r="V20" s="9"/>
      <c r="W20" s="7"/>
      <c r="X20" s="28"/>
    </row>
    <row r="21" spans="1:24" ht="30" customHeight="1">
      <c r="A21" s="80" t="s">
        <v>21</v>
      </c>
      <c r="B21" s="81"/>
      <c r="C21" s="5">
        <f>SUM(G8:I18)</f>
        <v>31.120915780401713</v>
      </c>
      <c r="D21" s="5"/>
      <c r="E21" s="15"/>
      <c r="F21" s="6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9"/>
    </row>
    <row r="22" spans="1:24" ht="30" customHeight="1">
      <c r="A22" s="80" t="s">
        <v>22</v>
      </c>
      <c r="B22" s="81"/>
      <c r="C22" s="5">
        <f>SUM(K8:M18)</f>
        <v>34.17231322603152</v>
      </c>
      <c r="D22" s="5"/>
      <c r="E22" s="15"/>
      <c r="F22" s="40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9"/>
    </row>
    <row r="23" spans="1:24" ht="30" customHeight="1" thickBot="1">
      <c r="A23" s="80" t="s">
        <v>23</v>
      </c>
      <c r="B23" s="81"/>
      <c r="C23" s="5">
        <f>SUM(O8:Q18)</f>
        <v>14.624420248292397</v>
      </c>
      <c r="D23" s="5"/>
      <c r="E23" s="15"/>
      <c r="F23" s="67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9"/>
    </row>
    <row r="24" spans="1:24" ht="30" customHeight="1">
      <c r="A24" s="80" t="s">
        <v>24</v>
      </c>
      <c r="B24" s="81"/>
      <c r="C24" s="5">
        <f>SUM(S8:U18)</f>
        <v>13.127836159336075</v>
      </c>
      <c r="D24" s="5"/>
      <c r="E24" s="15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9"/>
    </row>
    <row r="25" spans="1:24" ht="30" customHeight="1">
      <c r="A25" s="82" t="s">
        <v>38</v>
      </c>
      <c r="B25" s="83"/>
      <c r="C25" s="38">
        <f>K19</f>
        <v>13.819821470296198</v>
      </c>
      <c r="D25" s="38"/>
      <c r="E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1"/>
    </row>
    <row r="26" spans="1:24" ht="30" customHeight="1" thickBot="1">
      <c r="A26" s="84" t="s">
        <v>25</v>
      </c>
      <c r="B26" s="85"/>
      <c r="C26" s="16">
        <f>SUM(C21:C25)</f>
        <v>106.86530688435789</v>
      </c>
      <c r="D26" s="16"/>
      <c r="E26" s="1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7"/>
    </row>
    <row r="29" spans="1:24">
      <c r="A29" s="43"/>
      <c r="C29" s="43"/>
    </row>
    <row r="32" spans="1:24" ht="17.100000000000001" customHeight="1">
      <c r="I32" s="18"/>
    </row>
  </sheetData>
  <mergeCells count="51">
    <mergeCell ref="A1:X1"/>
    <mergeCell ref="AA1:BG1"/>
    <mergeCell ref="A2:A4"/>
    <mergeCell ref="B2:B4"/>
    <mergeCell ref="C2:C4"/>
    <mergeCell ref="D2:D4"/>
    <mergeCell ref="E2:E4"/>
    <mergeCell ref="G2:V2"/>
    <mergeCell ref="W2:W4"/>
    <mergeCell ref="X2:X4"/>
    <mergeCell ref="AA2:AP2"/>
    <mergeCell ref="AR2:BG2"/>
    <mergeCell ref="BD3:BG3"/>
    <mergeCell ref="BI2:BX2"/>
    <mergeCell ref="G3:J3"/>
    <mergeCell ref="K3:N3"/>
    <mergeCell ref="O3:R3"/>
    <mergeCell ref="S3:V3"/>
    <mergeCell ref="AA3:AD3"/>
    <mergeCell ref="AE3:AH3"/>
    <mergeCell ref="AI3:AL3"/>
    <mergeCell ref="BM3:BP3"/>
    <mergeCell ref="BQ3:BT3"/>
    <mergeCell ref="BU3:BX3"/>
    <mergeCell ref="AV3:AY3"/>
    <mergeCell ref="AZ3:BC3"/>
    <mergeCell ref="BI3:BL3"/>
    <mergeCell ref="AM3:AP3"/>
    <mergeCell ref="AR3:AU3"/>
    <mergeCell ref="A21:B21"/>
    <mergeCell ref="A25:B25"/>
    <mergeCell ref="A26:B26"/>
    <mergeCell ref="G26:X26"/>
    <mergeCell ref="A22:B22"/>
    <mergeCell ref="G22:X22"/>
    <mergeCell ref="A23:B23"/>
    <mergeCell ref="G23:X23"/>
    <mergeCell ref="A24:B24"/>
    <mergeCell ref="G24:X24"/>
    <mergeCell ref="G21:X21"/>
    <mergeCell ref="A5:A7"/>
    <mergeCell ref="B5:B7"/>
    <mergeCell ref="C5:C7"/>
    <mergeCell ref="F2:F4"/>
    <mergeCell ref="A20:B20"/>
    <mergeCell ref="A11:A14"/>
    <mergeCell ref="B11:B14"/>
    <mergeCell ref="C11:C14"/>
    <mergeCell ref="A8:A10"/>
    <mergeCell ref="B8:B10"/>
    <mergeCell ref="C8:C10"/>
  </mergeCells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37B2-16FE-480C-AA91-31AABEBE7C92}">
  <dimension ref="A1:BX29"/>
  <sheetViews>
    <sheetView zoomScale="70" zoomScaleNormal="70" workbookViewId="0">
      <pane ySplit="4" topLeftCell="A5" activePane="bottomLeft" state="frozen"/>
      <selection pane="bottomLeft" activeCell="T13" sqref="T13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5" width="15.75" customWidth="1"/>
    <col min="6" max="21" width="9.625" customWidth="1"/>
    <col min="22" max="22" width="14.125" hidden="1" customWidth="1"/>
    <col min="23" max="23" width="35.25" customWidth="1"/>
    <col min="24" max="24" width="15.875" customWidth="1"/>
    <col min="59" max="59" width="25.25" style="44" customWidth="1"/>
  </cols>
  <sheetData>
    <row r="1" spans="1:76" ht="30" customHeight="1" thickBot="1">
      <c r="A1" s="109" t="s">
        <v>96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47" t="s">
        <v>44</v>
      </c>
      <c r="Y1" s="48">
        <v>15</v>
      </c>
      <c r="Z1" s="72" t="s">
        <v>48</v>
      </c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H1" s="43" t="s">
        <v>50</v>
      </c>
    </row>
    <row r="2" spans="1:76" ht="30" customHeight="1">
      <c r="A2" s="112" t="s">
        <v>0</v>
      </c>
      <c r="B2" s="114" t="s">
        <v>1</v>
      </c>
      <c r="C2" s="114" t="s">
        <v>2</v>
      </c>
      <c r="D2" s="116" t="s">
        <v>3</v>
      </c>
      <c r="E2" s="105" t="s">
        <v>4</v>
      </c>
      <c r="F2" s="117"/>
      <c r="G2" s="117"/>
      <c r="H2" s="117"/>
      <c r="I2" s="117"/>
      <c r="J2" s="117"/>
      <c r="K2" s="117"/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9" t="s">
        <v>5</v>
      </c>
      <c r="W2" s="120" t="s">
        <v>6</v>
      </c>
      <c r="X2" s="43" t="s">
        <v>41</v>
      </c>
      <c r="Y2">
        <v>1.4</v>
      </c>
      <c r="Z2" s="100" t="s">
        <v>43</v>
      </c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2"/>
      <c r="AQ2" s="100" t="s">
        <v>46</v>
      </c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2"/>
      <c r="BG2" s="50" t="s">
        <v>52</v>
      </c>
      <c r="BH2" s="100" t="s">
        <v>51</v>
      </c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2"/>
    </row>
    <row r="3" spans="1:76" ht="30" customHeight="1">
      <c r="A3" s="113"/>
      <c r="B3" s="114"/>
      <c r="C3" s="114"/>
      <c r="D3" s="116"/>
      <c r="E3" s="105"/>
      <c r="F3" s="103" t="s">
        <v>7</v>
      </c>
      <c r="G3" s="103"/>
      <c r="H3" s="103"/>
      <c r="I3" s="103"/>
      <c r="J3" s="104" t="s">
        <v>8</v>
      </c>
      <c r="K3" s="103"/>
      <c r="L3" s="103"/>
      <c r="M3" s="103"/>
      <c r="N3" s="105" t="s">
        <v>9</v>
      </c>
      <c r="O3" s="105"/>
      <c r="P3" s="105"/>
      <c r="Q3" s="105"/>
      <c r="R3" s="104" t="s">
        <v>10</v>
      </c>
      <c r="S3" s="103"/>
      <c r="T3" s="103"/>
      <c r="U3" s="103"/>
      <c r="V3" s="105"/>
      <c r="W3" s="104"/>
      <c r="X3" s="45" t="s">
        <v>42</v>
      </c>
      <c r="Y3" s="51">
        <v>0.14499999999999999</v>
      </c>
      <c r="Z3" s="106" t="s">
        <v>7</v>
      </c>
      <c r="AA3" s="103"/>
      <c r="AB3" s="103"/>
      <c r="AC3" s="103"/>
      <c r="AD3" s="104" t="s">
        <v>8</v>
      </c>
      <c r="AE3" s="103"/>
      <c r="AF3" s="103"/>
      <c r="AG3" s="103"/>
      <c r="AH3" s="105" t="s">
        <v>9</v>
      </c>
      <c r="AI3" s="105"/>
      <c r="AJ3" s="105"/>
      <c r="AK3" s="105"/>
      <c r="AL3" s="104" t="s">
        <v>10</v>
      </c>
      <c r="AM3" s="103"/>
      <c r="AN3" s="103"/>
      <c r="AO3" s="108"/>
      <c r="AQ3" s="106" t="s">
        <v>7</v>
      </c>
      <c r="AR3" s="103"/>
      <c r="AS3" s="103"/>
      <c r="AT3" s="107"/>
      <c r="AU3" s="104" t="s">
        <v>8</v>
      </c>
      <c r="AV3" s="103"/>
      <c r="AW3" s="103"/>
      <c r="AX3" s="107"/>
      <c r="AY3" s="104" t="s">
        <v>9</v>
      </c>
      <c r="AZ3" s="103"/>
      <c r="BA3" s="103"/>
      <c r="BB3" s="107"/>
      <c r="BC3" s="104" t="s">
        <v>10</v>
      </c>
      <c r="BD3" s="103"/>
      <c r="BE3" s="103"/>
      <c r="BF3" s="108"/>
      <c r="BG3" s="50" t="s">
        <v>49</v>
      </c>
      <c r="BH3" s="106" t="s">
        <v>7</v>
      </c>
      <c r="BI3" s="103"/>
      <c r="BJ3" s="103"/>
      <c r="BK3" s="107"/>
      <c r="BL3" s="104" t="s">
        <v>8</v>
      </c>
      <c r="BM3" s="103"/>
      <c r="BN3" s="103"/>
      <c r="BO3" s="107"/>
      <c r="BP3" s="104" t="s">
        <v>9</v>
      </c>
      <c r="BQ3" s="103"/>
      <c r="BR3" s="103"/>
      <c r="BS3" s="107"/>
      <c r="BT3" s="104" t="s">
        <v>10</v>
      </c>
      <c r="BU3" s="103"/>
      <c r="BV3" s="103"/>
      <c r="BW3" s="108"/>
    </row>
    <row r="4" spans="1:76" ht="30" customHeight="1">
      <c r="A4" s="113"/>
      <c r="B4" s="115"/>
      <c r="C4" s="115"/>
      <c r="D4" s="116"/>
      <c r="E4" s="105"/>
      <c r="F4" s="35" t="s">
        <v>30</v>
      </c>
      <c r="G4" s="29" t="s">
        <v>26</v>
      </c>
      <c r="H4" s="29" t="s">
        <v>29</v>
      </c>
      <c r="I4" s="2" t="s">
        <v>12</v>
      </c>
      <c r="J4" s="35" t="s">
        <v>30</v>
      </c>
      <c r="K4" s="29" t="s">
        <v>35</v>
      </c>
      <c r="L4" s="29" t="s">
        <v>29</v>
      </c>
      <c r="M4" s="2" t="s">
        <v>12</v>
      </c>
      <c r="N4" s="35"/>
      <c r="O4" s="29"/>
      <c r="P4" s="29"/>
      <c r="Q4" s="2" t="s">
        <v>12</v>
      </c>
      <c r="R4" s="2" t="s">
        <v>31</v>
      </c>
      <c r="S4" s="29" t="s">
        <v>62</v>
      </c>
      <c r="T4" s="29" t="s">
        <v>35</v>
      </c>
      <c r="U4" s="2" t="s">
        <v>12</v>
      </c>
      <c r="V4" s="105"/>
      <c r="W4" s="104"/>
      <c r="X4" s="46" t="s">
        <v>47</v>
      </c>
      <c r="Y4" s="52">
        <f>1-Y3</f>
        <v>0.85499999999999998</v>
      </c>
      <c r="Z4" s="42"/>
      <c r="AA4" s="29"/>
      <c r="AB4" s="29"/>
      <c r="AC4" s="2" t="s">
        <v>12</v>
      </c>
      <c r="AD4" s="35"/>
      <c r="AE4" s="29"/>
      <c r="AF4" s="29" t="s">
        <v>45</v>
      </c>
      <c r="AG4" s="2" t="s">
        <v>12</v>
      </c>
      <c r="AH4" s="35"/>
      <c r="AI4" s="29"/>
      <c r="AJ4" s="29"/>
      <c r="AK4" s="2" t="s">
        <v>12</v>
      </c>
      <c r="AL4" s="2" t="s">
        <v>31</v>
      </c>
      <c r="AM4" s="29"/>
      <c r="AN4" s="29"/>
      <c r="AO4" s="53" t="s">
        <v>12</v>
      </c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50" t="s">
        <v>49</v>
      </c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</row>
    <row r="5" spans="1:76" ht="30" customHeight="1">
      <c r="A5" s="90">
        <v>1</v>
      </c>
      <c r="B5" s="93" t="s">
        <v>37</v>
      </c>
      <c r="C5" s="98" t="s">
        <v>74</v>
      </c>
      <c r="D5" s="8" t="s">
        <v>13</v>
      </c>
      <c r="E5" s="5">
        <v>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20"/>
      <c r="W5" s="21"/>
      <c r="X5" s="8"/>
      <c r="Z5" s="54">
        <v>0.8</v>
      </c>
      <c r="AA5" s="36">
        <v>0.08</v>
      </c>
      <c r="AB5" s="36">
        <v>0.1</v>
      </c>
      <c r="AC5" s="33"/>
      <c r="AD5" s="37">
        <v>0.8</v>
      </c>
      <c r="AE5" s="36">
        <v>0.08</v>
      </c>
      <c r="AF5" s="36">
        <v>0.1</v>
      </c>
      <c r="AG5" s="33"/>
      <c r="AH5" s="37">
        <v>0.82</v>
      </c>
      <c r="AI5" s="36">
        <v>0.08</v>
      </c>
      <c r="AJ5" s="36">
        <v>0.08</v>
      </c>
      <c r="AK5" s="33"/>
      <c r="AL5" s="37">
        <v>0.82</v>
      </c>
      <c r="AM5" s="36">
        <v>0.08</v>
      </c>
      <c r="AN5" s="36">
        <v>0.08</v>
      </c>
      <c r="AO5" s="28"/>
      <c r="AP5" s="8" t="s">
        <v>13</v>
      </c>
      <c r="AQ5" s="61">
        <f>$BG5*BH5</f>
        <v>0.30099999999999999</v>
      </c>
      <c r="AR5" s="61">
        <f t="shared" ref="AR5:AS6" si="0">$BG5*BI5</f>
        <v>0.30099999999999999</v>
      </c>
      <c r="AS5" s="61">
        <f t="shared" si="0"/>
        <v>0.30099999999999999</v>
      </c>
      <c r="AT5" s="61"/>
      <c r="AU5" s="61">
        <f>$BG5*BL5</f>
        <v>2.7999999999999997E-2</v>
      </c>
      <c r="AV5" s="61">
        <f t="shared" ref="AV5:AW6" si="1">$BG5*BM5</f>
        <v>2.7999999999999997E-2</v>
      </c>
      <c r="AW5" s="61">
        <f t="shared" si="1"/>
        <v>2.7999999999999997E-2</v>
      </c>
      <c r="AX5" s="61"/>
      <c r="AY5" s="61">
        <f>$BG5*BP5</f>
        <v>0.252</v>
      </c>
      <c r="AZ5" s="61">
        <f t="shared" ref="AZ5:BA6" si="2">$BG5*BQ5</f>
        <v>0.252</v>
      </c>
      <c r="BA5" s="61">
        <f t="shared" si="2"/>
        <v>0.252</v>
      </c>
      <c r="BB5" s="61"/>
      <c r="BC5" s="61">
        <f>$BG5*BT5</f>
        <v>0.11899999999999999</v>
      </c>
      <c r="BD5" s="61">
        <f t="shared" ref="BD5:BE6" si="3">$BG5*BU5</f>
        <v>0.11899999999999999</v>
      </c>
      <c r="BE5" s="61">
        <f t="shared" si="3"/>
        <v>0.11899999999999999</v>
      </c>
      <c r="BF5" s="61"/>
      <c r="BG5" s="44">
        <v>0.7</v>
      </c>
      <c r="BH5" s="61">
        <v>0.43</v>
      </c>
      <c r="BI5" s="61">
        <f>BH5</f>
        <v>0.43</v>
      </c>
      <c r="BJ5" s="61">
        <f>BI5</f>
        <v>0.43</v>
      </c>
      <c r="BK5" s="61"/>
      <c r="BL5" s="61">
        <v>0.04</v>
      </c>
      <c r="BM5" s="61">
        <f>BL5</f>
        <v>0.04</v>
      </c>
      <c r="BN5" s="61">
        <f>BM5</f>
        <v>0.04</v>
      </c>
      <c r="BO5" s="61"/>
      <c r="BP5" s="61">
        <v>0.36</v>
      </c>
      <c r="BQ5" s="61">
        <f>BP5</f>
        <v>0.36</v>
      </c>
      <c r="BR5" s="61">
        <f>BQ5</f>
        <v>0.36</v>
      </c>
      <c r="BS5" s="61"/>
      <c r="BT5" s="61">
        <v>0.17</v>
      </c>
      <c r="BU5" s="61">
        <f>BT5</f>
        <v>0.17</v>
      </c>
      <c r="BV5" s="61">
        <f>BU5</f>
        <v>0.17</v>
      </c>
      <c r="BW5" s="61"/>
      <c r="BX5" s="8" t="s">
        <v>13</v>
      </c>
    </row>
    <row r="6" spans="1:76" ht="30" customHeight="1">
      <c r="A6" s="97"/>
      <c r="B6" s="94"/>
      <c r="C6" s="99"/>
      <c r="D6" s="4" t="s">
        <v>14</v>
      </c>
      <c r="E6" s="5">
        <f>(288.5+622.5+365)</f>
        <v>1276</v>
      </c>
      <c r="F6" s="37"/>
      <c r="G6" s="37"/>
      <c r="H6" s="37"/>
      <c r="I6" s="37"/>
      <c r="J6" s="37">
        <f>$E6/100*$Y$1*$Y$2*AD6*AU6*(IF($D6="总图",$Y$3,$Y$4))*0.3</f>
        <v>12.8005992576</v>
      </c>
      <c r="K6" s="37">
        <f>$E6/100*$Y$1*$Y$2*AE6*AV6*(IF($D6="总图",$Y$3,$Y$4))*0.3</f>
        <v>1.2800599257599998</v>
      </c>
      <c r="L6" s="37">
        <f>$E6/100*$Y$1*$Y$2*AF6*AW6*(IF($D6="总图",$Y$3,$Y$4))*0.3</f>
        <v>1.6000749072</v>
      </c>
      <c r="M6" s="37"/>
      <c r="N6" s="37"/>
      <c r="O6" s="37"/>
      <c r="P6" s="37"/>
      <c r="Q6" s="37"/>
      <c r="R6" s="37"/>
      <c r="S6" s="37"/>
      <c r="T6" s="37"/>
      <c r="U6" s="37"/>
      <c r="V6" s="20"/>
      <c r="W6" s="19" t="s">
        <v>98</v>
      </c>
      <c r="X6" s="4"/>
      <c r="Z6" s="54">
        <v>0.8</v>
      </c>
      <c r="AA6" s="36">
        <v>0.08</v>
      </c>
      <c r="AB6" s="36">
        <v>0.1</v>
      </c>
      <c r="AC6" s="33"/>
      <c r="AD6" s="37">
        <v>0.8</v>
      </c>
      <c r="AE6" s="36">
        <v>0.08</v>
      </c>
      <c r="AF6" s="36">
        <v>0.1</v>
      </c>
      <c r="AG6" s="33"/>
      <c r="AH6" s="37">
        <v>0.82</v>
      </c>
      <c r="AI6" s="36">
        <v>0.08</v>
      </c>
      <c r="AJ6" s="36">
        <v>0.08</v>
      </c>
      <c r="AK6" s="33"/>
      <c r="AL6" s="37">
        <v>0.82</v>
      </c>
      <c r="AM6" s="36">
        <v>0.08</v>
      </c>
      <c r="AN6" s="36">
        <v>0.08</v>
      </c>
      <c r="AO6" s="28"/>
      <c r="AP6" s="4" t="s">
        <v>14</v>
      </c>
      <c r="AQ6" s="61">
        <f>$BG6*BH6</f>
        <v>0.20039999999999999</v>
      </c>
      <c r="AR6" s="61">
        <f t="shared" si="0"/>
        <v>0.20039999999999999</v>
      </c>
      <c r="AS6" s="61">
        <f t="shared" si="0"/>
        <v>0.20039999999999999</v>
      </c>
      <c r="AT6" s="61"/>
      <c r="AU6" s="61">
        <f>$BG6*BL6</f>
        <v>0.23280000000000001</v>
      </c>
      <c r="AV6" s="61">
        <f t="shared" si="1"/>
        <v>0.23280000000000001</v>
      </c>
      <c r="AW6" s="61">
        <f t="shared" si="1"/>
        <v>0.23280000000000001</v>
      </c>
      <c r="AX6" s="61"/>
      <c r="AY6" s="61">
        <f>$BG6*BP6</f>
        <v>7.8E-2</v>
      </c>
      <c r="AZ6" s="61">
        <f t="shared" si="2"/>
        <v>7.8E-2</v>
      </c>
      <c r="BA6" s="61">
        <f t="shared" si="2"/>
        <v>7.8E-2</v>
      </c>
      <c r="BB6" s="61"/>
      <c r="BC6" s="61">
        <f>$BG6*BT6</f>
        <v>8.8199999999999987E-2</v>
      </c>
      <c r="BD6" s="61">
        <f t="shared" si="3"/>
        <v>8.8199999999999987E-2</v>
      </c>
      <c r="BE6" s="61">
        <f t="shared" si="3"/>
        <v>8.8199999999999987E-2</v>
      </c>
      <c r="BF6" s="61"/>
      <c r="BG6" s="44">
        <v>0.6</v>
      </c>
      <c r="BH6" s="61">
        <v>0.33400000000000002</v>
      </c>
      <c r="BI6" s="61">
        <f t="shared" ref="BI6:BJ6" si="4">BH6</f>
        <v>0.33400000000000002</v>
      </c>
      <c r="BJ6" s="61">
        <f t="shared" si="4"/>
        <v>0.33400000000000002</v>
      </c>
      <c r="BK6" s="61"/>
      <c r="BL6" s="61">
        <v>0.38800000000000001</v>
      </c>
      <c r="BM6" s="61">
        <f t="shared" ref="BM6:BN6" si="5">BL6</f>
        <v>0.38800000000000001</v>
      </c>
      <c r="BN6" s="61">
        <f t="shared" si="5"/>
        <v>0.38800000000000001</v>
      </c>
      <c r="BO6" s="61"/>
      <c r="BP6" s="61">
        <v>0.13</v>
      </c>
      <c r="BQ6" s="61">
        <f t="shared" ref="BQ6:BR6" si="6">BP6</f>
        <v>0.13</v>
      </c>
      <c r="BR6" s="61">
        <f t="shared" si="6"/>
        <v>0.13</v>
      </c>
      <c r="BS6" s="61"/>
      <c r="BT6" s="61">
        <v>0.14699999999999999</v>
      </c>
      <c r="BU6" s="61">
        <f t="shared" ref="BU6:BV6" si="7">BT6</f>
        <v>0.14699999999999999</v>
      </c>
      <c r="BV6" s="61">
        <f t="shared" si="7"/>
        <v>0.14699999999999999</v>
      </c>
      <c r="BW6" s="61"/>
      <c r="BX6" s="4" t="s">
        <v>14</v>
      </c>
    </row>
    <row r="7" spans="1:76" ht="30" customHeight="1">
      <c r="A7" s="97"/>
      <c r="B7" s="95"/>
      <c r="C7" s="99"/>
      <c r="D7" s="3"/>
      <c r="E7" s="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9"/>
      <c r="V7" s="20"/>
      <c r="W7" s="21"/>
      <c r="Z7" s="55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28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</row>
    <row r="8" spans="1:76" ht="30" customHeight="1">
      <c r="A8" s="90">
        <v>2</v>
      </c>
      <c r="B8" s="93" t="s">
        <v>32</v>
      </c>
      <c r="C8" s="93" t="s">
        <v>66</v>
      </c>
      <c r="D8" s="8" t="s">
        <v>13</v>
      </c>
      <c r="E8" s="5">
        <v>0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22"/>
      <c r="W8" s="19"/>
      <c r="Z8" s="54">
        <v>0.8</v>
      </c>
      <c r="AA8" s="36">
        <v>0.08</v>
      </c>
      <c r="AB8" s="36">
        <v>0.1</v>
      </c>
      <c r="AC8" s="33"/>
      <c r="AD8" s="37">
        <v>0.8</v>
      </c>
      <c r="AE8" s="36">
        <v>0.08</v>
      </c>
      <c r="AF8" s="36">
        <v>0.1</v>
      </c>
      <c r="AG8" s="33"/>
      <c r="AH8" s="37">
        <v>0.82</v>
      </c>
      <c r="AI8" s="36">
        <v>0.08</v>
      </c>
      <c r="AJ8" s="36">
        <v>0.08</v>
      </c>
      <c r="AK8" s="33"/>
      <c r="AL8" s="37">
        <v>0.82</v>
      </c>
      <c r="AM8" s="36">
        <v>0.08</v>
      </c>
      <c r="AN8" s="36">
        <v>0.08</v>
      </c>
      <c r="AO8" s="28"/>
      <c r="AP8" s="8" t="s">
        <v>13</v>
      </c>
      <c r="AQ8" s="61">
        <f>$BG8*BH8</f>
        <v>0.30099999999999999</v>
      </c>
      <c r="AR8" s="61">
        <f t="shared" ref="AR8:AS9" si="8">$BG8*BI8</f>
        <v>0.30099999999999999</v>
      </c>
      <c r="AS8" s="61">
        <f t="shared" si="8"/>
        <v>0.30099999999999999</v>
      </c>
      <c r="AT8" s="61"/>
      <c r="AU8" s="61">
        <f>$BG8*BL8</f>
        <v>2.7999999999999997E-2</v>
      </c>
      <c r="AV8" s="61">
        <f t="shared" ref="AV8:AW9" si="9">$BG8*BM8</f>
        <v>2.7999999999999997E-2</v>
      </c>
      <c r="AW8" s="61">
        <f t="shared" si="9"/>
        <v>2.7999999999999997E-2</v>
      </c>
      <c r="AX8" s="61"/>
      <c r="AY8" s="61">
        <f>$BG8*BP8</f>
        <v>0.252</v>
      </c>
      <c r="AZ8" s="61">
        <f t="shared" ref="AZ8:BA9" si="10">$BG8*BQ8</f>
        <v>0.252</v>
      </c>
      <c r="BA8" s="61">
        <f t="shared" si="10"/>
        <v>0.252</v>
      </c>
      <c r="BB8" s="61"/>
      <c r="BC8" s="61">
        <f>$BG8*BT8</f>
        <v>0.11899999999999999</v>
      </c>
      <c r="BD8" s="61">
        <f t="shared" ref="BD8:BE9" si="11">$BG8*BU8</f>
        <v>0.11899999999999999</v>
      </c>
      <c r="BE8" s="61">
        <f t="shared" si="11"/>
        <v>0.11899999999999999</v>
      </c>
      <c r="BF8" s="61"/>
      <c r="BG8" s="44">
        <v>0.7</v>
      </c>
      <c r="BH8" s="61">
        <v>0.43</v>
      </c>
      <c r="BI8" s="61">
        <f t="shared" ref="BI8:BJ9" si="12">BH8</f>
        <v>0.43</v>
      </c>
      <c r="BJ8" s="61">
        <f t="shared" si="12"/>
        <v>0.43</v>
      </c>
      <c r="BK8" s="61"/>
      <c r="BL8" s="61">
        <v>0.04</v>
      </c>
      <c r="BM8" s="61">
        <f t="shared" ref="BM8:BN9" si="13">BL8</f>
        <v>0.04</v>
      </c>
      <c r="BN8" s="61">
        <f t="shared" si="13"/>
        <v>0.04</v>
      </c>
      <c r="BO8" s="61"/>
      <c r="BP8" s="61">
        <v>0.36</v>
      </c>
      <c r="BQ8" s="61">
        <f t="shared" ref="BQ8:BR9" si="14">BP8</f>
        <v>0.36</v>
      </c>
      <c r="BR8" s="61">
        <f t="shared" si="14"/>
        <v>0.36</v>
      </c>
      <c r="BS8" s="61"/>
      <c r="BT8" s="61">
        <v>0.17</v>
      </c>
      <c r="BU8" s="61">
        <f t="shared" ref="BU8:BV9" si="15">BT8</f>
        <v>0.17</v>
      </c>
      <c r="BV8" s="61">
        <f t="shared" si="15"/>
        <v>0.17</v>
      </c>
      <c r="BW8" s="61"/>
      <c r="BX8" s="8" t="s">
        <v>13</v>
      </c>
    </row>
    <row r="9" spans="1:76" s="1" customFormat="1" ht="30" customHeight="1" thickBot="1">
      <c r="A9" s="91"/>
      <c r="B9" s="94"/>
      <c r="C9" s="96"/>
      <c r="D9" s="4" t="s">
        <v>14</v>
      </c>
      <c r="E9" s="5">
        <f>1710.66</f>
        <v>1710.66</v>
      </c>
      <c r="F9" s="37">
        <f>$E9/100*$Y$1*$Y$2*Z9*AQ9*(IF($D9="总图",$Y$3,$Y$4))*0.3</f>
        <v>14.772638448287999</v>
      </c>
      <c r="G9" s="37">
        <f>$E9/100*$Y$1*$Y$2*AA9*AR9*(IF($D9="总图",$Y$3,$Y$4))*0.3</f>
        <v>1.4772638448287998</v>
      </c>
      <c r="H9" s="37">
        <f>$E9/100*$Y$1*$Y$2*AB9*AS9*(IF($D9="总图",$Y$3,$Y$4))*0.3</f>
        <v>1.8465798060359999</v>
      </c>
      <c r="I9" s="37"/>
      <c r="J9" s="37"/>
      <c r="K9" s="37"/>
      <c r="L9" s="37"/>
      <c r="M9" s="37"/>
      <c r="N9" s="37"/>
      <c r="O9" s="37"/>
      <c r="P9" s="37"/>
      <c r="Q9" s="37"/>
      <c r="R9" s="37">
        <f>$E9/100*$Y$1*$Y$2*AL9*BC9*(IF($D9="总图",$Y$3,$Y$4))*0.3</f>
        <v>6.6642733478915979</v>
      </c>
      <c r="S9" s="37">
        <f>$E9/100*$Y$1*$Y$2*AM9*BD9*(IF($D9="总图",$Y$3,$Y$4))*0.3</f>
        <v>0.65017300955039981</v>
      </c>
      <c r="T9" s="37">
        <f>$E9/100*$Y$1*$Y$2*AN9*BE9*(IF($D9="总图",$Y$3,$Y$4))*0.3</f>
        <v>0.65017300955039981</v>
      </c>
      <c r="U9" s="37"/>
      <c r="V9" s="24"/>
      <c r="W9" s="19" t="s">
        <v>98</v>
      </c>
      <c r="Z9" s="56">
        <v>0.8</v>
      </c>
      <c r="AA9" s="57">
        <v>0.08</v>
      </c>
      <c r="AB9" s="57">
        <v>0.1</v>
      </c>
      <c r="AC9" s="58"/>
      <c r="AD9" s="59">
        <v>0.8</v>
      </c>
      <c r="AE9" s="57">
        <v>0.08</v>
      </c>
      <c r="AF9" s="57">
        <v>0.1</v>
      </c>
      <c r="AG9" s="58"/>
      <c r="AH9" s="59">
        <v>0.82</v>
      </c>
      <c r="AI9" s="57">
        <v>0.08</v>
      </c>
      <c r="AJ9" s="57">
        <v>0.08</v>
      </c>
      <c r="AK9" s="58"/>
      <c r="AL9" s="59">
        <v>0.82</v>
      </c>
      <c r="AM9" s="57">
        <v>0.08</v>
      </c>
      <c r="AN9" s="57">
        <v>0.08</v>
      </c>
      <c r="AO9" s="60"/>
      <c r="AP9" s="4" t="s">
        <v>14</v>
      </c>
      <c r="AQ9" s="61">
        <f>$BG9*BH9</f>
        <v>0.20039999999999999</v>
      </c>
      <c r="AR9" s="61">
        <f t="shared" si="8"/>
        <v>0.20039999999999999</v>
      </c>
      <c r="AS9" s="61">
        <f t="shared" si="8"/>
        <v>0.20039999999999999</v>
      </c>
      <c r="AT9" s="61"/>
      <c r="AU9" s="61">
        <f>$BG9*BL9</f>
        <v>0.23280000000000001</v>
      </c>
      <c r="AV9" s="61">
        <f t="shared" si="9"/>
        <v>0.23280000000000001</v>
      </c>
      <c r="AW9" s="61">
        <f t="shared" si="9"/>
        <v>0.23280000000000001</v>
      </c>
      <c r="AX9" s="61"/>
      <c r="AY9" s="61">
        <f>$BG9*BP9</f>
        <v>7.8E-2</v>
      </c>
      <c r="AZ9" s="61">
        <f t="shared" si="10"/>
        <v>7.8E-2</v>
      </c>
      <c r="BA9" s="61">
        <f t="shared" si="10"/>
        <v>7.8E-2</v>
      </c>
      <c r="BB9" s="61"/>
      <c r="BC9" s="61">
        <f>$BG9*BT9</f>
        <v>8.8199999999999987E-2</v>
      </c>
      <c r="BD9" s="61">
        <f t="shared" si="11"/>
        <v>8.8199999999999987E-2</v>
      </c>
      <c r="BE9" s="61">
        <f t="shared" si="11"/>
        <v>8.8199999999999987E-2</v>
      </c>
      <c r="BF9" s="61"/>
      <c r="BG9" s="44">
        <v>0.6</v>
      </c>
      <c r="BH9" s="61">
        <v>0.33400000000000002</v>
      </c>
      <c r="BI9" s="61">
        <f t="shared" si="12"/>
        <v>0.33400000000000002</v>
      </c>
      <c r="BJ9" s="61">
        <f t="shared" si="12"/>
        <v>0.33400000000000002</v>
      </c>
      <c r="BK9" s="61"/>
      <c r="BL9" s="61">
        <v>0.38800000000000001</v>
      </c>
      <c r="BM9" s="61">
        <f t="shared" si="13"/>
        <v>0.38800000000000001</v>
      </c>
      <c r="BN9" s="61">
        <f t="shared" si="13"/>
        <v>0.38800000000000001</v>
      </c>
      <c r="BO9" s="61"/>
      <c r="BP9" s="61">
        <v>0.13</v>
      </c>
      <c r="BQ9" s="61">
        <f t="shared" si="14"/>
        <v>0.13</v>
      </c>
      <c r="BR9" s="61">
        <f t="shared" si="14"/>
        <v>0.13</v>
      </c>
      <c r="BS9" s="61"/>
      <c r="BT9" s="61">
        <v>0.14699999999999999</v>
      </c>
      <c r="BU9" s="61">
        <f t="shared" si="15"/>
        <v>0.14699999999999999</v>
      </c>
      <c r="BV9" s="61">
        <f t="shared" si="15"/>
        <v>0.14699999999999999</v>
      </c>
      <c r="BW9" s="61"/>
      <c r="BX9" s="4" t="s">
        <v>14</v>
      </c>
    </row>
    <row r="10" spans="1:76" s="1" customFormat="1" ht="30" customHeight="1">
      <c r="A10" s="91"/>
      <c r="B10" s="94"/>
      <c r="C10" s="96"/>
      <c r="D10" s="3"/>
      <c r="E10" s="5"/>
      <c r="F10" s="33"/>
      <c r="G10" s="33"/>
      <c r="H10" s="31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9"/>
      <c r="V10" s="24"/>
      <c r="W10" s="25"/>
      <c r="BG10" s="49"/>
    </row>
    <row r="11" spans="1:76" ht="30" customHeight="1">
      <c r="A11" s="92"/>
      <c r="B11" s="95"/>
      <c r="C11" s="95"/>
      <c r="D11" s="8"/>
      <c r="E11" s="5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9"/>
      <c r="V11" s="22"/>
      <c r="W11" s="21"/>
    </row>
    <row r="12" spans="1:76" ht="30" customHeight="1">
      <c r="A12" s="10" t="s">
        <v>11</v>
      </c>
      <c r="B12" s="30"/>
      <c r="C12" s="4"/>
      <c r="D12" s="11" t="s">
        <v>15</v>
      </c>
      <c r="E12" s="35" t="s">
        <v>30</v>
      </c>
      <c r="F12" s="32">
        <f>SUM(F5:H9)*0.09</f>
        <v>1.628683388923752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11"/>
      <c r="V12" s="22"/>
      <c r="W12" s="21"/>
    </row>
    <row r="13" spans="1:76" ht="30" customHeight="1">
      <c r="A13" s="10" t="s">
        <v>11</v>
      </c>
      <c r="B13" s="30"/>
      <c r="C13" s="4"/>
      <c r="D13" s="11" t="s">
        <v>16</v>
      </c>
      <c r="E13" s="35" t="s">
        <v>30</v>
      </c>
      <c r="F13" s="32"/>
      <c r="G13" s="32"/>
      <c r="H13" s="32"/>
      <c r="I13" s="32"/>
      <c r="J13" s="32">
        <f>SUM(J5:L9)*0.09</f>
        <v>1.4112660681503999</v>
      </c>
      <c r="K13" s="32"/>
      <c r="L13" s="32"/>
      <c r="M13" s="32"/>
      <c r="N13" s="33"/>
      <c r="O13" s="33"/>
      <c r="P13" s="33"/>
      <c r="Q13" s="33"/>
      <c r="R13" s="33"/>
      <c r="S13" s="33"/>
      <c r="T13" s="33"/>
      <c r="U13" s="11"/>
      <c r="V13" s="7"/>
      <c r="W13" s="21"/>
    </row>
    <row r="14" spans="1:76" ht="30" customHeight="1">
      <c r="A14" s="10" t="s">
        <v>11</v>
      </c>
      <c r="B14" s="30"/>
      <c r="C14" s="4"/>
      <c r="D14" s="11" t="s">
        <v>17</v>
      </c>
      <c r="E14" s="35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33"/>
      <c r="T14" s="33"/>
      <c r="U14" s="11"/>
      <c r="V14" s="7"/>
      <c r="W14" s="21"/>
    </row>
    <row r="15" spans="1:76" ht="30" customHeight="1">
      <c r="A15" s="10" t="s">
        <v>11</v>
      </c>
      <c r="B15" s="30"/>
      <c r="C15" s="4"/>
      <c r="D15" s="11" t="s">
        <v>18</v>
      </c>
      <c r="E15" s="2" t="s">
        <v>31</v>
      </c>
      <c r="F15" s="12"/>
      <c r="G15" s="12"/>
      <c r="H15" s="12"/>
      <c r="I15" s="12"/>
      <c r="J15" s="12"/>
      <c r="K15" s="12"/>
      <c r="L15" s="12"/>
      <c r="M15" s="7"/>
      <c r="N15" s="7"/>
      <c r="O15" s="7"/>
      <c r="P15" s="11"/>
      <c r="Q15" s="11"/>
      <c r="R15" s="32">
        <f>SUM(R5:T9)*0.09</f>
        <v>0.71681574302931583</v>
      </c>
      <c r="S15" s="12"/>
      <c r="T15" s="12"/>
      <c r="U15" s="12"/>
      <c r="V15" s="7"/>
      <c r="W15" s="21"/>
    </row>
    <row r="16" spans="1:76" ht="30" customHeight="1">
      <c r="A16" s="13" t="s">
        <v>11</v>
      </c>
      <c r="B16" s="6"/>
      <c r="C16" s="4"/>
      <c r="D16" s="11" t="s">
        <v>19</v>
      </c>
      <c r="E16" s="34" t="s">
        <v>30</v>
      </c>
      <c r="F16" s="14"/>
      <c r="G16" s="14"/>
      <c r="H16" s="14"/>
      <c r="I16" s="14"/>
      <c r="J16" s="14">
        <f>SUM(F5:T9)*0.15</f>
        <v>6.2612753335057798</v>
      </c>
      <c r="L16" s="14"/>
      <c r="M16" s="14"/>
      <c r="N16" s="14"/>
      <c r="O16" s="14"/>
      <c r="P16" s="14"/>
      <c r="Q16" s="14"/>
      <c r="R16" s="26"/>
      <c r="S16" s="27"/>
      <c r="T16" s="27"/>
      <c r="U16" s="27"/>
      <c r="V16" s="7"/>
      <c r="W16" s="21"/>
    </row>
    <row r="17" spans="1:23" ht="30" customHeight="1">
      <c r="A17" s="78" t="s">
        <v>20</v>
      </c>
      <c r="B17" s="79"/>
      <c r="C17" s="11"/>
      <c r="D17" s="11"/>
      <c r="E17" s="9"/>
      <c r="F17" s="9">
        <f>SUM(F5:F15)</f>
        <v>16.40132183721175</v>
      </c>
      <c r="G17" s="9">
        <f>SUM(G5:G15)</f>
        <v>1.4772638448287998</v>
      </c>
      <c r="H17" s="9">
        <f>SUM(H5:H15)</f>
        <v>1.8465798060359999</v>
      </c>
      <c r="I17" s="9"/>
      <c r="J17" s="9">
        <f>SUM(J5:J16)</f>
        <v>20.473140659256181</v>
      </c>
      <c r="K17" s="9">
        <f>SUM(K5:K15)</f>
        <v>1.2800599257599998</v>
      </c>
      <c r="L17" s="9">
        <f>SUM(L5:L15)</f>
        <v>1.6000749072</v>
      </c>
      <c r="M17" s="9"/>
      <c r="N17" s="9">
        <f>SUM(N5:N15)</f>
        <v>0</v>
      </c>
      <c r="O17" s="9">
        <f>SUM(O5:O15)</f>
        <v>0</v>
      </c>
      <c r="P17" s="9">
        <f>SUM(P5:P15)</f>
        <v>0</v>
      </c>
      <c r="Q17" s="9"/>
      <c r="R17" s="9">
        <f>SUM(R5:R15)</f>
        <v>7.3810890909209137</v>
      </c>
      <c r="S17" s="9">
        <f>SUM(S5:S15)</f>
        <v>0.65017300955039981</v>
      </c>
      <c r="T17" s="9">
        <f>SUM(T5:T15)</f>
        <v>0.65017300955039981</v>
      </c>
      <c r="U17" s="9"/>
      <c r="V17" s="7"/>
      <c r="W17" s="28"/>
    </row>
    <row r="18" spans="1:23" ht="30" customHeight="1">
      <c r="A18" s="80" t="s">
        <v>21</v>
      </c>
      <c r="B18" s="81"/>
      <c r="C18" s="5">
        <f>SUM(F5:H15)</f>
        <v>19.725165488076552</v>
      </c>
      <c r="D18" s="5"/>
      <c r="E18" s="15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9"/>
    </row>
    <row r="19" spans="1:23" ht="30" customHeight="1">
      <c r="A19" s="80" t="s">
        <v>22</v>
      </c>
      <c r="B19" s="81"/>
      <c r="C19" s="5">
        <f>SUM(J5:L15)</f>
        <v>17.092000158710398</v>
      </c>
      <c r="D19" s="5"/>
      <c r="E19" s="15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9"/>
    </row>
    <row r="20" spans="1:23" ht="30" customHeight="1">
      <c r="A20" s="80" t="s">
        <v>23</v>
      </c>
      <c r="B20" s="81"/>
      <c r="C20" s="5">
        <f>SUM(N5:P15)</f>
        <v>0</v>
      </c>
      <c r="D20" s="5"/>
      <c r="E20" s="15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9"/>
    </row>
    <row r="21" spans="1:23" ht="30" customHeight="1">
      <c r="A21" s="80" t="s">
        <v>24</v>
      </c>
      <c r="B21" s="81"/>
      <c r="C21" s="5">
        <f>SUM(R5:T15)</f>
        <v>8.6814351100217131</v>
      </c>
      <c r="D21" s="5"/>
      <c r="E21" s="15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9"/>
    </row>
    <row r="22" spans="1:23" ht="30" customHeight="1">
      <c r="A22" s="82" t="s">
        <v>38</v>
      </c>
      <c r="B22" s="83"/>
      <c r="C22" s="38">
        <f>J16</f>
        <v>6.2612753335057798</v>
      </c>
      <c r="D22" s="38"/>
      <c r="E22" s="39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1"/>
    </row>
    <row r="23" spans="1:23" ht="30" customHeight="1" thickBot="1">
      <c r="A23" s="84" t="s">
        <v>25</v>
      </c>
      <c r="B23" s="85"/>
      <c r="C23" s="16">
        <f>SUM(C18:C22)</f>
        <v>51.759876090314435</v>
      </c>
      <c r="D23" s="16"/>
      <c r="E23" s="17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7"/>
    </row>
    <row r="26" spans="1:23">
      <c r="A26" s="43"/>
      <c r="C26" s="43"/>
    </row>
    <row r="29" spans="1:23" ht="17.100000000000001" customHeight="1">
      <c r="H29" s="18"/>
    </row>
  </sheetData>
  <mergeCells count="47">
    <mergeCell ref="A1:W1"/>
    <mergeCell ref="Z1:BF1"/>
    <mergeCell ref="A2:A4"/>
    <mergeCell ref="B2:B4"/>
    <mergeCell ref="C2:C4"/>
    <mergeCell ref="D2:D4"/>
    <mergeCell ref="E2:E4"/>
    <mergeCell ref="F2:U2"/>
    <mergeCell ref="V2:V4"/>
    <mergeCell ref="W2:W4"/>
    <mergeCell ref="Z2:AO2"/>
    <mergeCell ref="AQ2:BF2"/>
    <mergeCell ref="BC3:BF3"/>
    <mergeCell ref="BH2:BW2"/>
    <mergeCell ref="F3:I3"/>
    <mergeCell ref="J3:M3"/>
    <mergeCell ref="N3:Q3"/>
    <mergeCell ref="R3:U3"/>
    <mergeCell ref="Z3:AC3"/>
    <mergeCell ref="AD3:AG3"/>
    <mergeCell ref="AH3:AK3"/>
    <mergeCell ref="BL3:BO3"/>
    <mergeCell ref="BP3:BS3"/>
    <mergeCell ref="BT3:BW3"/>
    <mergeCell ref="AU3:AX3"/>
    <mergeCell ref="AY3:BB3"/>
    <mergeCell ref="BH3:BK3"/>
    <mergeCell ref="AL3:AO3"/>
    <mergeCell ref="AQ3:AT3"/>
    <mergeCell ref="A8:A11"/>
    <mergeCell ref="B8:B11"/>
    <mergeCell ref="C8:C11"/>
    <mergeCell ref="A5:A7"/>
    <mergeCell ref="B5:B7"/>
    <mergeCell ref="C5:C7"/>
    <mergeCell ref="A17:B17"/>
    <mergeCell ref="A18:B18"/>
    <mergeCell ref="A22:B22"/>
    <mergeCell ref="A23:B23"/>
    <mergeCell ref="F23:W23"/>
    <mergeCell ref="A19:B19"/>
    <mergeCell ref="F19:W19"/>
    <mergeCell ref="A20:B20"/>
    <mergeCell ref="F20:W20"/>
    <mergeCell ref="A21:B21"/>
    <mergeCell ref="F21:W21"/>
    <mergeCell ref="F18:W18"/>
  </mergeCells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9"/>
  <sheetViews>
    <sheetView zoomScale="70" zoomScaleNormal="70" workbookViewId="0">
      <pane ySplit="4" topLeftCell="A5" activePane="bottomLeft" state="frozen"/>
      <selection pane="bottomLeft" activeCell="O9" sqref="O9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5" width="15.75" customWidth="1"/>
    <col min="6" max="21" width="9.625" customWidth="1"/>
    <col min="22" max="22" width="14.125" hidden="1" customWidth="1"/>
    <col min="23" max="23" width="35.25" customWidth="1"/>
    <col min="24" max="24" width="15.875" customWidth="1"/>
    <col min="59" max="59" width="25.25" style="44" customWidth="1"/>
  </cols>
  <sheetData>
    <row r="1" spans="1:76" ht="30" customHeight="1" thickBot="1">
      <c r="A1" s="109" t="s">
        <v>75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47" t="s">
        <v>44</v>
      </c>
      <c r="Y1" s="48">
        <v>15</v>
      </c>
      <c r="Z1" s="72" t="s">
        <v>48</v>
      </c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H1" s="43" t="s">
        <v>50</v>
      </c>
    </row>
    <row r="2" spans="1:76" ht="30" customHeight="1">
      <c r="A2" s="112" t="s">
        <v>0</v>
      </c>
      <c r="B2" s="114" t="s">
        <v>1</v>
      </c>
      <c r="C2" s="114" t="s">
        <v>2</v>
      </c>
      <c r="D2" s="116" t="s">
        <v>3</v>
      </c>
      <c r="E2" s="105" t="s">
        <v>4</v>
      </c>
      <c r="F2" s="117"/>
      <c r="G2" s="117"/>
      <c r="H2" s="117"/>
      <c r="I2" s="117"/>
      <c r="J2" s="117"/>
      <c r="K2" s="117"/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9" t="s">
        <v>5</v>
      </c>
      <c r="W2" s="120" t="s">
        <v>6</v>
      </c>
      <c r="X2" s="43" t="s">
        <v>41</v>
      </c>
      <c r="Y2">
        <v>1.3</v>
      </c>
      <c r="Z2" s="100" t="s">
        <v>43</v>
      </c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2"/>
      <c r="AQ2" s="100" t="s">
        <v>46</v>
      </c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2"/>
      <c r="BG2" s="50" t="s">
        <v>52</v>
      </c>
      <c r="BH2" s="100" t="s">
        <v>51</v>
      </c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2"/>
    </row>
    <row r="3" spans="1:76" ht="30" customHeight="1">
      <c r="A3" s="113"/>
      <c r="B3" s="114"/>
      <c r="C3" s="114"/>
      <c r="D3" s="116"/>
      <c r="E3" s="105"/>
      <c r="F3" s="103" t="s">
        <v>7</v>
      </c>
      <c r="G3" s="103"/>
      <c r="H3" s="103"/>
      <c r="I3" s="103"/>
      <c r="J3" s="104" t="s">
        <v>8</v>
      </c>
      <c r="K3" s="103"/>
      <c r="L3" s="103"/>
      <c r="M3" s="103"/>
      <c r="N3" s="105" t="s">
        <v>9</v>
      </c>
      <c r="O3" s="105"/>
      <c r="P3" s="105"/>
      <c r="Q3" s="105"/>
      <c r="R3" s="104" t="s">
        <v>10</v>
      </c>
      <c r="S3" s="103"/>
      <c r="T3" s="103"/>
      <c r="U3" s="103"/>
      <c r="V3" s="105"/>
      <c r="W3" s="104"/>
      <c r="X3" s="45" t="s">
        <v>42</v>
      </c>
      <c r="Y3" s="51">
        <v>0.14499999999999999</v>
      </c>
      <c r="Z3" s="106" t="s">
        <v>7</v>
      </c>
      <c r="AA3" s="103"/>
      <c r="AB3" s="103"/>
      <c r="AC3" s="103"/>
      <c r="AD3" s="104" t="s">
        <v>8</v>
      </c>
      <c r="AE3" s="103"/>
      <c r="AF3" s="103"/>
      <c r="AG3" s="103"/>
      <c r="AH3" s="105" t="s">
        <v>9</v>
      </c>
      <c r="AI3" s="105"/>
      <c r="AJ3" s="105"/>
      <c r="AK3" s="105"/>
      <c r="AL3" s="104" t="s">
        <v>10</v>
      </c>
      <c r="AM3" s="103"/>
      <c r="AN3" s="103"/>
      <c r="AO3" s="108"/>
      <c r="AQ3" s="106" t="s">
        <v>7</v>
      </c>
      <c r="AR3" s="103"/>
      <c r="AS3" s="103"/>
      <c r="AT3" s="107"/>
      <c r="AU3" s="104" t="s">
        <v>8</v>
      </c>
      <c r="AV3" s="103"/>
      <c r="AW3" s="103"/>
      <c r="AX3" s="107"/>
      <c r="AY3" s="104" t="s">
        <v>9</v>
      </c>
      <c r="AZ3" s="103"/>
      <c r="BA3" s="103"/>
      <c r="BB3" s="107"/>
      <c r="BC3" s="104" t="s">
        <v>10</v>
      </c>
      <c r="BD3" s="103"/>
      <c r="BE3" s="103"/>
      <c r="BF3" s="108"/>
      <c r="BG3" s="50" t="s">
        <v>49</v>
      </c>
      <c r="BH3" s="106" t="s">
        <v>7</v>
      </c>
      <c r="BI3" s="103"/>
      <c r="BJ3" s="103"/>
      <c r="BK3" s="107"/>
      <c r="BL3" s="104" t="s">
        <v>8</v>
      </c>
      <c r="BM3" s="103"/>
      <c r="BN3" s="103"/>
      <c r="BO3" s="107"/>
      <c r="BP3" s="104" t="s">
        <v>9</v>
      </c>
      <c r="BQ3" s="103"/>
      <c r="BR3" s="103"/>
      <c r="BS3" s="107"/>
      <c r="BT3" s="104" t="s">
        <v>10</v>
      </c>
      <c r="BU3" s="103"/>
      <c r="BV3" s="103"/>
      <c r="BW3" s="108"/>
    </row>
    <row r="4" spans="1:76" ht="30" customHeight="1">
      <c r="A4" s="113"/>
      <c r="B4" s="115"/>
      <c r="C4" s="115"/>
      <c r="D4" s="116"/>
      <c r="E4" s="105"/>
      <c r="F4" s="2"/>
      <c r="G4" s="29"/>
      <c r="H4" s="29"/>
      <c r="I4" s="2" t="s">
        <v>12</v>
      </c>
      <c r="J4" s="35" t="s">
        <v>30</v>
      </c>
      <c r="K4" s="29" t="s">
        <v>35</v>
      </c>
      <c r="L4" s="29" t="s">
        <v>29</v>
      </c>
      <c r="M4" s="2" t="s">
        <v>12</v>
      </c>
      <c r="N4" s="35"/>
      <c r="O4" s="29"/>
      <c r="P4" s="29"/>
      <c r="Q4" s="2" t="s">
        <v>12</v>
      </c>
      <c r="R4" s="2" t="s">
        <v>31</v>
      </c>
      <c r="S4" s="29" t="s">
        <v>63</v>
      </c>
      <c r="T4" s="29" t="s">
        <v>35</v>
      </c>
      <c r="U4" s="2" t="s">
        <v>12</v>
      </c>
      <c r="V4" s="105"/>
      <c r="W4" s="104"/>
      <c r="X4" s="46" t="s">
        <v>47</v>
      </c>
      <c r="Y4" s="52">
        <f>1-Y3</f>
        <v>0.85499999999999998</v>
      </c>
      <c r="Z4" s="42"/>
      <c r="AA4" s="29"/>
      <c r="AB4" s="29"/>
      <c r="AC4" s="2" t="s">
        <v>12</v>
      </c>
      <c r="AD4" s="35"/>
      <c r="AE4" s="29"/>
      <c r="AF4" s="29" t="s">
        <v>45</v>
      </c>
      <c r="AG4" s="2" t="s">
        <v>12</v>
      </c>
      <c r="AH4" s="35" t="s">
        <v>33</v>
      </c>
      <c r="AI4" s="29" t="s">
        <v>34</v>
      </c>
      <c r="AJ4" s="29" t="s">
        <v>36</v>
      </c>
      <c r="AK4" s="2" t="s">
        <v>12</v>
      </c>
      <c r="AL4" s="2" t="s">
        <v>31</v>
      </c>
      <c r="AM4" s="29" t="s">
        <v>35</v>
      </c>
      <c r="AN4" s="29" t="s">
        <v>30</v>
      </c>
      <c r="AO4" s="53" t="s">
        <v>12</v>
      </c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50" t="s">
        <v>49</v>
      </c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</row>
    <row r="5" spans="1:76" ht="30" customHeight="1">
      <c r="A5" s="90">
        <v>1</v>
      </c>
      <c r="B5" s="93" t="s">
        <v>37</v>
      </c>
      <c r="C5" s="98" t="s">
        <v>55</v>
      </c>
      <c r="D5" s="8" t="s">
        <v>13</v>
      </c>
      <c r="E5" s="5">
        <v>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20"/>
      <c r="W5" s="21"/>
      <c r="X5" s="8"/>
      <c r="Z5" s="54">
        <v>0.82</v>
      </c>
      <c r="AA5" s="36">
        <v>0.08</v>
      </c>
      <c r="AB5" s="36">
        <v>0.08</v>
      </c>
      <c r="AC5" s="33"/>
      <c r="AD5" s="37">
        <v>0.8</v>
      </c>
      <c r="AE5" s="36">
        <v>0.08</v>
      </c>
      <c r="AF5" s="36">
        <v>0.1</v>
      </c>
      <c r="AG5" s="33"/>
      <c r="AH5" s="37">
        <v>0.82</v>
      </c>
      <c r="AI5" s="36">
        <v>0.08</v>
      </c>
      <c r="AJ5" s="36">
        <v>0.08</v>
      </c>
      <c r="AK5" s="33"/>
      <c r="AL5" s="37">
        <v>0.82</v>
      </c>
      <c r="AM5" s="36">
        <v>0.08</v>
      </c>
      <c r="AN5" s="36">
        <v>0.08</v>
      </c>
      <c r="AO5" s="28"/>
      <c r="AP5" s="8" t="s">
        <v>13</v>
      </c>
      <c r="AQ5" s="61">
        <f>$BG5*BH5</f>
        <v>0.30099999999999999</v>
      </c>
      <c r="AR5" s="61">
        <f t="shared" ref="AR5:AS6" si="0">$BG5*BI5</f>
        <v>0.30099999999999999</v>
      </c>
      <c r="AS5" s="61">
        <f t="shared" si="0"/>
        <v>0.30099999999999999</v>
      </c>
      <c r="AT5" s="61"/>
      <c r="AU5" s="61">
        <f>$BG5*BL5</f>
        <v>2.7999999999999997E-2</v>
      </c>
      <c r="AV5" s="61">
        <f t="shared" ref="AV5:AV6" si="1">$BG5*BM5</f>
        <v>2.7999999999999997E-2</v>
      </c>
      <c r="AW5" s="61">
        <f t="shared" ref="AW5:AW6" si="2">$BG5*BN5</f>
        <v>2.7999999999999997E-2</v>
      </c>
      <c r="AX5" s="61"/>
      <c r="AY5" s="61">
        <f>$BG5*BP5</f>
        <v>0.252</v>
      </c>
      <c r="AZ5" s="61">
        <f t="shared" ref="AZ5:AZ6" si="3">$BG5*BQ5</f>
        <v>0.252</v>
      </c>
      <c r="BA5" s="61">
        <f t="shared" ref="BA5:BA6" si="4">$BG5*BR5</f>
        <v>0.252</v>
      </c>
      <c r="BB5" s="61"/>
      <c r="BC5" s="61">
        <f>$BG5*BT5</f>
        <v>0.11899999999999999</v>
      </c>
      <c r="BD5" s="61">
        <f t="shared" ref="BD5:BD6" si="5">$BG5*BU5</f>
        <v>0.11899999999999999</v>
      </c>
      <c r="BE5" s="61">
        <f t="shared" ref="BE5:BE6" si="6">$BG5*BV5</f>
        <v>0.11899999999999999</v>
      </c>
      <c r="BF5" s="61"/>
      <c r="BG5" s="44">
        <v>0.7</v>
      </c>
      <c r="BH5" s="61">
        <v>0.43</v>
      </c>
      <c r="BI5" s="61">
        <f>BH5</f>
        <v>0.43</v>
      </c>
      <c r="BJ5" s="61">
        <f>BI5</f>
        <v>0.43</v>
      </c>
      <c r="BK5" s="61"/>
      <c r="BL5" s="61">
        <v>0.04</v>
      </c>
      <c r="BM5" s="61">
        <f>BL5</f>
        <v>0.04</v>
      </c>
      <c r="BN5" s="61">
        <f>BM5</f>
        <v>0.04</v>
      </c>
      <c r="BO5" s="61"/>
      <c r="BP5" s="61">
        <v>0.36</v>
      </c>
      <c r="BQ5" s="61">
        <f>BP5</f>
        <v>0.36</v>
      </c>
      <c r="BR5" s="61">
        <f>BQ5</f>
        <v>0.36</v>
      </c>
      <c r="BS5" s="61"/>
      <c r="BT5" s="61">
        <v>0.17</v>
      </c>
      <c r="BU5" s="61">
        <f>BT5</f>
        <v>0.17</v>
      </c>
      <c r="BV5" s="61">
        <f>BU5</f>
        <v>0.17</v>
      </c>
      <c r="BW5" s="61"/>
      <c r="BX5" s="8" t="s">
        <v>13</v>
      </c>
    </row>
    <row r="6" spans="1:76" ht="45.6" customHeight="1">
      <c r="A6" s="97"/>
      <c r="B6" s="94"/>
      <c r="C6" s="99"/>
      <c r="D6" s="4" t="s">
        <v>14</v>
      </c>
      <c r="E6" s="5">
        <f>(38.8*18+38.8*18+55*18)</f>
        <v>2386.8000000000002</v>
      </c>
      <c r="F6" s="37"/>
      <c r="G6" s="37"/>
      <c r="H6" s="37"/>
      <c r="I6" s="37"/>
      <c r="J6" s="37">
        <f>$E6/100*$Y$1*$Y$2*AD6*AU6*(IF($D6="总图",$Y$3,$Y$4))*0.3</f>
        <v>22.233660658560002</v>
      </c>
      <c r="K6" s="37">
        <f>$E6/100*$Y$1*$Y$2*AE6*AV6*(IF($D6="总图",$Y$3,$Y$4))*0.3</f>
        <v>2.2233660658560002</v>
      </c>
      <c r="L6" s="37">
        <f>$E6/100*$Y$1*$Y$2*AF6*AW6*(IF($D6="总图",$Y$3,$Y$4))*0.3</f>
        <v>2.7792075823200002</v>
      </c>
      <c r="M6" s="37"/>
      <c r="N6" s="37"/>
      <c r="O6" s="37"/>
      <c r="P6" s="37"/>
      <c r="Q6" s="37"/>
      <c r="R6" s="37">
        <f>55*18/100*$Y$1*$Y$2*AL6*BC6*(IF($D6="总图",$Y$3,$Y$4))</f>
        <v>11.937636710999996</v>
      </c>
      <c r="S6" s="37">
        <f>55*18/100*$Y$1*$Y$2*AM6*BD6*(IF($D6="总图",$Y$3,$Y$4))</f>
        <v>1.1646474839999998</v>
      </c>
      <c r="T6" s="37">
        <f>55*18/100*$Y$1*$Y$2*AN6*BE6*(IF($D6="总图",$Y$3,$Y$4))</f>
        <v>1.1646474839999998</v>
      </c>
      <c r="U6" s="37"/>
      <c r="V6" s="20"/>
      <c r="W6" s="19" t="s">
        <v>97</v>
      </c>
      <c r="X6" s="4"/>
      <c r="Z6" s="54">
        <v>0.82</v>
      </c>
      <c r="AA6" s="36">
        <v>0.08</v>
      </c>
      <c r="AB6" s="36">
        <v>0.08</v>
      </c>
      <c r="AC6" s="33"/>
      <c r="AD6" s="37">
        <v>0.8</v>
      </c>
      <c r="AE6" s="36">
        <v>0.08</v>
      </c>
      <c r="AF6" s="36">
        <v>0.1</v>
      </c>
      <c r="AG6" s="33"/>
      <c r="AH6" s="37">
        <v>0.82</v>
      </c>
      <c r="AI6" s="36">
        <v>0.08</v>
      </c>
      <c r="AJ6" s="36">
        <v>0.08</v>
      </c>
      <c r="AK6" s="33"/>
      <c r="AL6" s="37">
        <v>0.82</v>
      </c>
      <c r="AM6" s="36">
        <v>0.08</v>
      </c>
      <c r="AN6" s="36">
        <v>0.08</v>
      </c>
      <c r="AO6" s="28"/>
      <c r="AP6" s="4" t="s">
        <v>14</v>
      </c>
      <c r="AQ6" s="61">
        <f>$BG6*BH6</f>
        <v>0.20039999999999999</v>
      </c>
      <c r="AR6" s="61">
        <f t="shared" si="0"/>
        <v>0.20039999999999999</v>
      </c>
      <c r="AS6" s="61">
        <f t="shared" si="0"/>
        <v>0.20039999999999999</v>
      </c>
      <c r="AT6" s="61"/>
      <c r="AU6" s="61">
        <f>$BG6*BL6</f>
        <v>0.23280000000000001</v>
      </c>
      <c r="AV6" s="61">
        <f t="shared" si="1"/>
        <v>0.23280000000000001</v>
      </c>
      <c r="AW6" s="61">
        <f t="shared" si="2"/>
        <v>0.23280000000000001</v>
      </c>
      <c r="AX6" s="61"/>
      <c r="AY6" s="61">
        <f>$BG6*BP6</f>
        <v>7.8E-2</v>
      </c>
      <c r="AZ6" s="61">
        <f t="shared" si="3"/>
        <v>7.8E-2</v>
      </c>
      <c r="BA6" s="61">
        <f t="shared" si="4"/>
        <v>7.8E-2</v>
      </c>
      <c r="BB6" s="61"/>
      <c r="BC6" s="61">
        <f>$BG6*BT6</f>
        <v>8.8199999999999987E-2</v>
      </c>
      <c r="BD6" s="61">
        <f t="shared" si="5"/>
        <v>8.8199999999999987E-2</v>
      </c>
      <c r="BE6" s="61">
        <f t="shared" si="6"/>
        <v>8.8199999999999987E-2</v>
      </c>
      <c r="BF6" s="61"/>
      <c r="BG6" s="44">
        <v>0.6</v>
      </c>
      <c r="BH6" s="61">
        <v>0.33400000000000002</v>
      </c>
      <c r="BI6" s="61">
        <f t="shared" ref="BI6:BJ6" si="7">BH6</f>
        <v>0.33400000000000002</v>
      </c>
      <c r="BJ6" s="61">
        <f t="shared" si="7"/>
        <v>0.33400000000000002</v>
      </c>
      <c r="BK6" s="61"/>
      <c r="BL6" s="61">
        <v>0.38800000000000001</v>
      </c>
      <c r="BM6" s="61">
        <f t="shared" ref="BM6:BN6" si="8">BL6</f>
        <v>0.38800000000000001</v>
      </c>
      <c r="BN6" s="61">
        <f t="shared" si="8"/>
        <v>0.38800000000000001</v>
      </c>
      <c r="BO6" s="61"/>
      <c r="BP6" s="61">
        <v>0.13</v>
      </c>
      <c r="BQ6" s="61">
        <f t="shared" ref="BQ6:BR6" si="9">BP6</f>
        <v>0.13</v>
      </c>
      <c r="BR6" s="61">
        <f t="shared" si="9"/>
        <v>0.13</v>
      </c>
      <c r="BS6" s="61"/>
      <c r="BT6" s="61">
        <v>0.14699999999999999</v>
      </c>
      <c r="BU6" s="61">
        <f t="shared" ref="BU6:BV6" si="10">BT6</f>
        <v>0.14699999999999999</v>
      </c>
      <c r="BV6" s="61">
        <f t="shared" si="10"/>
        <v>0.14699999999999999</v>
      </c>
      <c r="BW6" s="61"/>
      <c r="BX6" s="4" t="s">
        <v>14</v>
      </c>
    </row>
    <row r="7" spans="1:76" ht="30" customHeight="1">
      <c r="A7" s="97"/>
      <c r="B7" s="95"/>
      <c r="C7" s="99"/>
      <c r="D7" s="3"/>
      <c r="E7" s="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9"/>
      <c r="V7" s="20"/>
      <c r="W7" s="21"/>
      <c r="Z7" s="55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28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</row>
    <row r="8" spans="1:76" ht="30" customHeight="1">
      <c r="A8" s="90"/>
      <c r="B8" s="93"/>
      <c r="C8" s="93"/>
      <c r="D8" s="8"/>
      <c r="E8" s="5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22"/>
      <c r="W8" s="23"/>
      <c r="Z8" s="54">
        <v>0.82</v>
      </c>
      <c r="AA8" s="36">
        <v>0.08</v>
      </c>
      <c r="AB8" s="36">
        <v>0.08</v>
      </c>
      <c r="AC8" s="33"/>
      <c r="AD8" s="37">
        <v>0.8</v>
      </c>
      <c r="AE8" s="36">
        <v>0.08</v>
      </c>
      <c r="AF8" s="36">
        <v>0.1</v>
      </c>
      <c r="AG8" s="33"/>
      <c r="AH8" s="37">
        <v>0.82</v>
      </c>
      <c r="AI8" s="36">
        <v>0.08</v>
      </c>
      <c r="AJ8" s="36">
        <v>0.08</v>
      </c>
      <c r="AK8" s="33"/>
      <c r="AL8" s="37">
        <v>0.82</v>
      </c>
      <c r="AM8" s="36">
        <v>0.08</v>
      </c>
      <c r="AN8" s="36">
        <v>0.08</v>
      </c>
      <c r="AO8" s="28"/>
      <c r="AP8" s="8" t="s">
        <v>13</v>
      </c>
      <c r="AQ8" s="61">
        <f>$BG8*BH8</f>
        <v>0.30099999999999999</v>
      </c>
      <c r="AR8" s="61">
        <f t="shared" ref="AR8:AR9" si="11">$BG8*BI8</f>
        <v>0.30099999999999999</v>
      </c>
      <c r="AS8" s="61">
        <f t="shared" ref="AS8:AS9" si="12">$BG8*BJ8</f>
        <v>0.30099999999999999</v>
      </c>
      <c r="AT8" s="61"/>
      <c r="AU8" s="61">
        <f>$BG8*BL8</f>
        <v>2.7999999999999997E-2</v>
      </c>
      <c r="AV8" s="61">
        <f t="shared" ref="AV8:AV9" si="13">$BG8*BM8</f>
        <v>2.7999999999999997E-2</v>
      </c>
      <c r="AW8" s="61">
        <f t="shared" ref="AW8:AW9" si="14">$BG8*BN8</f>
        <v>2.7999999999999997E-2</v>
      </c>
      <c r="AX8" s="61"/>
      <c r="AY8" s="61">
        <f>$BG8*BP8</f>
        <v>0.252</v>
      </c>
      <c r="AZ8" s="61">
        <f t="shared" ref="AZ8:AZ9" si="15">$BG8*BQ8</f>
        <v>0.252</v>
      </c>
      <c r="BA8" s="61">
        <f t="shared" ref="BA8:BA9" si="16">$BG8*BR8</f>
        <v>0.252</v>
      </c>
      <c r="BB8" s="61"/>
      <c r="BC8" s="61">
        <f>$BG8*BT8</f>
        <v>0.11899999999999999</v>
      </c>
      <c r="BD8" s="61">
        <f t="shared" ref="BD8:BD9" si="17">$BG8*BU8</f>
        <v>0.11899999999999999</v>
      </c>
      <c r="BE8" s="61">
        <f t="shared" ref="BE8:BE9" si="18">$BG8*BV8</f>
        <v>0.11899999999999999</v>
      </c>
      <c r="BF8" s="61"/>
      <c r="BG8" s="44">
        <v>0.7</v>
      </c>
      <c r="BH8" s="61">
        <v>0.43</v>
      </c>
      <c r="BI8" s="61">
        <f t="shared" ref="BI8:BJ8" si="19">BH8</f>
        <v>0.43</v>
      </c>
      <c r="BJ8" s="61">
        <f t="shared" si="19"/>
        <v>0.43</v>
      </c>
      <c r="BK8" s="61"/>
      <c r="BL8" s="61">
        <v>0.04</v>
      </c>
      <c r="BM8" s="61">
        <f t="shared" ref="BM8:BN8" si="20">BL8</f>
        <v>0.04</v>
      </c>
      <c r="BN8" s="61">
        <f t="shared" si="20"/>
        <v>0.04</v>
      </c>
      <c r="BO8" s="61"/>
      <c r="BP8" s="61">
        <v>0.36</v>
      </c>
      <c r="BQ8" s="61">
        <f t="shared" ref="BQ8:BR8" si="21">BP8</f>
        <v>0.36</v>
      </c>
      <c r="BR8" s="61">
        <f t="shared" si="21"/>
        <v>0.36</v>
      </c>
      <c r="BS8" s="61"/>
      <c r="BT8" s="61">
        <v>0.17</v>
      </c>
      <c r="BU8" s="61">
        <f t="shared" ref="BU8:BV8" si="22">BT8</f>
        <v>0.17</v>
      </c>
      <c r="BV8" s="61">
        <f t="shared" si="22"/>
        <v>0.17</v>
      </c>
      <c r="BW8" s="61"/>
      <c r="BX8" s="8" t="s">
        <v>13</v>
      </c>
    </row>
    <row r="9" spans="1:76" s="1" customFormat="1" ht="30" customHeight="1" thickBot="1">
      <c r="A9" s="91"/>
      <c r="B9" s="94"/>
      <c r="C9" s="96"/>
      <c r="D9" s="4"/>
      <c r="E9" s="5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24"/>
      <c r="W9" s="23"/>
      <c r="Z9" s="54">
        <v>0.82</v>
      </c>
      <c r="AA9" s="57">
        <v>0.08</v>
      </c>
      <c r="AB9" s="57">
        <v>0.08</v>
      </c>
      <c r="AC9" s="58"/>
      <c r="AD9" s="59">
        <v>0.8</v>
      </c>
      <c r="AE9" s="57">
        <v>0.08</v>
      </c>
      <c r="AF9" s="57">
        <v>0.1</v>
      </c>
      <c r="AG9" s="58"/>
      <c r="AH9" s="59">
        <v>0.82</v>
      </c>
      <c r="AI9" s="57">
        <v>0.08</v>
      </c>
      <c r="AJ9" s="57">
        <v>0.08</v>
      </c>
      <c r="AK9" s="58"/>
      <c r="AL9" s="37">
        <v>0.82</v>
      </c>
      <c r="AM9" s="57">
        <v>0.08</v>
      </c>
      <c r="AN9" s="57">
        <v>0.08</v>
      </c>
      <c r="AO9" s="60"/>
      <c r="AP9" s="4" t="s">
        <v>14</v>
      </c>
      <c r="AQ9" s="61">
        <f>$BG9*BH9</f>
        <v>0.20039999999999999</v>
      </c>
      <c r="AR9" s="61">
        <f t="shared" si="11"/>
        <v>0.20039999999999999</v>
      </c>
      <c r="AS9" s="61">
        <f t="shared" si="12"/>
        <v>0.20039999999999999</v>
      </c>
      <c r="AT9" s="61"/>
      <c r="AU9" s="61">
        <f>$BG9*BL9</f>
        <v>0.23280000000000001</v>
      </c>
      <c r="AV9" s="61">
        <f t="shared" si="13"/>
        <v>0.23280000000000001</v>
      </c>
      <c r="AW9" s="61">
        <f t="shared" si="14"/>
        <v>0.23280000000000001</v>
      </c>
      <c r="AX9" s="61"/>
      <c r="AY9" s="61">
        <f>$BG9*BP9</f>
        <v>7.8E-2</v>
      </c>
      <c r="AZ9" s="61">
        <f t="shared" si="15"/>
        <v>7.8E-2</v>
      </c>
      <c r="BA9" s="61">
        <f t="shared" si="16"/>
        <v>7.8E-2</v>
      </c>
      <c r="BB9" s="61"/>
      <c r="BC9" s="61">
        <f>$BG9*BT9</f>
        <v>8.8199999999999987E-2</v>
      </c>
      <c r="BD9" s="61">
        <f t="shared" si="17"/>
        <v>8.8199999999999987E-2</v>
      </c>
      <c r="BE9" s="61">
        <f t="shared" si="18"/>
        <v>8.8199999999999987E-2</v>
      </c>
      <c r="BF9" s="61"/>
      <c r="BG9" s="44">
        <v>0.6</v>
      </c>
      <c r="BH9" s="61">
        <v>0.33400000000000002</v>
      </c>
      <c r="BI9" s="61">
        <f t="shared" ref="BI9:BJ9" si="23">BH9</f>
        <v>0.33400000000000002</v>
      </c>
      <c r="BJ9" s="61">
        <f t="shared" si="23"/>
        <v>0.33400000000000002</v>
      </c>
      <c r="BK9" s="61"/>
      <c r="BL9" s="61">
        <v>0.38800000000000001</v>
      </c>
      <c r="BM9" s="61">
        <f t="shared" ref="BM9:BN9" si="24">BL9</f>
        <v>0.38800000000000001</v>
      </c>
      <c r="BN9" s="61">
        <f t="shared" si="24"/>
        <v>0.38800000000000001</v>
      </c>
      <c r="BO9" s="61"/>
      <c r="BP9" s="61">
        <v>0.13</v>
      </c>
      <c r="BQ9" s="61">
        <f t="shared" ref="BQ9:BR9" si="25">BP9</f>
        <v>0.13</v>
      </c>
      <c r="BR9" s="61">
        <f t="shared" si="25"/>
        <v>0.13</v>
      </c>
      <c r="BS9" s="61"/>
      <c r="BT9" s="61">
        <v>0.14699999999999999</v>
      </c>
      <c r="BU9" s="61">
        <f t="shared" ref="BU9:BV9" si="26">BT9</f>
        <v>0.14699999999999999</v>
      </c>
      <c r="BV9" s="61">
        <f t="shared" si="26"/>
        <v>0.14699999999999999</v>
      </c>
      <c r="BW9" s="61"/>
      <c r="BX9" s="4" t="s">
        <v>14</v>
      </c>
    </row>
    <row r="10" spans="1:76" s="1" customFormat="1" ht="30" customHeight="1">
      <c r="A10" s="91"/>
      <c r="B10" s="94"/>
      <c r="C10" s="96"/>
      <c r="D10" s="3"/>
      <c r="E10" s="5"/>
      <c r="F10" s="33"/>
      <c r="G10" s="33"/>
      <c r="H10" s="31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9"/>
      <c r="V10" s="24"/>
      <c r="W10" s="25"/>
      <c r="BG10" s="49"/>
    </row>
    <row r="11" spans="1:76" ht="30" customHeight="1">
      <c r="A11" s="92"/>
      <c r="B11" s="95"/>
      <c r="C11" s="95"/>
      <c r="D11" s="8"/>
      <c r="E11" s="5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9"/>
      <c r="V11" s="22"/>
      <c r="W11" s="21"/>
    </row>
    <row r="12" spans="1:76" ht="30" customHeight="1">
      <c r="A12" s="10" t="s">
        <v>11</v>
      </c>
      <c r="B12" s="30"/>
      <c r="C12" s="4"/>
      <c r="D12" s="11" t="s">
        <v>15</v>
      </c>
      <c r="E12" s="2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11"/>
      <c r="V12" s="22"/>
      <c r="W12" s="21"/>
    </row>
    <row r="13" spans="1:76" ht="30" customHeight="1">
      <c r="A13" s="10" t="s">
        <v>11</v>
      </c>
      <c r="B13" s="30"/>
      <c r="C13" s="4"/>
      <c r="D13" s="11" t="s">
        <v>16</v>
      </c>
      <c r="E13" s="35" t="s">
        <v>30</v>
      </c>
      <c r="F13" s="32"/>
      <c r="G13" s="32"/>
      <c r="H13" s="32"/>
      <c r="I13" s="32"/>
      <c r="J13" s="32">
        <f>SUM(J5:L9)*0.09</f>
        <v>2.4512610876062402</v>
      </c>
      <c r="K13" s="32"/>
      <c r="L13" s="32"/>
      <c r="M13" s="32"/>
      <c r="N13" s="33"/>
      <c r="O13" s="33"/>
      <c r="P13" s="33"/>
      <c r="Q13" s="33"/>
      <c r="R13" s="33"/>
      <c r="S13" s="33"/>
      <c r="T13" s="33"/>
      <c r="U13" s="11"/>
      <c r="V13" s="7"/>
      <c r="W13" s="21"/>
    </row>
    <row r="14" spans="1:76" ht="30" customHeight="1">
      <c r="A14" s="10" t="s">
        <v>11</v>
      </c>
      <c r="B14" s="30"/>
      <c r="C14" s="4"/>
      <c r="D14" s="11" t="s">
        <v>17</v>
      </c>
      <c r="E14" s="35"/>
      <c r="F14" s="32"/>
      <c r="G14" s="32"/>
      <c r="H14" s="32"/>
      <c r="I14" s="32"/>
      <c r="J14" s="32"/>
      <c r="K14" s="32"/>
      <c r="L14" s="32"/>
      <c r="M14" s="32"/>
      <c r="N14" s="32">
        <f>SUM(N5:P9)*0.09</f>
        <v>0</v>
      </c>
      <c r="O14" s="32"/>
      <c r="P14" s="32"/>
      <c r="Q14" s="32"/>
      <c r="R14" s="33"/>
      <c r="S14" s="33"/>
      <c r="T14" s="33"/>
      <c r="U14" s="11"/>
      <c r="V14" s="7"/>
      <c r="W14" s="21"/>
    </row>
    <row r="15" spans="1:76" ht="30" customHeight="1">
      <c r="A15" s="10" t="s">
        <v>11</v>
      </c>
      <c r="B15" s="30"/>
      <c r="C15" s="4"/>
      <c r="D15" s="11" t="s">
        <v>18</v>
      </c>
      <c r="E15" s="2" t="s">
        <v>31</v>
      </c>
      <c r="F15" s="12"/>
      <c r="G15" s="12"/>
      <c r="H15" s="12"/>
      <c r="I15" s="12"/>
      <c r="J15" s="12"/>
      <c r="K15" s="12"/>
      <c r="L15" s="12"/>
      <c r="M15" s="7"/>
      <c r="N15" s="7"/>
      <c r="O15" s="7"/>
      <c r="P15" s="11"/>
      <c r="Q15" s="11"/>
      <c r="R15" s="32">
        <f>SUM(R5:T6)*0.09</f>
        <v>1.2840238511099995</v>
      </c>
      <c r="S15" s="12"/>
      <c r="T15" s="12"/>
      <c r="U15" s="12"/>
      <c r="V15" s="7"/>
      <c r="W15" s="21"/>
    </row>
    <row r="16" spans="1:76" ht="30" customHeight="1">
      <c r="A16" s="13" t="s">
        <v>11</v>
      </c>
      <c r="B16" s="6"/>
      <c r="C16" s="4"/>
      <c r="D16" s="11" t="s">
        <v>19</v>
      </c>
      <c r="E16" s="34" t="s">
        <v>30</v>
      </c>
      <c r="F16" s="14"/>
      <c r="G16" s="14"/>
      <c r="H16" s="14"/>
      <c r="I16" s="14"/>
      <c r="J16" s="14">
        <f>SUM(F5:T9)*0.15</f>
        <v>6.2254748978604004</v>
      </c>
      <c r="L16" s="14"/>
      <c r="M16" s="14"/>
      <c r="N16" s="14"/>
      <c r="O16" s="14"/>
      <c r="P16" s="14"/>
      <c r="Q16" s="14"/>
      <c r="R16" s="26"/>
      <c r="S16" s="27"/>
      <c r="T16" s="27"/>
      <c r="U16" s="27"/>
      <c r="V16" s="7"/>
      <c r="W16" s="21"/>
    </row>
    <row r="17" spans="1:23" ht="30" customHeight="1">
      <c r="A17" s="78" t="s">
        <v>20</v>
      </c>
      <c r="B17" s="79"/>
      <c r="C17" s="11"/>
      <c r="D17" s="11"/>
      <c r="E17" s="9"/>
      <c r="F17" s="9">
        <f>SUM(F5:F15)</f>
        <v>0</v>
      </c>
      <c r="G17" s="9">
        <f>SUM(G5:G15)</f>
        <v>0</v>
      </c>
      <c r="H17" s="9">
        <f>SUM(H5:H15)</f>
        <v>0</v>
      </c>
      <c r="I17" s="9"/>
      <c r="J17" s="9">
        <f>SUM(J5:J16)</f>
        <v>30.910396644026644</v>
      </c>
      <c r="K17" s="9">
        <f>SUM(K5:K15)</f>
        <v>2.2233660658560002</v>
      </c>
      <c r="L17" s="9">
        <f>SUM(L5:L15)</f>
        <v>2.7792075823200002</v>
      </c>
      <c r="M17" s="9"/>
      <c r="N17" s="9">
        <f>SUM(N5:N15)</f>
        <v>0</v>
      </c>
      <c r="O17" s="9">
        <f>SUM(O5:O15)</f>
        <v>0</v>
      </c>
      <c r="P17" s="9">
        <f>SUM(P5:P15)</f>
        <v>0</v>
      </c>
      <c r="Q17" s="9"/>
      <c r="R17" s="9">
        <f>SUM(R5:R15)</f>
        <v>13.221660562109996</v>
      </c>
      <c r="S17" s="9">
        <f>SUM(S5:S15)</f>
        <v>1.1646474839999998</v>
      </c>
      <c r="T17" s="9">
        <f>SUM(T5:T15)</f>
        <v>1.1646474839999998</v>
      </c>
      <c r="U17" s="9"/>
      <c r="V17" s="7"/>
      <c r="W17" s="28"/>
    </row>
    <row r="18" spans="1:23" ht="30" customHeight="1">
      <c r="A18" s="80" t="s">
        <v>21</v>
      </c>
      <c r="B18" s="81"/>
      <c r="C18" s="5">
        <f>SUM(F5:H15)</f>
        <v>0</v>
      </c>
      <c r="D18" s="5"/>
      <c r="E18" s="15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9"/>
    </row>
    <row r="19" spans="1:23" ht="30" customHeight="1">
      <c r="A19" s="80" t="s">
        <v>22</v>
      </c>
      <c r="B19" s="81"/>
      <c r="C19" s="5">
        <f>SUM(J5:L15)</f>
        <v>29.687495394342246</v>
      </c>
      <c r="D19" s="5"/>
      <c r="E19" s="15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9"/>
    </row>
    <row r="20" spans="1:23" ht="30" customHeight="1">
      <c r="A20" s="80" t="s">
        <v>23</v>
      </c>
      <c r="B20" s="81"/>
      <c r="C20" s="5">
        <f>SUM(N5:P15)</f>
        <v>0</v>
      </c>
      <c r="D20" s="5"/>
      <c r="E20" s="15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9"/>
    </row>
    <row r="21" spans="1:23" ht="30" customHeight="1">
      <c r="A21" s="80" t="s">
        <v>24</v>
      </c>
      <c r="B21" s="81"/>
      <c r="C21" s="5">
        <f>SUM(R5:T15)</f>
        <v>15.550955530109995</v>
      </c>
      <c r="D21" s="5"/>
      <c r="E21" s="15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9"/>
    </row>
    <row r="22" spans="1:23" ht="30" customHeight="1">
      <c r="A22" s="82" t="s">
        <v>38</v>
      </c>
      <c r="B22" s="83"/>
      <c r="C22" s="38">
        <f>J16</f>
        <v>6.2254748978604004</v>
      </c>
      <c r="D22" s="38"/>
      <c r="E22" s="39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1"/>
    </row>
    <row r="23" spans="1:23" ht="30" customHeight="1" thickBot="1">
      <c r="A23" s="84" t="s">
        <v>25</v>
      </c>
      <c r="B23" s="85"/>
      <c r="C23" s="16">
        <f>SUM(C18:C22)</f>
        <v>51.463925822312639</v>
      </c>
      <c r="D23" s="16"/>
      <c r="E23" s="17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7"/>
    </row>
    <row r="26" spans="1:23">
      <c r="A26" s="43"/>
      <c r="C26" s="43"/>
    </row>
    <row r="29" spans="1:23" ht="17.100000000000001" customHeight="1">
      <c r="H29" s="18"/>
    </row>
  </sheetData>
  <mergeCells count="47">
    <mergeCell ref="Z1:BF1"/>
    <mergeCell ref="BH2:BW2"/>
    <mergeCell ref="BH3:BK3"/>
    <mergeCell ref="BL3:BO3"/>
    <mergeCell ref="BP3:BS3"/>
    <mergeCell ref="BT3:BW3"/>
    <mergeCell ref="AQ2:BF2"/>
    <mergeCell ref="AQ3:AT3"/>
    <mergeCell ref="AU3:AX3"/>
    <mergeCell ref="AY3:BB3"/>
    <mergeCell ref="BC3:BF3"/>
    <mergeCell ref="Z3:AC3"/>
    <mergeCell ref="AD3:AG3"/>
    <mergeCell ref="AH3:AK3"/>
    <mergeCell ref="AL3:AO3"/>
    <mergeCell ref="Z2:AO2"/>
    <mergeCell ref="A1:W1"/>
    <mergeCell ref="F2:U2"/>
    <mergeCell ref="F3:I3"/>
    <mergeCell ref="J3:M3"/>
    <mergeCell ref="N3:Q3"/>
    <mergeCell ref="R3:U3"/>
    <mergeCell ref="A2:A4"/>
    <mergeCell ref="C2:C4"/>
    <mergeCell ref="D2:D4"/>
    <mergeCell ref="E2:E4"/>
    <mergeCell ref="V2:V4"/>
    <mergeCell ref="W2:W4"/>
    <mergeCell ref="B2:B4"/>
    <mergeCell ref="A23:B23"/>
    <mergeCell ref="F23:W23"/>
    <mergeCell ref="A22:B22"/>
    <mergeCell ref="F18:W18"/>
    <mergeCell ref="A19:B19"/>
    <mergeCell ref="F19:W19"/>
    <mergeCell ref="A20:B20"/>
    <mergeCell ref="A17:B17"/>
    <mergeCell ref="A18:B18"/>
    <mergeCell ref="F20:W20"/>
    <mergeCell ref="A21:B21"/>
    <mergeCell ref="F21:W21"/>
    <mergeCell ref="C5:C7"/>
    <mergeCell ref="C8:C11"/>
    <mergeCell ref="A5:A7"/>
    <mergeCell ref="A8:A11"/>
    <mergeCell ref="B5:B7"/>
    <mergeCell ref="B8:B11"/>
  </mergeCells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B9A1-D323-435B-BFB7-41882675B2C6}">
  <dimension ref="A1:BY32"/>
  <sheetViews>
    <sheetView zoomScale="70" zoomScaleNormal="70" workbookViewId="0">
      <pane ySplit="4" topLeftCell="A5" activePane="bottomLeft" state="frozen"/>
      <selection pane="bottomLeft" activeCell="E10" sqref="E10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5" width="15.75" customWidth="1"/>
    <col min="6" max="21" width="9.625" customWidth="1"/>
    <col min="22" max="22" width="14.125" hidden="1" customWidth="1"/>
    <col min="23" max="23" width="35.25" customWidth="1"/>
    <col min="24" max="24" width="15.875" customWidth="1"/>
    <col min="59" max="59" width="25.25" style="44" customWidth="1"/>
  </cols>
  <sheetData>
    <row r="1" spans="1:77" ht="30" customHeight="1" thickBot="1">
      <c r="A1" s="109" t="s">
        <v>76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47" t="s">
        <v>44</v>
      </c>
      <c r="Y1" s="48">
        <v>15</v>
      </c>
      <c r="Z1" s="72" t="s">
        <v>48</v>
      </c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H1" s="43" t="s">
        <v>50</v>
      </c>
    </row>
    <row r="2" spans="1:77" ht="30" customHeight="1">
      <c r="A2" s="112" t="s">
        <v>0</v>
      </c>
      <c r="B2" s="114" t="s">
        <v>1</v>
      </c>
      <c r="C2" s="114" t="s">
        <v>2</v>
      </c>
      <c r="D2" s="116" t="s">
        <v>3</v>
      </c>
      <c r="E2" s="105" t="s">
        <v>4</v>
      </c>
      <c r="F2" s="117"/>
      <c r="G2" s="117"/>
      <c r="H2" s="117"/>
      <c r="I2" s="117"/>
      <c r="J2" s="117"/>
      <c r="K2" s="117"/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9" t="s">
        <v>5</v>
      </c>
      <c r="W2" s="120" t="s">
        <v>6</v>
      </c>
      <c r="X2" s="43" t="s">
        <v>41</v>
      </c>
      <c r="Y2">
        <v>1.3</v>
      </c>
      <c r="Z2" s="100" t="s">
        <v>43</v>
      </c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2"/>
      <c r="AQ2" s="100" t="s">
        <v>46</v>
      </c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2"/>
      <c r="BG2" s="50" t="s">
        <v>52</v>
      </c>
      <c r="BH2" s="100" t="s">
        <v>51</v>
      </c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2"/>
    </row>
    <row r="3" spans="1:77" ht="30" customHeight="1">
      <c r="A3" s="113"/>
      <c r="B3" s="114"/>
      <c r="C3" s="114"/>
      <c r="D3" s="116"/>
      <c r="E3" s="105"/>
      <c r="F3" s="103" t="s">
        <v>7</v>
      </c>
      <c r="G3" s="103"/>
      <c r="H3" s="103"/>
      <c r="I3" s="103"/>
      <c r="J3" s="104" t="s">
        <v>8</v>
      </c>
      <c r="K3" s="103"/>
      <c r="L3" s="103"/>
      <c r="M3" s="103"/>
      <c r="N3" s="105" t="s">
        <v>9</v>
      </c>
      <c r="O3" s="105"/>
      <c r="P3" s="105"/>
      <c r="Q3" s="105"/>
      <c r="R3" s="104" t="s">
        <v>10</v>
      </c>
      <c r="S3" s="103"/>
      <c r="T3" s="103"/>
      <c r="U3" s="103"/>
      <c r="V3" s="105"/>
      <c r="W3" s="104"/>
      <c r="X3" s="45" t="s">
        <v>42</v>
      </c>
      <c r="Y3" s="51">
        <v>0.14499999999999999</v>
      </c>
      <c r="Z3" s="106" t="s">
        <v>7</v>
      </c>
      <c r="AA3" s="103"/>
      <c r="AB3" s="103"/>
      <c r="AC3" s="103"/>
      <c r="AD3" s="104" t="s">
        <v>8</v>
      </c>
      <c r="AE3" s="103"/>
      <c r="AF3" s="103"/>
      <c r="AG3" s="103"/>
      <c r="AH3" s="105" t="s">
        <v>9</v>
      </c>
      <c r="AI3" s="105"/>
      <c r="AJ3" s="105"/>
      <c r="AK3" s="105"/>
      <c r="AL3" s="104" t="s">
        <v>10</v>
      </c>
      <c r="AM3" s="103"/>
      <c r="AN3" s="103"/>
      <c r="AO3" s="108"/>
      <c r="AQ3" s="106" t="s">
        <v>7</v>
      </c>
      <c r="AR3" s="103"/>
      <c r="AS3" s="103"/>
      <c r="AT3" s="107"/>
      <c r="AU3" s="104" t="s">
        <v>8</v>
      </c>
      <c r="AV3" s="103"/>
      <c r="AW3" s="103"/>
      <c r="AX3" s="107"/>
      <c r="AY3" s="104" t="s">
        <v>9</v>
      </c>
      <c r="AZ3" s="103"/>
      <c r="BA3" s="103"/>
      <c r="BB3" s="107"/>
      <c r="BC3" s="104" t="s">
        <v>10</v>
      </c>
      <c r="BD3" s="103"/>
      <c r="BE3" s="103"/>
      <c r="BF3" s="108"/>
      <c r="BG3" s="50" t="s">
        <v>49</v>
      </c>
      <c r="BH3" s="106" t="s">
        <v>7</v>
      </c>
      <c r="BI3" s="103"/>
      <c r="BJ3" s="103"/>
      <c r="BK3" s="107"/>
      <c r="BL3" s="104" t="s">
        <v>8</v>
      </c>
      <c r="BM3" s="103"/>
      <c r="BN3" s="103"/>
      <c r="BO3" s="107"/>
      <c r="BP3" s="104" t="s">
        <v>9</v>
      </c>
      <c r="BQ3" s="103"/>
      <c r="BR3" s="103"/>
      <c r="BS3" s="107"/>
      <c r="BT3" s="104" t="s">
        <v>10</v>
      </c>
      <c r="BU3" s="103"/>
      <c r="BV3" s="103"/>
      <c r="BW3" s="108"/>
    </row>
    <row r="4" spans="1:77" ht="30" customHeight="1">
      <c r="A4" s="113"/>
      <c r="B4" s="115"/>
      <c r="C4" s="115"/>
      <c r="D4" s="116"/>
      <c r="E4" s="105"/>
      <c r="F4" s="2" t="s">
        <v>27</v>
      </c>
      <c r="G4" s="29" t="s">
        <v>26</v>
      </c>
      <c r="H4" s="29" t="s">
        <v>28</v>
      </c>
      <c r="I4" s="2" t="s">
        <v>12</v>
      </c>
      <c r="J4" s="29" t="s">
        <v>29</v>
      </c>
      <c r="K4" s="29" t="s">
        <v>30</v>
      </c>
      <c r="L4" s="29" t="s">
        <v>65</v>
      </c>
      <c r="M4" s="2" t="s">
        <v>12</v>
      </c>
      <c r="N4" s="35" t="s">
        <v>33</v>
      </c>
      <c r="O4" s="29" t="s">
        <v>34</v>
      </c>
      <c r="P4" s="29" t="s">
        <v>36</v>
      </c>
      <c r="Q4" s="2" t="s">
        <v>12</v>
      </c>
      <c r="R4" s="2" t="s">
        <v>31</v>
      </c>
      <c r="S4" s="29" t="s">
        <v>63</v>
      </c>
      <c r="T4" s="29" t="s">
        <v>35</v>
      </c>
      <c r="U4" s="2" t="s">
        <v>12</v>
      </c>
      <c r="V4" s="105"/>
      <c r="W4" s="104"/>
      <c r="X4" s="46" t="s">
        <v>47</v>
      </c>
      <c r="Y4" s="52">
        <f>1-Y3</f>
        <v>0.85499999999999998</v>
      </c>
      <c r="Z4" s="42" t="s">
        <v>27</v>
      </c>
      <c r="AA4" s="29" t="s">
        <v>26</v>
      </c>
      <c r="AB4" s="29" t="s">
        <v>28</v>
      </c>
      <c r="AC4" s="2" t="s">
        <v>12</v>
      </c>
      <c r="AD4" s="29" t="s">
        <v>45</v>
      </c>
      <c r="AE4" s="29" t="s">
        <v>30</v>
      </c>
      <c r="AF4" s="29" t="s">
        <v>65</v>
      </c>
      <c r="AG4" s="2" t="s">
        <v>12</v>
      </c>
      <c r="AH4" s="35" t="s">
        <v>33</v>
      </c>
      <c r="AI4" s="29" t="s">
        <v>34</v>
      </c>
      <c r="AJ4" s="29" t="s">
        <v>36</v>
      </c>
      <c r="AK4" s="2" t="s">
        <v>12</v>
      </c>
      <c r="AL4" s="2" t="s">
        <v>31</v>
      </c>
      <c r="AM4" s="29" t="s">
        <v>35</v>
      </c>
      <c r="AN4" s="29" t="s">
        <v>30</v>
      </c>
      <c r="AO4" s="53" t="s">
        <v>12</v>
      </c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50" t="s">
        <v>49</v>
      </c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</row>
    <row r="5" spans="1:77" ht="30" customHeight="1">
      <c r="A5" s="90">
        <v>1</v>
      </c>
      <c r="B5" s="93" t="s">
        <v>92</v>
      </c>
      <c r="C5" s="98" t="s">
        <v>64</v>
      </c>
      <c r="D5" s="8" t="s">
        <v>13</v>
      </c>
      <c r="E5" s="5">
        <f>(490+360*4)</f>
        <v>1930</v>
      </c>
      <c r="F5" s="37">
        <f>E5*1.4/100*15*0.145*0.15*0.88*0.82*0.4</f>
        <v>2.5444409760000002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20"/>
      <c r="Y5" s="21"/>
      <c r="Z5" s="54">
        <v>0.82</v>
      </c>
      <c r="AA5" s="36">
        <v>0.08</v>
      </c>
      <c r="AB5" s="36">
        <v>0.08</v>
      </c>
      <c r="AC5" s="33"/>
      <c r="AD5" s="37">
        <v>0.82</v>
      </c>
      <c r="AE5" s="36">
        <v>0.08</v>
      </c>
      <c r="AF5" s="36">
        <v>0.08</v>
      </c>
      <c r="AG5" s="33"/>
      <c r="AH5" s="37">
        <v>0.82</v>
      </c>
      <c r="AI5" s="36">
        <v>0.08</v>
      </c>
      <c r="AJ5" s="36">
        <v>0.08</v>
      </c>
      <c r="AK5" s="33"/>
      <c r="AL5" s="37">
        <v>0.82</v>
      </c>
      <c r="AM5" s="36">
        <v>0.08</v>
      </c>
      <c r="AN5" s="36">
        <v>0.08</v>
      </c>
      <c r="AO5" s="28"/>
      <c r="AP5" s="8" t="s">
        <v>13</v>
      </c>
      <c r="AQ5" s="61">
        <f t="shared" ref="AQ5:AS6" si="0">$BG5*BH5</f>
        <v>0.12</v>
      </c>
      <c r="AR5" s="61">
        <f t="shared" si="0"/>
        <v>0.12</v>
      </c>
      <c r="AS5" s="61">
        <f t="shared" si="0"/>
        <v>0.12</v>
      </c>
      <c r="AT5" s="61"/>
      <c r="AU5" s="61">
        <f t="shared" ref="AU5:AW6" si="1">$BG5*BL5</f>
        <v>7.4999999999999997E-3</v>
      </c>
      <c r="AV5" s="61">
        <f t="shared" si="1"/>
        <v>7.4999999999999997E-3</v>
      </c>
      <c r="AW5" s="61">
        <f t="shared" si="1"/>
        <v>7.4999999999999997E-3</v>
      </c>
      <c r="AX5" s="61"/>
      <c r="AY5" s="61">
        <f t="shared" ref="AY5:BA6" si="2">$BG5*BP5</f>
        <v>1.125E-2</v>
      </c>
      <c r="AZ5" s="61">
        <f t="shared" si="2"/>
        <v>1.125E-2</v>
      </c>
      <c r="BA5" s="61">
        <f t="shared" si="2"/>
        <v>1.125E-2</v>
      </c>
      <c r="BB5" s="61"/>
      <c r="BC5" s="61">
        <f t="shared" ref="BC5:BE6" si="3">$BG5*BT5</f>
        <v>1.125E-2</v>
      </c>
      <c r="BD5" s="61">
        <f t="shared" si="3"/>
        <v>1.125E-2</v>
      </c>
      <c r="BE5" s="61">
        <f t="shared" si="3"/>
        <v>1.125E-2</v>
      </c>
      <c r="BG5" s="44">
        <v>0.15</v>
      </c>
      <c r="BH5" s="61">
        <v>0.8</v>
      </c>
      <c r="BI5" s="61">
        <f>BH5</f>
        <v>0.8</v>
      </c>
      <c r="BJ5" s="61">
        <f>BI5</f>
        <v>0.8</v>
      </c>
      <c r="BK5" s="61"/>
      <c r="BL5" s="61">
        <v>0.05</v>
      </c>
      <c r="BM5" s="61">
        <f>BL5</f>
        <v>0.05</v>
      </c>
      <c r="BN5" s="61">
        <f>BM5</f>
        <v>0.05</v>
      </c>
      <c r="BO5" s="61"/>
      <c r="BP5" s="61">
        <v>7.4999999999999997E-2</v>
      </c>
      <c r="BQ5" s="61">
        <f>BP5</f>
        <v>7.4999999999999997E-2</v>
      </c>
      <c r="BR5" s="61">
        <f>BQ5</f>
        <v>7.4999999999999997E-2</v>
      </c>
      <c r="BS5" s="61"/>
      <c r="BT5" s="61">
        <v>7.4999999999999997E-2</v>
      </c>
      <c r="BU5" s="61">
        <f>BT5</f>
        <v>7.4999999999999997E-2</v>
      </c>
      <c r="BV5" s="61">
        <f>BU5</f>
        <v>7.4999999999999997E-2</v>
      </c>
      <c r="BX5" s="61"/>
      <c r="BY5" s="8" t="s">
        <v>13</v>
      </c>
    </row>
    <row r="6" spans="1:77" ht="30" customHeight="1">
      <c r="A6" s="97"/>
      <c r="B6" s="94"/>
      <c r="C6" s="99"/>
      <c r="D6" s="4" t="s">
        <v>14</v>
      </c>
      <c r="E6" s="5">
        <f>(490+360)</f>
        <v>850</v>
      </c>
      <c r="F6" s="37">
        <f>E6*1.4/100*15*0.855*0.2*0.88*0.82*0.4</f>
        <v>8.8103030400000009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20"/>
      <c r="Y6" s="19"/>
      <c r="Z6" s="54">
        <v>0.82</v>
      </c>
      <c r="AA6" s="36">
        <v>0.08</v>
      </c>
      <c r="AB6" s="36">
        <v>0.08</v>
      </c>
      <c r="AC6" s="33"/>
      <c r="AD6" s="37">
        <v>0.82</v>
      </c>
      <c r="AE6" s="36">
        <v>0.08</v>
      </c>
      <c r="AF6" s="36">
        <v>0.08</v>
      </c>
      <c r="AG6" s="33"/>
      <c r="AH6" s="37">
        <v>0.82</v>
      </c>
      <c r="AI6" s="36">
        <v>0.08</v>
      </c>
      <c r="AJ6" s="36">
        <v>0.08</v>
      </c>
      <c r="AK6" s="33"/>
      <c r="AL6" s="37">
        <v>0.82</v>
      </c>
      <c r="AM6" s="36">
        <v>0.08</v>
      </c>
      <c r="AN6" s="36">
        <v>0.08</v>
      </c>
      <c r="AO6" s="28"/>
      <c r="AP6" s="4" t="s">
        <v>14</v>
      </c>
      <c r="AQ6" s="61">
        <f t="shared" si="0"/>
        <v>0.17600000000000002</v>
      </c>
      <c r="AR6" s="61">
        <f t="shared" si="0"/>
        <v>0.17600000000000002</v>
      </c>
      <c r="AS6" s="61">
        <f t="shared" si="0"/>
        <v>0.17600000000000002</v>
      </c>
      <c r="AT6" s="61"/>
      <c r="AU6" s="61">
        <f t="shared" si="1"/>
        <v>8.0000000000000002E-3</v>
      </c>
      <c r="AV6" s="61">
        <f t="shared" si="1"/>
        <v>8.0000000000000002E-3</v>
      </c>
      <c r="AW6" s="61">
        <f t="shared" si="1"/>
        <v>8.0000000000000002E-3</v>
      </c>
      <c r="AX6" s="61"/>
      <c r="AY6" s="61">
        <f t="shared" si="2"/>
        <v>6.0000000000000001E-3</v>
      </c>
      <c r="AZ6" s="61">
        <f t="shared" si="2"/>
        <v>6.0000000000000001E-3</v>
      </c>
      <c r="BA6" s="61">
        <f t="shared" si="2"/>
        <v>6.0000000000000001E-3</v>
      </c>
      <c r="BB6" s="61"/>
      <c r="BC6" s="61">
        <f t="shared" si="3"/>
        <v>5.000000000000001E-3</v>
      </c>
      <c r="BD6" s="61">
        <f t="shared" si="3"/>
        <v>5.000000000000001E-3</v>
      </c>
      <c r="BE6" s="61">
        <f t="shared" si="3"/>
        <v>5.000000000000001E-3</v>
      </c>
      <c r="BG6" s="44">
        <v>0.2</v>
      </c>
      <c r="BH6" s="61">
        <v>0.88</v>
      </c>
      <c r="BI6" s="61">
        <f t="shared" ref="BI6:BJ6" si="4">BH6</f>
        <v>0.88</v>
      </c>
      <c r="BJ6" s="61">
        <f t="shared" si="4"/>
        <v>0.88</v>
      </c>
      <c r="BK6" s="61"/>
      <c r="BL6" s="61">
        <v>0.04</v>
      </c>
      <c r="BM6" s="61">
        <f t="shared" ref="BM6:BN6" si="5">BL6</f>
        <v>0.04</v>
      </c>
      <c r="BN6" s="61">
        <f t="shared" si="5"/>
        <v>0.04</v>
      </c>
      <c r="BO6" s="61"/>
      <c r="BP6" s="61">
        <v>0.03</v>
      </c>
      <c r="BQ6" s="61">
        <f t="shared" ref="BQ6:BR6" si="6">BP6</f>
        <v>0.03</v>
      </c>
      <c r="BR6" s="61">
        <f t="shared" si="6"/>
        <v>0.03</v>
      </c>
      <c r="BS6" s="61"/>
      <c r="BT6" s="61">
        <v>2.5000000000000001E-2</v>
      </c>
      <c r="BU6" s="61">
        <f t="shared" ref="BU6:BV6" si="7">BT6</f>
        <v>2.5000000000000001E-2</v>
      </c>
      <c r="BV6" s="61">
        <f t="shared" si="7"/>
        <v>2.5000000000000001E-2</v>
      </c>
      <c r="BX6" s="61"/>
      <c r="BY6" s="4" t="s">
        <v>14</v>
      </c>
    </row>
    <row r="7" spans="1:77" ht="30" customHeight="1">
      <c r="A7" s="97"/>
      <c r="B7" s="95"/>
      <c r="C7" s="99"/>
      <c r="D7" s="3"/>
      <c r="E7" s="5"/>
      <c r="F7" s="5"/>
      <c r="G7" s="5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9"/>
      <c r="X7" s="20"/>
      <c r="Y7" s="21"/>
      <c r="AA7" s="55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28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/>
      <c r="BH7" s="61"/>
      <c r="BI7" s="44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</row>
    <row r="8" spans="1:77" ht="30" customHeight="1">
      <c r="A8" s="90">
        <v>1</v>
      </c>
      <c r="B8" s="93" t="s">
        <v>37</v>
      </c>
      <c r="C8" s="98" t="s">
        <v>64</v>
      </c>
      <c r="D8" s="8" t="s">
        <v>13</v>
      </c>
      <c r="E8" s="5">
        <f>(490+360*4)</f>
        <v>1930</v>
      </c>
      <c r="F8" s="37">
        <f>$E8/100*$Y$1*$Y$2*Z8*AQ8*(IF($D8="总图",$Y$3,$Y$4))</f>
        <v>13.469152514999999</v>
      </c>
      <c r="G8" s="37">
        <f t="shared" ref="G8:G9" si="8">$E8/100*$Y$1*$Y$2*AA8*AR8*(IF($D8="总图",$Y$3,$Y$4))</f>
        <v>1.31406366</v>
      </c>
      <c r="H8" s="37">
        <f t="shared" ref="H8:H9" si="9">$E8/100*$Y$1*$Y$2*AB8*AS8*(IF($D8="总图",$Y$3,$Y$4))</f>
        <v>1.31406366</v>
      </c>
      <c r="I8" s="37"/>
      <c r="J8" s="37"/>
      <c r="K8" s="37"/>
      <c r="L8" s="37"/>
      <c r="M8" s="37"/>
      <c r="N8" s="37">
        <f>$E8/100*$Y$1*$Y$2*AH8*AY8*(IF($D8="总图",$Y$3,$Y$4))</f>
        <v>11.27649978</v>
      </c>
      <c r="O8" s="37">
        <f t="shared" ref="O8:O9" si="10">$E8/100*$Y$1*$Y$2*AI8*AZ8*(IF($D8="总图",$Y$3,$Y$4))</f>
        <v>1.1001463200000001</v>
      </c>
      <c r="P8" s="37">
        <f t="shared" ref="P8:P9" si="11">$E8/100*$Y$1*$Y$2*AJ8*BA8*(IF($D8="总图",$Y$3,$Y$4))</f>
        <v>1.1001463200000001</v>
      </c>
      <c r="Q8" s="37"/>
      <c r="R8" s="37">
        <f t="shared" ref="R8:R9" si="12">$E8/100*$Y$1*$Y$2*AL8*BC8*(IF($D8="总图",$Y$3,$Y$4))</f>
        <v>5.3250137849999994</v>
      </c>
      <c r="S8" s="37">
        <f t="shared" ref="S8:S9" si="13">$E8/100*$Y$1*$Y$2*AM8*BD8*(IF($D8="总图",$Y$3,$Y$4))</f>
        <v>0.51951354000000005</v>
      </c>
      <c r="T8" s="37">
        <f t="shared" ref="T8:T9" si="14">$E8/100*$Y$1*$Y$2*AN8*BE8*(IF($D8="总图",$Y$3,$Y$4))</f>
        <v>0.51951354000000005</v>
      </c>
      <c r="U8" s="37"/>
      <c r="V8" s="20"/>
      <c r="W8" s="21"/>
      <c r="X8" s="8"/>
      <c r="Z8" s="54">
        <v>0.82</v>
      </c>
      <c r="AA8" s="36">
        <v>0.08</v>
      </c>
      <c r="AB8" s="36">
        <v>0.08</v>
      </c>
      <c r="AC8" s="33"/>
      <c r="AD8" s="37">
        <v>0.82</v>
      </c>
      <c r="AE8" s="36">
        <v>0.08</v>
      </c>
      <c r="AF8" s="36">
        <v>0.08</v>
      </c>
      <c r="AG8" s="33"/>
      <c r="AH8" s="37">
        <v>0.82</v>
      </c>
      <c r="AI8" s="36">
        <v>0.08</v>
      </c>
      <c r="AJ8" s="36">
        <v>0.08</v>
      </c>
      <c r="AK8" s="33"/>
      <c r="AL8" s="37">
        <v>0.82</v>
      </c>
      <c r="AM8" s="36">
        <v>0.08</v>
      </c>
      <c r="AN8" s="36">
        <v>0.08</v>
      </c>
      <c r="AO8" s="28"/>
      <c r="AP8" s="8" t="s">
        <v>13</v>
      </c>
      <c r="AQ8" s="61">
        <f>$BG8*BH8</f>
        <v>0.30099999999999999</v>
      </c>
      <c r="AR8" s="61">
        <f t="shared" ref="AR8:AS9" si="15">$BG8*BI8</f>
        <v>0.30099999999999999</v>
      </c>
      <c r="AS8" s="61">
        <f t="shared" si="15"/>
        <v>0.30099999999999999</v>
      </c>
      <c r="AT8" s="61"/>
      <c r="AU8" s="61">
        <f>$BG8*BL8</f>
        <v>2.7999999999999997E-2</v>
      </c>
      <c r="AV8" s="61">
        <f t="shared" ref="AV8:AW9" si="16">$BG8*BM8</f>
        <v>2.7999999999999997E-2</v>
      </c>
      <c r="AW8" s="61">
        <f t="shared" si="16"/>
        <v>2.7999999999999997E-2</v>
      </c>
      <c r="AX8" s="61"/>
      <c r="AY8" s="61">
        <f>$BG8*BP8</f>
        <v>0.252</v>
      </c>
      <c r="AZ8" s="61">
        <f t="shared" ref="AZ8:BA9" si="17">$BG8*BQ8</f>
        <v>0.252</v>
      </c>
      <c r="BA8" s="61">
        <f t="shared" si="17"/>
        <v>0.252</v>
      </c>
      <c r="BB8" s="61"/>
      <c r="BC8" s="61">
        <f>$BG8*BT8</f>
        <v>0.11899999999999999</v>
      </c>
      <c r="BD8" s="61">
        <f t="shared" ref="BD8:BE9" si="18">$BG8*BU8</f>
        <v>0.11899999999999999</v>
      </c>
      <c r="BE8" s="61">
        <f t="shared" si="18"/>
        <v>0.11899999999999999</v>
      </c>
      <c r="BF8" s="61"/>
      <c r="BG8" s="44">
        <v>0.7</v>
      </c>
      <c r="BH8" s="61">
        <v>0.43</v>
      </c>
      <c r="BI8" s="61">
        <f>BH8</f>
        <v>0.43</v>
      </c>
      <c r="BJ8" s="61">
        <f>BI8</f>
        <v>0.43</v>
      </c>
      <c r="BK8" s="61"/>
      <c r="BL8" s="61">
        <v>0.04</v>
      </c>
      <c r="BM8" s="61">
        <f>BL8</f>
        <v>0.04</v>
      </c>
      <c r="BN8" s="61">
        <f>BM8</f>
        <v>0.04</v>
      </c>
      <c r="BO8" s="61"/>
      <c r="BP8" s="61">
        <v>0.36</v>
      </c>
      <c r="BQ8" s="61">
        <f>BP8</f>
        <v>0.36</v>
      </c>
      <c r="BR8" s="61">
        <f>BQ8</f>
        <v>0.36</v>
      </c>
      <c r="BS8" s="61"/>
      <c r="BT8" s="61">
        <v>0.17</v>
      </c>
      <c r="BU8" s="61">
        <f>BT8</f>
        <v>0.17</v>
      </c>
      <c r="BV8" s="61">
        <f>BU8</f>
        <v>0.17</v>
      </c>
      <c r="BW8" s="61"/>
      <c r="BX8" s="8" t="s">
        <v>13</v>
      </c>
    </row>
    <row r="9" spans="1:77" ht="30" customHeight="1">
      <c r="A9" s="97"/>
      <c r="B9" s="94"/>
      <c r="C9" s="99"/>
      <c r="D9" s="4" t="s">
        <v>14</v>
      </c>
      <c r="E9" s="5">
        <f>(490+360+360*3*0.2)</f>
        <v>1066</v>
      </c>
      <c r="F9" s="37">
        <f>$E9/100*$Y$1*$Y$2*Z9*AQ9*(IF($D9="总图",$Y$3,$Y$4))</f>
        <v>21.860648549999997</v>
      </c>
      <c r="G9" s="37">
        <f t="shared" si="8"/>
        <v>2.1327462000000001</v>
      </c>
      <c r="H9" s="37">
        <f t="shared" si="9"/>
        <v>2.1327462000000001</v>
      </c>
      <c r="I9" s="37"/>
      <c r="J9" s="37">
        <f t="shared" ref="J9" si="19">$E9/100*$Y$1*$Y$2*AD9*AU9*(IF($D9="总图",$Y$3,$Y$4))</f>
        <v>38.474741447999996</v>
      </c>
      <c r="K9" s="37">
        <f t="shared" ref="K9" si="20">$E9/100*$Y$1*$Y$2*AE9*AV9*(IF($D9="总图",$Y$3,$Y$4))</f>
        <v>3.7536333120000003</v>
      </c>
      <c r="L9" s="37">
        <f t="shared" ref="L9" si="21">$E9/100*$Y$1*$Y$2*AF9*AW9*(IF($D9="总图",$Y$3,$Y$4))</f>
        <v>3.7536333120000003</v>
      </c>
      <c r="M9" s="37"/>
      <c r="N9" s="37">
        <f>$E9/100*$Y$1*$Y$2*AH9*AY9*(IF($D9="总图",$Y$3,$Y$4))</f>
        <v>13.116389129999998</v>
      </c>
      <c r="O9" s="37">
        <f t="shared" si="10"/>
        <v>1.27964772</v>
      </c>
      <c r="P9" s="37">
        <f t="shared" si="11"/>
        <v>1.27964772</v>
      </c>
      <c r="Q9" s="37"/>
      <c r="R9" s="37">
        <f t="shared" si="12"/>
        <v>13.990815071999998</v>
      </c>
      <c r="S9" s="37">
        <f t="shared" si="13"/>
        <v>1.3649575680000001</v>
      </c>
      <c r="T9" s="37">
        <f t="shared" si="14"/>
        <v>1.3649575680000001</v>
      </c>
      <c r="U9" s="37"/>
      <c r="V9" s="20"/>
      <c r="W9" s="19"/>
      <c r="X9" s="4"/>
      <c r="Z9" s="54">
        <v>0.82</v>
      </c>
      <c r="AA9" s="36">
        <v>0.08</v>
      </c>
      <c r="AB9" s="36">
        <v>0.08</v>
      </c>
      <c r="AC9" s="33"/>
      <c r="AD9" s="37">
        <v>0.82</v>
      </c>
      <c r="AE9" s="36">
        <v>0.08</v>
      </c>
      <c r="AF9" s="36">
        <v>0.08</v>
      </c>
      <c r="AG9" s="33"/>
      <c r="AH9" s="37">
        <v>0.82</v>
      </c>
      <c r="AI9" s="36">
        <v>0.08</v>
      </c>
      <c r="AJ9" s="36">
        <v>0.08</v>
      </c>
      <c r="AK9" s="33"/>
      <c r="AL9" s="37">
        <v>0.82</v>
      </c>
      <c r="AM9" s="36">
        <v>0.08</v>
      </c>
      <c r="AN9" s="36">
        <v>0.08</v>
      </c>
      <c r="AO9" s="28"/>
      <c r="AP9" s="4" t="s">
        <v>14</v>
      </c>
      <c r="AQ9" s="61">
        <f>$BG9*BH9</f>
        <v>0.15</v>
      </c>
      <c r="AR9" s="61">
        <f t="shared" si="15"/>
        <v>0.15</v>
      </c>
      <c r="AS9" s="61">
        <f t="shared" si="15"/>
        <v>0.15</v>
      </c>
      <c r="AT9" s="61"/>
      <c r="AU9" s="61">
        <f>$BG9*BL9</f>
        <v>0.26400000000000001</v>
      </c>
      <c r="AV9" s="61">
        <f t="shared" si="16"/>
        <v>0.26400000000000001</v>
      </c>
      <c r="AW9" s="61">
        <f t="shared" si="16"/>
        <v>0.26400000000000001</v>
      </c>
      <c r="AX9" s="61"/>
      <c r="AY9" s="61">
        <f>$BG9*BP9</f>
        <v>0.09</v>
      </c>
      <c r="AZ9" s="61">
        <f t="shared" si="17"/>
        <v>0.09</v>
      </c>
      <c r="BA9" s="61">
        <f t="shared" si="17"/>
        <v>0.09</v>
      </c>
      <c r="BB9" s="61"/>
      <c r="BC9" s="61">
        <f>$BG9*BT9</f>
        <v>9.6000000000000002E-2</v>
      </c>
      <c r="BD9" s="61">
        <f t="shared" si="18"/>
        <v>9.6000000000000002E-2</v>
      </c>
      <c r="BE9" s="61">
        <f t="shared" si="18"/>
        <v>9.6000000000000002E-2</v>
      </c>
      <c r="BF9" s="61"/>
      <c r="BG9" s="44">
        <v>0.6</v>
      </c>
      <c r="BH9" s="61">
        <v>0.25</v>
      </c>
      <c r="BI9" s="61">
        <f t="shared" ref="BI9:BJ9" si="22">BH9</f>
        <v>0.25</v>
      </c>
      <c r="BJ9" s="61">
        <f t="shared" si="22"/>
        <v>0.25</v>
      </c>
      <c r="BK9" s="61"/>
      <c r="BL9" s="61">
        <v>0.44</v>
      </c>
      <c r="BM9" s="61">
        <f t="shared" ref="BM9:BN9" si="23">BL9</f>
        <v>0.44</v>
      </c>
      <c r="BN9" s="61">
        <f t="shared" si="23"/>
        <v>0.44</v>
      </c>
      <c r="BO9" s="61"/>
      <c r="BP9" s="61">
        <v>0.15</v>
      </c>
      <c r="BQ9" s="61">
        <f t="shared" ref="BQ9:BR9" si="24">BP9</f>
        <v>0.15</v>
      </c>
      <c r="BR9" s="61">
        <f t="shared" si="24"/>
        <v>0.15</v>
      </c>
      <c r="BS9" s="61"/>
      <c r="BT9" s="61">
        <v>0.16</v>
      </c>
      <c r="BU9" s="61">
        <f t="shared" ref="BU9:BV9" si="25">BT9</f>
        <v>0.16</v>
      </c>
      <c r="BV9" s="61">
        <f t="shared" si="25"/>
        <v>0.16</v>
      </c>
      <c r="BW9" s="61"/>
      <c r="BX9" s="4" t="s">
        <v>14</v>
      </c>
    </row>
    <row r="10" spans="1:77" ht="30" customHeight="1">
      <c r="A10" s="97"/>
      <c r="B10" s="95"/>
      <c r="C10" s="99"/>
      <c r="D10" s="3"/>
      <c r="E10" s="5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9"/>
      <c r="V10" s="20"/>
      <c r="W10" s="21"/>
      <c r="Z10" s="55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8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</row>
    <row r="11" spans="1:77" ht="30" customHeight="1">
      <c r="A11" s="90"/>
      <c r="B11" s="93"/>
      <c r="C11" s="93"/>
      <c r="D11" s="8"/>
      <c r="E11" s="5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22"/>
      <c r="W11" s="23"/>
      <c r="Z11" s="54">
        <v>0.82</v>
      </c>
      <c r="AA11" s="36">
        <v>0.08</v>
      </c>
      <c r="AB11" s="36">
        <v>0.08</v>
      </c>
      <c r="AC11" s="33"/>
      <c r="AD11" s="37">
        <v>0.82</v>
      </c>
      <c r="AE11" s="36">
        <v>0.08</v>
      </c>
      <c r="AF11" s="36">
        <v>0.08</v>
      </c>
      <c r="AG11" s="33"/>
      <c r="AH11" s="37">
        <v>0.82</v>
      </c>
      <c r="AI11" s="36">
        <v>0.08</v>
      </c>
      <c r="AJ11" s="36">
        <v>0.08</v>
      </c>
      <c r="AK11" s="33"/>
      <c r="AL11" s="37">
        <v>0.82</v>
      </c>
      <c r="AM11" s="36">
        <v>0.08</v>
      </c>
      <c r="AN11" s="36">
        <v>0.08</v>
      </c>
      <c r="AO11" s="28"/>
      <c r="AP11" s="8" t="s">
        <v>13</v>
      </c>
      <c r="AQ11" s="61">
        <f>$BG11*BH11</f>
        <v>0.30099999999999999</v>
      </c>
      <c r="AR11" s="61">
        <f t="shared" ref="AR11:AS12" si="26">$BG11*BI11</f>
        <v>0.30099999999999999</v>
      </c>
      <c r="AS11" s="61">
        <f t="shared" si="26"/>
        <v>0.30099999999999999</v>
      </c>
      <c r="AT11" s="61"/>
      <c r="AU11" s="61">
        <f>$BG11*BL11</f>
        <v>2.7999999999999997E-2</v>
      </c>
      <c r="AV11" s="61">
        <f t="shared" ref="AV11:AW12" si="27">$BG11*BM11</f>
        <v>2.7999999999999997E-2</v>
      </c>
      <c r="AW11" s="61">
        <f t="shared" si="27"/>
        <v>2.7999999999999997E-2</v>
      </c>
      <c r="AX11" s="61"/>
      <c r="AY11" s="61">
        <f>$BG11*BP11</f>
        <v>0.252</v>
      </c>
      <c r="AZ11" s="61">
        <f t="shared" ref="AZ11:BA12" si="28">$BG11*BQ11</f>
        <v>0.252</v>
      </c>
      <c r="BA11" s="61">
        <f t="shared" si="28"/>
        <v>0.252</v>
      </c>
      <c r="BB11" s="61"/>
      <c r="BC11" s="61">
        <f>$BG11*BT11</f>
        <v>0.11899999999999999</v>
      </c>
      <c r="BD11" s="61">
        <f t="shared" ref="BD11:BE12" si="29">$BG11*BU11</f>
        <v>0.11899999999999999</v>
      </c>
      <c r="BE11" s="61">
        <f t="shared" si="29"/>
        <v>0.11899999999999999</v>
      </c>
      <c r="BF11" s="61"/>
      <c r="BG11" s="44">
        <v>0.7</v>
      </c>
      <c r="BH11" s="61">
        <v>0.43</v>
      </c>
      <c r="BI11" s="61">
        <f t="shared" ref="BI11:BJ12" si="30">BH11</f>
        <v>0.43</v>
      </c>
      <c r="BJ11" s="61">
        <f t="shared" si="30"/>
        <v>0.43</v>
      </c>
      <c r="BK11" s="61"/>
      <c r="BL11" s="61">
        <v>0.04</v>
      </c>
      <c r="BM11" s="61">
        <f t="shared" ref="BM11:BN12" si="31">BL11</f>
        <v>0.04</v>
      </c>
      <c r="BN11" s="61">
        <f t="shared" si="31"/>
        <v>0.04</v>
      </c>
      <c r="BO11" s="61"/>
      <c r="BP11" s="61">
        <v>0.36</v>
      </c>
      <c r="BQ11" s="61">
        <f t="shared" ref="BQ11:BR12" si="32">BP11</f>
        <v>0.36</v>
      </c>
      <c r="BR11" s="61">
        <f t="shared" si="32"/>
        <v>0.36</v>
      </c>
      <c r="BS11" s="61"/>
      <c r="BT11" s="61">
        <v>0.17</v>
      </c>
      <c r="BU11" s="61">
        <f t="shared" ref="BU11:BV12" si="33">BT11</f>
        <v>0.17</v>
      </c>
      <c r="BV11" s="61">
        <f t="shared" si="33"/>
        <v>0.17</v>
      </c>
      <c r="BW11" s="61"/>
      <c r="BX11" s="8" t="s">
        <v>13</v>
      </c>
    </row>
    <row r="12" spans="1:77" s="1" customFormat="1" ht="30" customHeight="1" thickBot="1">
      <c r="A12" s="91"/>
      <c r="B12" s="94"/>
      <c r="C12" s="96"/>
      <c r="D12" s="4"/>
      <c r="E12" s="5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24"/>
      <c r="W12" s="23"/>
      <c r="Z12" s="54">
        <v>0.82</v>
      </c>
      <c r="AA12" s="36">
        <v>0.08</v>
      </c>
      <c r="AB12" s="36">
        <v>0.08</v>
      </c>
      <c r="AC12" s="58"/>
      <c r="AD12" s="37">
        <v>0.82</v>
      </c>
      <c r="AE12" s="36">
        <v>0.08</v>
      </c>
      <c r="AF12" s="36">
        <v>0.08</v>
      </c>
      <c r="AG12" s="58"/>
      <c r="AH12" s="37">
        <v>0.82</v>
      </c>
      <c r="AI12" s="57">
        <v>0.08</v>
      </c>
      <c r="AJ12" s="57">
        <v>0.08</v>
      </c>
      <c r="AK12" s="58"/>
      <c r="AL12" s="37">
        <v>0.82</v>
      </c>
      <c r="AM12" s="57">
        <v>0.08</v>
      </c>
      <c r="AN12" s="57">
        <v>0.08</v>
      </c>
      <c r="AO12" s="60"/>
      <c r="AP12" s="4" t="s">
        <v>14</v>
      </c>
      <c r="AQ12" s="61">
        <f>$BG12*BH12</f>
        <v>0.15</v>
      </c>
      <c r="AR12" s="61">
        <f t="shared" si="26"/>
        <v>0.15</v>
      </c>
      <c r="AS12" s="61">
        <f t="shared" si="26"/>
        <v>0.15</v>
      </c>
      <c r="AT12" s="61"/>
      <c r="AU12" s="61">
        <f>$BG12*BL12</f>
        <v>0.26400000000000001</v>
      </c>
      <c r="AV12" s="61">
        <f t="shared" si="27"/>
        <v>0.26400000000000001</v>
      </c>
      <c r="AW12" s="61">
        <f t="shared" si="27"/>
        <v>0.26400000000000001</v>
      </c>
      <c r="AX12" s="61"/>
      <c r="AY12" s="61">
        <f>$BG12*BP12</f>
        <v>0.09</v>
      </c>
      <c r="AZ12" s="61">
        <f t="shared" si="28"/>
        <v>0.09</v>
      </c>
      <c r="BA12" s="61">
        <f t="shared" si="28"/>
        <v>0.09</v>
      </c>
      <c r="BB12" s="61"/>
      <c r="BC12" s="61">
        <f>$BG12*BT12</f>
        <v>9.6000000000000002E-2</v>
      </c>
      <c r="BD12" s="61">
        <f t="shared" si="29"/>
        <v>9.6000000000000002E-2</v>
      </c>
      <c r="BE12" s="61">
        <f t="shared" si="29"/>
        <v>9.6000000000000002E-2</v>
      </c>
      <c r="BF12" s="61"/>
      <c r="BG12" s="44">
        <v>0.6</v>
      </c>
      <c r="BH12" s="61">
        <v>0.25</v>
      </c>
      <c r="BI12" s="61">
        <f t="shared" si="30"/>
        <v>0.25</v>
      </c>
      <c r="BJ12" s="61">
        <f t="shared" si="30"/>
        <v>0.25</v>
      </c>
      <c r="BK12" s="61"/>
      <c r="BL12" s="61">
        <v>0.44</v>
      </c>
      <c r="BM12" s="61">
        <f t="shared" si="31"/>
        <v>0.44</v>
      </c>
      <c r="BN12" s="61">
        <f t="shared" si="31"/>
        <v>0.44</v>
      </c>
      <c r="BO12" s="61"/>
      <c r="BP12" s="61">
        <v>0.15</v>
      </c>
      <c r="BQ12" s="61">
        <f t="shared" si="32"/>
        <v>0.15</v>
      </c>
      <c r="BR12" s="61">
        <f t="shared" si="32"/>
        <v>0.15</v>
      </c>
      <c r="BS12" s="61"/>
      <c r="BT12" s="61">
        <v>0.16</v>
      </c>
      <c r="BU12" s="61">
        <f t="shared" si="33"/>
        <v>0.16</v>
      </c>
      <c r="BV12" s="61">
        <f t="shared" si="33"/>
        <v>0.16</v>
      </c>
      <c r="BW12" s="61"/>
      <c r="BX12" s="4" t="s">
        <v>14</v>
      </c>
    </row>
    <row r="13" spans="1:77" s="1" customFormat="1" ht="30" customHeight="1">
      <c r="A13" s="91"/>
      <c r="B13" s="94"/>
      <c r="C13" s="96"/>
      <c r="D13" s="3"/>
      <c r="E13" s="5"/>
      <c r="F13" s="33"/>
      <c r="G13" s="33"/>
      <c r="H13" s="31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9"/>
      <c r="V13" s="24"/>
      <c r="W13" s="25"/>
      <c r="BG13" s="49"/>
    </row>
    <row r="14" spans="1:77" ht="30" customHeight="1">
      <c r="A14" s="92"/>
      <c r="B14" s="95"/>
      <c r="C14" s="95"/>
      <c r="D14" s="8"/>
      <c r="E14" s="5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9"/>
      <c r="V14" s="22"/>
      <c r="W14" s="21"/>
    </row>
    <row r="15" spans="1:77" ht="30" customHeight="1">
      <c r="A15" s="10" t="s">
        <v>11</v>
      </c>
      <c r="B15" s="30"/>
      <c r="C15" s="4"/>
      <c r="D15" s="11" t="s">
        <v>15</v>
      </c>
      <c r="E15" s="2" t="s">
        <v>27</v>
      </c>
      <c r="F15" s="32">
        <f>SUM(F5:H12)*0.09</f>
        <v>4.8220348320899999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11"/>
      <c r="V15" s="22"/>
      <c r="W15" s="21"/>
    </row>
    <row r="16" spans="1:77" ht="30" customHeight="1">
      <c r="A16" s="10" t="s">
        <v>11</v>
      </c>
      <c r="B16" s="30"/>
      <c r="C16" s="4"/>
      <c r="D16" s="11" t="s">
        <v>16</v>
      </c>
      <c r="E16" s="35" t="s">
        <v>30</v>
      </c>
      <c r="F16" s="32"/>
      <c r="G16" s="32"/>
      <c r="H16" s="32"/>
      <c r="I16" s="32"/>
      <c r="J16" s="32">
        <f>SUM(J8:L12)*0.09</f>
        <v>4.1383807264799994</v>
      </c>
      <c r="K16" s="32"/>
      <c r="L16" s="32"/>
      <c r="M16" s="32"/>
      <c r="N16" s="33"/>
      <c r="O16" s="33"/>
      <c r="P16" s="33"/>
      <c r="Q16" s="33"/>
      <c r="R16" s="33"/>
      <c r="S16" s="33"/>
      <c r="T16" s="33"/>
      <c r="U16" s="11"/>
      <c r="V16" s="7"/>
      <c r="W16" s="21"/>
    </row>
    <row r="17" spans="1:23" ht="30" customHeight="1">
      <c r="A17" s="10" t="s">
        <v>11</v>
      </c>
      <c r="B17" s="30"/>
      <c r="C17" s="4"/>
      <c r="D17" s="11" t="s">
        <v>17</v>
      </c>
      <c r="E17" s="35" t="s">
        <v>33</v>
      </c>
      <c r="F17" s="32"/>
      <c r="G17" s="32"/>
      <c r="H17" s="32"/>
      <c r="I17" s="32"/>
      <c r="J17" s="32"/>
      <c r="K17" s="32"/>
      <c r="L17" s="32"/>
      <c r="M17" s="32"/>
      <c r="N17" s="32">
        <f>SUM(N8:P12)*0.09</f>
        <v>2.6237229290999995</v>
      </c>
      <c r="O17" s="32"/>
      <c r="P17" s="32"/>
      <c r="Q17" s="32"/>
      <c r="R17" s="33"/>
      <c r="S17" s="33"/>
      <c r="T17" s="33"/>
      <c r="U17" s="11"/>
      <c r="V17" s="7"/>
      <c r="W17" s="21"/>
    </row>
    <row r="18" spans="1:23" ht="30" customHeight="1">
      <c r="A18" s="10" t="s">
        <v>11</v>
      </c>
      <c r="B18" s="30"/>
      <c r="C18" s="4"/>
      <c r="D18" s="11" t="s">
        <v>18</v>
      </c>
      <c r="E18" s="2" t="s">
        <v>31</v>
      </c>
      <c r="F18" s="12"/>
      <c r="G18" s="12"/>
      <c r="H18" s="12"/>
      <c r="I18" s="12"/>
      <c r="J18" s="12"/>
      <c r="K18" s="12"/>
      <c r="L18" s="12"/>
      <c r="M18" s="7"/>
      <c r="N18" s="7"/>
      <c r="O18" s="7"/>
      <c r="P18" s="11"/>
      <c r="Q18" s="11"/>
      <c r="R18" s="32">
        <f>SUM(R8:T9)*0.09</f>
        <v>2.0776293965699999</v>
      </c>
      <c r="S18" s="12"/>
      <c r="T18" s="12"/>
      <c r="U18" s="12"/>
      <c r="V18" s="7"/>
      <c r="W18" s="21"/>
    </row>
    <row r="19" spans="1:23" ht="30" customHeight="1">
      <c r="A19" s="13" t="s">
        <v>11</v>
      </c>
      <c r="B19" s="6"/>
      <c r="C19" s="4"/>
      <c r="D19" s="11" t="s">
        <v>19</v>
      </c>
      <c r="E19" s="34" t="s">
        <v>30</v>
      </c>
      <c r="F19" s="14"/>
      <c r="G19" s="14"/>
      <c r="H19" s="14"/>
      <c r="I19" s="14"/>
      <c r="K19" s="14">
        <f>SUM(F5:T12)*0.15</f>
        <v>22.769613140400001</v>
      </c>
      <c r="L19" s="14"/>
      <c r="M19" s="14"/>
      <c r="N19" s="14"/>
      <c r="O19" s="14"/>
      <c r="P19" s="14"/>
      <c r="Q19" s="14"/>
      <c r="R19" s="26"/>
      <c r="S19" s="27"/>
      <c r="T19" s="27"/>
      <c r="U19" s="27"/>
      <c r="V19" s="7"/>
      <c r="W19" s="21"/>
    </row>
    <row r="20" spans="1:23" ht="30" customHeight="1">
      <c r="A20" s="78" t="s">
        <v>20</v>
      </c>
      <c r="B20" s="79"/>
      <c r="C20" s="11"/>
      <c r="D20" s="11"/>
      <c r="E20" s="9"/>
      <c r="F20" s="9">
        <f>SUM(F5:F18)</f>
        <v>51.506579913089993</v>
      </c>
      <c r="G20" s="9">
        <f>SUM(G8:G18)</f>
        <v>3.4468098600000001</v>
      </c>
      <c r="H20" s="9">
        <f>SUM(H8:H18)</f>
        <v>3.4468098600000001</v>
      </c>
      <c r="I20" s="9"/>
      <c r="J20" s="9">
        <f>SUM(J5:J19)</f>
        <v>42.613122174479997</v>
      </c>
      <c r="K20" s="9">
        <f>SUM(K5:K19)</f>
        <v>26.523246452400002</v>
      </c>
      <c r="L20" s="9">
        <f>SUM(L8:L18)</f>
        <v>3.7536333120000003</v>
      </c>
      <c r="M20" s="9"/>
      <c r="N20" s="9">
        <f>SUM(N8:N18)</f>
        <v>27.016611839099994</v>
      </c>
      <c r="O20" s="9">
        <f>SUM(O8:O18)</f>
        <v>2.3797940400000002</v>
      </c>
      <c r="P20" s="9">
        <f>SUM(P8:P18)</f>
        <v>2.3797940400000002</v>
      </c>
      <c r="Q20" s="9"/>
      <c r="R20" s="9">
        <f>SUM(R8:R18)</f>
        <v>21.39345825357</v>
      </c>
      <c r="S20" s="9">
        <f>SUM(S8:S18)</f>
        <v>1.8844711080000001</v>
      </c>
      <c r="T20" s="9">
        <f>SUM(T8:T18)</f>
        <v>1.8844711080000001</v>
      </c>
      <c r="U20" s="9"/>
      <c r="V20" s="7"/>
      <c r="W20" s="28"/>
    </row>
    <row r="21" spans="1:23" ht="30" customHeight="1">
      <c r="A21" s="80" t="s">
        <v>21</v>
      </c>
      <c r="B21" s="81"/>
      <c r="C21" s="5">
        <f>SUM(F8:H18)</f>
        <v>47.045455617089992</v>
      </c>
      <c r="D21" s="5"/>
      <c r="E21" s="15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9"/>
    </row>
    <row r="22" spans="1:23" ht="30" customHeight="1">
      <c r="A22" s="80" t="s">
        <v>22</v>
      </c>
      <c r="B22" s="81"/>
      <c r="C22" s="5">
        <f>SUM(J8:L18)</f>
        <v>50.120388798479993</v>
      </c>
      <c r="D22" s="5"/>
      <c r="E22" s="15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9"/>
    </row>
    <row r="23" spans="1:23" ht="30" customHeight="1">
      <c r="A23" s="80" t="s">
        <v>23</v>
      </c>
      <c r="B23" s="81"/>
      <c r="C23" s="5">
        <f>SUM(N8:P18)</f>
        <v>31.776199919099994</v>
      </c>
      <c r="D23" s="5"/>
      <c r="E23" s="15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23" ht="30" customHeight="1">
      <c r="A24" s="80" t="s">
        <v>24</v>
      </c>
      <c r="B24" s="81"/>
      <c r="C24" s="5">
        <f>SUM(R8:T18)</f>
        <v>25.162400469569999</v>
      </c>
      <c r="D24" s="5"/>
      <c r="E24" s="15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23" ht="30" customHeight="1">
      <c r="A25" s="82" t="s">
        <v>38</v>
      </c>
      <c r="B25" s="83"/>
      <c r="C25" s="38">
        <f>K19</f>
        <v>22.769613140400001</v>
      </c>
      <c r="D25" s="38"/>
      <c r="E25" s="39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1"/>
    </row>
    <row r="26" spans="1:23" ht="30" customHeight="1" thickBot="1">
      <c r="A26" s="84" t="s">
        <v>25</v>
      </c>
      <c r="B26" s="85"/>
      <c r="C26" s="16">
        <f>SUM(C21:C25)</f>
        <v>176.87405794463996</v>
      </c>
      <c r="D26" s="16"/>
      <c r="E26" s="17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7"/>
    </row>
    <row r="29" spans="1:23">
      <c r="A29" s="43" t="s">
        <v>39</v>
      </c>
      <c r="B29">
        <f>(604.2+564.45+398.72+177.52+529.19)+519.3</f>
        <v>2793.38</v>
      </c>
      <c r="C29" s="43" t="s">
        <v>40</v>
      </c>
    </row>
    <row r="32" spans="1:23" ht="17.100000000000001" customHeight="1">
      <c r="H32" s="18"/>
    </row>
  </sheetData>
  <mergeCells count="50">
    <mergeCell ref="A1:W1"/>
    <mergeCell ref="Z1:BF1"/>
    <mergeCell ref="A2:A4"/>
    <mergeCell ref="B2:B4"/>
    <mergeCell ref="C2:C4"/>
    <mergeCell ref="D2:D4"/>
    <mergeCell ref="E2:E4"/>
    <mergeCell ref="F2:U2"/>
    <mergeCell ref="V2:V4"/>
    <mergeCell ref="W2:W4"/>
    <mergeCell ref="Z2:AO2"/>
    <mergeCell ref="AQ2:BF2"/>
    <mergeCell ref="BC3:BF3"/>
    <mergeCell ref="BH2:BW2"/>
    <mergeCell ref="F3:I3"/>
    <mergeCell ref="J3:M3"/>
    <mergeCell ref="N3:Q3"/>
    <mergeCell ref="R3:U3"/>
    <mergeCell ref="Z3:AC3"/>
    <mergeCell ref="AD3:AG3"/>
    <mergeCell ref="AH3:AK3"/>
    <mergeCell ref="BL3:BO3"/>
    <mergeCell ref="BP3:BS3"/>
    <mergeCell ref="BT3:BW3"/>
    <mergeCell ref="AU3:AX3"/>
    <mergeCell ref="AY3:BB3"/>
    <mergeCell ref="BH3:BK3"/>
    <mergeCell ref="AL3:AO3"/>
    <mergeCell ref="AQ3:AT3"/>
    <mergeCell ref="F21:W21"/>
    <mergeCell ref="A11:A14"/>
    <mergeCell ref="B11:B14"/>
    <mergeCell ref="C11:C14"/>
    <mergeCell ref="A8:A10"/>
    <mergeCell ref="B8:B10"/>
    <mergeCell ref="C8:C10"/>
    <mergeCell ref="A25:B25"/>
    <mergeCell ref="A26:B26"/>
    <mergeCell ref="F26:W26"/>
    <mergeCell ref="A22:B22"/>
    <mergeCell ref="F22:W22"/>
    <mergeCell ref="A23:B23"/>
    <mergeCell ref="F23:W23"/>
    <mergeCell ref="A24:B24"/>
    <mergeCell ref="F24:W24"/>
    <mergeCell ref="A5:A7"/>
    <mergeCell ref="B5:B7"/>
    <mergeCell ref="C5:C7"/>
    <mergeCell ref="A20:B20"/>
    <mergeCell ref="A21:B21"/>
  </mergeCells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800E-513F-45CE-B71C-42E4A178274D}">
  <dimension ref="A1:BX30"/>
  <sheetViews>
    <sheetView tabSelected="1" zoomScale="70" zoomScaleNormal="70" workbookViewId="0">
      <pane ySplit="4" topLeftCell="A11" activePane="bottomLeft" state="frozen"/>
      <selection pane="bottomLeft" activeCell="J7" sqref="J7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5" width="15.75" customWidth="1"/>
    <col min="6" max="21" width="9.625" customWidth="1"/>
    <col min="22" max="22" width="14.125" hidden="1" customWidth="1"/>
    <col min="23" max="23" width="35.25" customWidth="1"/>
    <col min="24" max="24" width="15.875" customWidth="1"/>
    <col min="59" max="59" width="25.25" style="44" customWidth="1"/>
  </cols>
  <sheetData>
    <row r="1" spans="1:76" ht="30" customHeight="1" thickBot="1">
      <c r="A1" s="109" t="s">
        <v>82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47" t="s">
        <v>44</v>
      </c>
      <c r="Y1" s="48">
        <v>11</v>
      </c>
      <c r="Z1" s="72" t="s">
        <v>48</v>
      </c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H1" s="43" t="s">
        <v>50</v>
      </c>
    </row>
    <row r="2" spans="1:76" ht="30" customHeight="1">
      <c r="A2" s="112" t="s">
        <v>0</v>
      </c>
      <c r="B2" s="114" t="s">
        <v>1</v>
      </c>
      <c r="C2" s="114" t="s">
        <v>2</v>
      </c>
      <c r="D2" s="116" t="s">
        <v>3</v>
      </c>
      <c r="E2" s="105" t="s">
        <v>4</v>
      </c>
      <c r="F2" s="117"/>
      <c r="G2" s="117"/>
      <c r="H2" s="117"/>
      <c r="I2" s="117"/>
      <c r="J2" s="117"/>
      <c r="K2" s="117"/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9" t="s">
        <v>5</v>
      </c>
      <c r="W2" s="120" t="s">
        <v>6</v>
      </c>
      <c r="X2" s="43" t="s">
        <v>41</v>
      </c>
      <c r="Y2">
        <v>1.3</v>
      </c>
      <c r="Z2" s="100" t="s">
        <v>43</v>
      </c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2"/>
      <c r="AQ2" s="100" t="s">
        <v>46</v>
      </c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2"/>
      <c r="BG2" s="50" t="s">
        <v>52</v>
      </c>
      <c r="BH2" s="100" t="s">
        <v>51</v>
      </c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2"/>
    </row>
    <row r="3" spans="1:76" ht="30" customHeight="1">
      <c r="A3" s="113"/>
      <c r="B3" s="114"/>
      <c r="C3" s="114"/>
      <c r="D3" s="116"/>
      <c r="E3" s="105"/>
      <c r="F3" s="103" t="s">
        <v>7</v>
      </c>
      <c r="G3" s="103"/>
      <c r="H3" s="103"/>
      <c r="I3" s="103"/>
      <c r="J3" s="104" t="s">
        <v>8</v>
      </c>
      <c r="K3" s="103"/>
      <c r="L3" s="103"/>
      <c r="M3" s="103"/>
      <c r="N3" s="105" t="s">
        <v>9</v>
      </c>
      <c r="O3" s="105"/>
      <c r="P3" s="105"/>
      <c r="Q3" s="105"/>
      <c r="R3" s="104" t="s">
        <v>10</v>
      </c>
      <c r="S3" s="103"/>
      <c r="T3" s="103"/>
      <c r="U3" s="103"/>
      <c r="V3" s="105"/>
      <c r="W3" s="104"/>
      <c r="X3" s="45" t="s">
        <v>42</v>
      </c>
      <c r="Y3" s="51">
        <v>0.09</v>
      </c>
      <c r="Z3" s="106" t="s">
        <v>7</v>
      </c>
      <c r="AA3" s="103"/>
      <c r="AB3" s="103"/>
      <c r="AC3" s="103"/>
      <c r="AD3" s="104" t="s">
        <v>8</v>
      </c>
      <c r="AE3" s="103"/>
      <c r="AF3" s="103"/>
      <c r="AG3" s="103"/>
      <c r="AH3" s="105" t="s">
        <v>9</v>
      </c>
      <c r="AI3" s="105"/>
      <c r="AJ3" s="105"/>
      <c r="AK3" s="105"/>
      <c r="AL3" s="104" t="s">
        <v>10</v>
      </c>
      <c r="AM3" s="103"/>
      <c r="AN3" s="103"/>
      <c r="AO3" s="108"/>
      <c r="AQ3" s="106" t="s">
        <v>7</v>
      </c>
      <c r="AR3" s="103"/>
      <c r="AS3" s="103"/>
      <c r="AT3" s="107"/>
      <c r="AU3" s="104" t="s">
        <v>8</v>
      </c>
      <c r="AV3" s="103"/>
      <c r="AW3" s="103"/>
      <c r="AX3" s="107"/>
      <c r="AY3" s="104" t="s">
        <v>9</v>
      </c>
      <c r="AZ3" s="103"/>
      <c r="BA3" s="103"/>
      <c r="BB3" s="107"/>
      <c r="BC3" s="104" t="s">
        <v>10</v>
      </c>
      <c r="BD3" s="103"/>
      <c r="BE3" s="103"/>
      <c r="BF3" s="108"/>
      <c r="BG3" s="50" t="s">
        <v>49</v>
      </c>
      <c r="BH3" s="106" t="s">
        <v>7</v>
      </c>
      <c r="BI3" s="103"/>
      <c r="BJ3" s="103"/>
      <c r="BK3" s="107"/>
      <c r="BL3" s="104" t="s">
        <v>8</v>
      </c>
      <c r="BM3" s="103"/>
      <c r="BN3" s="103"/>
      <c r="BO3" s="107"/>
      <c r="BP3" s="104" t="s">
        <v>9</v>
      </c>
      <c r="BQ3" s="103"/>
      <c r="BR3" s="103"/>
      <c r="BS3" s="107"/>
      <c r="BT3" s="104" t="s">
        <v>10</v>
      </c>
      <c r="BU3" s="103"/>
      <c r="BV3" s="103"/>
      <c r="BW3" s="108"/>
    </row>
    <row r="4" spans="1:76" ht="30" customHeight="1">
      <c r="A4" s="113"/>
      <c r="B4" s="115"/>
      <c r="C4" s="115"/>
      <c r="D4" s="116"/>
      <c r="E4" s="105"/>
      <c r="F4" s="2" t="s">
        <v>26</v>
      </c>
      <c r="G4" s="29" t="s">
        <v>28</v>
      </c>
      <c r="H4" s="29" t="s">
        <v>27</v>
      </c>
      <c r="I4" s="2" t="s">
        <v>12</v>
      </c>
      <c r="J4" s="2" t="s">
        <v>29</v>
      </c>
      <c r="K4" s="29" t="s">
        <v>30</v>
      </c>
      <c r="L4" s="29" t="s">
        <v>65</v>
      </c>
      <c r="M4" s="2" t="s">
        <v>12</v>
      </c>
      <c r="N4" s="2" t="s">
        <v>70</v>
      </c>
      <c r="O4" s="29" t="s">
        <v>33</v>
      </c>
      <c r="P4" s="29" t="s">
        <v>34</v>
      </c>
      <c r="Q4" s="2" t="s">
        <v>12</v>
      </c>
      <c r="R4" s="2" t="s">
        <v>31</v>
      </c>
      <c r="S4" s="29" t="s">
        <v>54</v>
      </c>
      <c r="T4" s="29" t="s">
        <v>35</v>
      </c>
      <c r="U4" s="2" t="s">
        <v>12</v>
      </c>
      <c r="V4" s="105"/>
      <c r="W4" s="104"/>
      <c r="X4" s="46" t="s">
        <v>47</v>
      </c>
      <c r="Y4" s="52">
        <f>1-Y3</f>
        <v>0.91</v>
      </c>
      <c r="Z4" s="42"/>
      <c r="AA4" s="29"/>
      <c r="AB4" s="29" t="s">
        <v>71</v>
      </c>
      <c r="AC4" s="2" t="s">
        <v>12</v>
      </c>
      <c r="AD4" s="29" t="s">
        <v>45</v>
      </c>
      <c r="AE4" s="29"/>
      <c r="AF4" s="29"/>
      <c r="AG4" s="2" t="s">
        <v>12</v>
      </c>
      <c r="AH4" s="35"/>
      <c r="AI4" s="29"/>
      <c r="AJ4" s="29"/>
      <c r="AK4" s="2" t="s">
        <v>12</v>
      </c>
      <c r="AL4" s="2"/>
      <c r="AM4" s="29"/>
      <c r="AN4" s="29"/>
      <c r="AO4" s="53" t="s">
        <v>12</v>
      </c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50" t="s">
        <v>49</v>
      </c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</row>
    <row r="5" spans="1:76" ht="30" customHeight="1">
      <c r="A5" s="90">
        <v>1</v>
      </c>
      <c r="B5" s="93" t="s">
        <v>69</v>
      </c>
      <c r="C5" s="98" t="s">
        <v>68</v>
      </c>
      <c r="D5" s="8" t="s">
        <v>13</v>
      </c>
      <c r="E5" s="5">
        <v>2175.12</v>
      </c>
      <c r="F5" s="37">
        <f>$E5/100*$Y$1*$Y$2*Z5*AQ5*(IF($D5="总图",$Y$3,$Y$4))</f>
        <v>3.3592553279999997</v>
      </c>
      <c r="G5" s="37">
        <f t="shared" ref="G5:H6" si="0">$E5/100*$Y$1*$Y$2*AA5*AR5*(IF($D5="总图",$Y$3,$Y$4))</f>
        <v>0.33592553279999993</v>
      </c>
      <c r="H5" s="37">
        <f t="shared" si="0"/>
        <v>0.41990691599999996</v>
      </c>
      <c r="I5" s="37"/>
      <c r="J5" s="37">
        <f>$E5/100*$Y$1*$Y$2*AD5*AU5*(IF($D5="总图",$Y$3,$Y$4))</f>
        <v>0.27545893689599993</v>
      </c>
      <c r="K5" s="37">
        <f t="shared" ref="K5" si="1">$E5/100*$Y$1*$Y$2*AE5*AV5*(IF($D5="总图",$Y$3,$Y$4))</f>
        <v>2.6874042623999995E-2</v>
      </c>
      <c r="L5" s="37">
        <f t="shared" ref="L5" si="2">$E5/100*$Y$1*$Y$2*AF5*AW5*(IF($D5="总图",$Y$3,$Y$4))</f>
        <v>2.6874042623999995E-2</v>
      </c>
      <c r="M5" s="37"/>
      <c r="N5" s="37">
        <f t="shared" ref="N5:P6" si="3">$E5/100*$Y$1*$Y$2*AH5*AY5*(IF($D5="总图",$Y$3,$Y$4))</f>
        <v>2.0659420267199997</v>
      </c>
      <c r="O5" s="37">
        <f t="shared" si="3"/>
        <v>0.20155531967999996</v>
      </c>
      <c r="P5" s="37">
        <f t="shared" si="3"/>
        <v>0.20155531967999996</v>
      </c>
      <c r="Q5" s="37"/>
      <c r="R5" s="37">
        <f t="shared" ref="R5:T6" si="4">$E5/100*$Y$1*$Y$2*AL5*BC5*(IF($D5="总图",$Y$3,$Y$4))</f>
        <v>1.0329710133599999</v>
      </c>
      <c r="S5" s="37">
        <f t="shared" si="4"/>
        <v>0.10077765983999998</v>
      </c>
      <c r="T5" s="37">
        <f t="shared" si="4"/>
        <v>0.10077765983999998</v>
      </c>
      <c r="U5" s="37"/>
      <c r="V5" s="20"/>
      <c r="W5" s="21"/>
      <c r="X5" s="8"/>
      <c r="Z5" s="54">
        <v>0.8</v>
      </c>
      <c r="AA5" s="36">
        <v>0.08</v>
      </c>
      <c r="AB5" s="36">
        <v>0.1</v>
      </c>
      <c r="AC5" s="33"/>
      <c r="AD5" s="37">
        <v>0.82</v>
      </c>
      <c r="AE5" s="36">
        <v>0.08</v>
      </c>
      <c r="AF5" s="36">
        <v>0.08</v>
      </c>
      <c r="AG5" s="33"/>
      <c r="AH5" s="37">
        <v>0.82</v>
      </c>
      <c r="AI5" s="36">
        <v>0.08</v>
      </c>
      <c r="AJ5" s="36">
        <v>0.08</v>
      </c>
      <c r="AK5" s="33"/>
      <c r="AL5" s="37">
        <v>0.82</v>
      </c>
      <c r="AM5" s="36">
        <v>0.08</v>
      </c>
      <c r="AN5" s="36">
        <v>0.08</v>
      </c>
      <c r="AO5" s="28"/>
      <c r="AP5" s="8" t="s">
        <v>13</v>
      </c>
      <c r="AQ5" s="61">
        <f>$BG5*BH5</f>
        <v>0.15</v>
      </c>
      <c r="AR5" s="61">
        <f t="shared" ref="AR5:AS6" si="5">$BG5*BI5</f>
        <v>0.15</v>
      </c>
      <c r="AS5" s="61">
        <f t="shared" si="5"/>
        <v>0.15</v>
      </c>
      <c r="AT5" s="61"/>
      <c r="AU5" s="61">
        <f>$BG5*BL5</f>
        <v>1.2E-2</v>
      </c>
      <c r="AV5" s="61">
        <f t="shared" ref="AV5:AW6" si="6">$BG5*BM5</f>
        <v>1.2E-2</v>
      </c>
      <c r="AW5" s="61">
        <f t="shared" si="6"/>
        <v>1.2E-2</v>
      </c>
      <c r="AX5" s="61"/>
      <c r="AY5" s="61">
        <f>$BG5*BP5</f>
        <v>0.09</v>
      </c>
      <c r="AZ5" s="61">
        <f t="shared" ref="AZ5:BA6" si="7">$BG5*BQ5</f>
        <v>0.09</v>
      </c>
      <c r="BA5" s="61">
        <f t="shared" si="7"/>
        <v>0.09</v>
      </c>
      <c r="BB5" s="61"/>
      <c r="BC5" s="61">
        <f>$BG5*BT5</f>
        <v>4.4999999999999998E-2</v>
      </c>
      <c r="BD5" s="61">
        <f t="shared" ref="BD5:BE6" si="8">$BG5*BU5</f>
        <v>4.4999999999999998E-2</v>
      </c>
      <c r="BE5" s="61">
        <f t="shared" si="8"/>
        <v>4.4999999999999998E-2</v>
      </c>
      <c r="BF5" s="61"/>
      <c r="BG5" s="44">
        <v>0.3</v>
      </c>
      <c r="BH5" s="61">
        <v>0.5</v>
      </c>
      <c r="BI5" s="61">
        <f>BH5</f>
        <v>0.5</v>
      </c>
      <c r="BJ5" s="61">
        <f>BI5</f>
        <v>0.5</v>
      </c>
      <c r="BK5" s="61"/>
      <c r="BL5" s="61">
        <v>0.04</v>
      </c>
      <c r="BM5" s="61">
        <f>BL5</f>
        <v>0.04</v>
      </c>
      <c r="BN5" s="61">
        <f>BM5</f>
        <v>0.04</v>
      </c>
      <c r="BO5" s="61"/>
      <c r="BP5" s="61">
        <v>0.3</v>
      </c>
      <c r="BQ5" s="61">
        <f>BP5</f>
        <v>0.3</v>
      </c>
      <c r="BR5" s="61">
        <f>BQ5</f>
        <v>0.3</v>
      </c>
      <c r="BS5" s="61"/>
      <c r="BT5" s="61">
        <v>0.15</v>
      </c>
      <c r="BU5" s="61">
        <f>BT5</f>
        <v>0.15</v>
      </c>
      <c r="BV5" s="61">
        <f>BU5</f>
        <v>0.15</v>
      </c>
      <c r="BW5" s="61"/>
      <c r="BX5" s="8" t="s">
        <v>13</v>
      </c>
    </row>
    <row r="6" spans="1:76" ht="30" customHeight="1">
      <c r="A6" s="97"/>
      <c r="B6" s="94"/>
      <c r="C6" s="99"/>
      <c r="D6" s="4" t="s">
        <v>14</v>
      </c>
      <c r="E6" s="5">
        <v>2175.12</v>
      </c>
      <c r="F6" s="37">
        <f>$E6/100*$Y$1*$Y$2*Z6*AQ6*(IF($D6="总图",$Y$3,$Y$4))*2</f>
        <v>21.73811447808</v>
      </c>
      <c r="G6" s="37">
        <f t="shared" si="0"/>
        <v>1.0869057239039999</v>
      </c>
      <c r="H6" s="37">
        <f t="shared" si="0"/>
        <v>1.35863215488</v>
      </c>
      <c r="I6" s="37"/>
      <c r="J6" s="37">
        <f>$E6/100*$Y$1*$Y$2*AD6*AU6*(IF($D6="总图",$Y$3,$Y$4))</f>
        <v>20.424770061696002</v>
      </c>
      <c r="K6" s="37">
        <f t="shared" ref="K6:L6" si="9">$E6/100*$Y$1*$Y$2*AE6*AV6*(IF($D6="总图",$Y$3,$Y$4))</f>
        <v>1.992660493824</v>
      </c>
      <c r="L6" s="37">
        <f t="shared" si="9"/>
        <v>1.992660493824</v>
      </c>
      <c r="M6" s="37"/>
      <c r="N6" s="37">
        <f t="shared" si="3"/>
        <v>6.9629897937599994</v>
      </c>
      <c r="O6" s="37">
        <f t="shared" si="3"/>
        <v>0.67931607743999989</v>
      </c>
      <c r="P6" s="37">
        <f t="shared" si="3"/>
        <v>0.67931607743999989</v>
      </c>
      <c r="Q6" s="37"/>
      <c r="R6" s="37">
        <f t="shared" si="4"/>
        <v>7.4271891133439993</v>
      </c>
      <c r="S6" s="37">
        <f t="shared" si="4"/>
        <v>0.72460381593599998</v>
      </c>
      <c r="T6" s="37">
        <f t="shared" si="4"/>
        <v>0.72460381593599998</v>
      </c>
      <c r="U6" s="37"/>
      <c r="V6" s="20"/>
      <c r="W6" s="19" t="s">
        <v>81</v>
      </c>
      <c r="X6" s="4"/>
      <c r="Z6" s="54">
        <v>0.8</v>
      </c>
      <c r="AA6" s="36">
        <v>0.08</v>
      </c>
      <c r="AB6" s="36">
        <v>0.1</v>
      </c>
      <c r="AC6" s="33"/>
      <c r="AD6" s="37">
        <v>0.82</v>
      </c>
      <c r="AE6" s="36">
        <v>0.08</v>
      </c>
      <c r="AF6" s="36">
        <v>0.08</v>
      </c>
      <c r="AG6" s="33"/>
      <c r="AH6" s="37">
        <v>0.82</v>
      </c>
      <c r="AI6" s="36">
        <v>0.08</v>
      </c>
      <c r="AJ6" s="36">
        <v>0.08</v>
      </c>
      <c r="AK6" s="33"/>
      <c r="AL6" s="37">
        <v>0.82</v>
      </c>
      <c r="AM6" s="36">
        <v>0.08</v>
      </c>
      <c r="AN6" s="36">
        <v>0.08</v>
      </c>
      <c r="AO6" s="28"/>
      <c r="AP6" s="4" t="s">
        <v>14</v>
      </c>
      <c r="AQ6" s="61">
        <f>$BG6*BH6</f>
        <v>4.8000000000000001E-2</v>
      </c>
      <c r="AR6" s="61">
        <f t="shared" si="5"/>
        <v>4.8000000000000001E-2</v>
      </c>
      <c r="AS6" s="61">
        <f t="shared" si="5"/>
        <v>4.8000000000000001E-2</v>
      </c>
      <c r="AT6" s="61"/>
      <c r="AU6" s="61">
        <f>$BG6*BL6</f>
        <v>8.8000000000000009E-2</v>
      </c>
      <c r="AV6" s="61">
        <f t="shared" si="6"/>
        <v>8.8000000000000009E-2</v>
      </c>
      <c r="AW6" s="61">
        <f t="shared" si="6"/>
        <v>8.8000000000000009E-2</v>
      </c>
      <c r="AX6" s="61"/>
      <c r="AY6" s="61">
        <f>$BG6*BP6</f>
        <v>0.03</v>
      </c>
      <c r="AZ6" s="61">
        <f t="shared" si="7"/>
        <v>0.03</v>
      </c>
      <c r="BA6" s="61">
        <f t="shared" si="7"/>
        <v>0.03</v>
      </c>
      <c r="BB6" s="61"/>
      <c r="BC6" s="61">
        <f>$BG6*BT6</f>
        <v>3.2000000000000001E-2</v>
      </c>
      <c r="BD6" s="61">
        <f t="shared" si="8"/>
        <v>3.2000000000000001E-2</v>
      </c>
      <c r="BE6" s="61">
        <f t="shared" si="8"/>
        <v>3.2000000000000001E-2</v>
      </c>
      <c r="BF6" s="61"/>
      <c r="BG6" s="44">
        <v>0.2</v>
      </c>
      <c r="BH6" s="61">
        <v>0.24</v>
      </c>
      <c r="BI6" s="61">
        <f t="shared" ref="BI6:BJ6" si="10">BH6</f>
        <v>0.24</v>
      </c>
      <c r="BJ6" s="61">
        <f t="shared" si="10"/>
        <v>0.24</v>
      </c>
      <c r="BK6" s="61"/>
      <c r="BL6" s="61">
        <v>0.44</v>
      </c>
      <c r="BM6" s="61">
        <f t="shared" ref="BM6:BN6" si="11">BL6</f>
        <v>0.44</v>
      </c>
      <c r="BN6" s="61">
        <f t="shared" si="11"/>
        <v>0.44</v>
      </c>
      <c r="BO6" s="61"/>
      <c r="BP6" s="61">
        <v>0.15</v>
      </c>
      <c r="BQ6" s="61">
        <f t="shared" ref="BQ6:BR6" si="12">BP6</f>
        <v>0.15</v>
      </c>
      <c r="BR6" s="61">
        <f t="shared" si="12"/>
        <v>0.15</v>
      </c>
      <c r="BS6" s="61"/>
      <c r="BT6" s="61">
        <v>0.16</v>
      </c>
      <c r="BU6" s="61">
        <f t="shared" ref="BU6:BV6" si="13">BT6</f>
        <v>0.16</v>
      </c>
      <c r="BV6" s="61">
        <f t="shared" si="13"/>
        <v>0.16</v>
      </c>
      <c r="BW6" s="61"/>
      <c r="BX6" s="4" t="s">
        <v>14</v>
      </c>
    </row>
    <row r="7" spans="1:76" ht="30" customHeight="1">
      <c r="A7" s="97"/>
      <c r="B7" s="95"/>
      <c r="C7" s="99"/>
      <c r="D7" s="3"/>
      <c r="E7" s="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9"/>
      <c r="V7" s="20"/>
      <c r="W7" s="21"/>
      <c r="Z7" s="55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28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</row>
    <row r="8" spans="1:76" ht="30" customHeight="1">
      <c r="A8" s="90">
        <v>2</v>
      </c>
      <c r="B8" s="93" t="s">
        <v>32</v>
      </c>
      <c r="C8" s="93" t="s">
        <v>68</v>
      </c>
      <c r="D8" s="8" t="s">
        <v>13</v>
      </c>
      <c r="E8" s="5">
        <v>2175.12</v>
      </c>
      <c r="F8" s="37">
        <f>$E8/100*$Y$1*$Y$2*Z8*AQ8*(IF($D8="总图",$Y$3,$Y$4))</f>
        <v>5.7779191641599992</v>
      </c>
      <c r="G8" s="37">
        <f t="shared" ref="G8:T9" si="14">$E8/100*$Y$1*$Y$2*AA8*AR8*(IF($D8="总图",$Y$3,$Y$4))</f>
        <v>0.57779191641599992</v>
      </c>
      <c r="H8" s="37">
        <f t="shared" si="14"/>
        <v>0.7222398955199999</v>
      </c>
      <c r="I8" s="37"/>
      <c r="J8" s="37">
        <f>$E8/100*$Y$1*$Y$2*AD8*AU8*(IF($D8="总图",$Y$3,$Y$4))</f>
        <v>0.55091787379199986</v>
      </c>
      <c r="K8" s="37">
        <f t="shared" ref="K8" si="15">$E8/100*$Y$1*$Y$2*AE8*AV8*(IF($D8="总图",$Y$3,$Y$4))</f>
        <v>5.374808524799999E-2</v>
      </c>
      <c r="L8" s="37">
        <f t="shared" ref="L8" si="16">$E8/100*$Y$1*$Y$2*AF8*AW8*(IF($D8="总图",$Y$3,$Y$4))</f>
        <v>5.374808524799999E-2</v>
      </c>
      <c r="M8" s="37"/>
      <c r="N8" s="37">
        <f t="shared" si="14"/>
        <v>4.8205313956799989</v>
      </c>
      <c r="O8" s="37">
        <f t="shared" si="14"/>
        <v>0.47029574591999995</v>
      </c>
      <c r="P8" s="37">
        <f t="shared" si="14"/>
        <v>0.47029574591999995</v>
      </c>
      <c r="Q8" s="37"/>
      <c r="R8" s="37">
        <f t="shared" si="14"/>
        <v>2.341400963616</v>
      </c>
      <c r="S8" s="37">
        <f t="shared" si="14"/>
        <v>0.22842936230399999</v>
      </c>
      <c r="T8" s="37">
        <f t="shared" si="14"/>
        <v>0.22842936230399999</v>
      </c>
      <c r="U8" s="37"/>
      <c r="V8" s="22"/>
      <c r="W8" s="23"/>
      <c r="Z8" s="54">
        <v>0.8</v>
      </c>
      <c r="AA8" s="36">
        <v>0.08</v>
      </c>
      <c r="AB8" s="36">
        <v>0.1</v>
      </c>
      <c r="AC8" s="33"/>
      <c r="AD8" s="37">
        <v>0.82</v>
      </c>
      <c r="AE8" s="36">
        <v>0.08</v>
      </c>
      <c r="AF8" s="36">
        <v>0.08</v>
      </c>
      <c r="AG8" s="33"/>
      <c r="AH8" s="37">
        <v>0.82</v>
      </c>
      <c r="AI8" s="36">
        <v>0.08</v>
      </c>
      <c r="AJ8" s="36">
        <v>0.08</v>
      </c>
      <c r="AK8" s="33"/>
      <c r="AL8" s="37">
        <v>0.82</v>
      </c>
      <c r="AM8" s="36">
        <v>0.08</v>
      </c>
      <c r="AN8" s="36">
        <v>0.08</v>
      </c>
      <c r="AO8" s="28"/>
      <c r="AP8" s="8" t="s">
        <v>13</v>
      </c>
      <c r="AQ8" s="61">
        <f>$BG8*BH8</f>
        <v>0.25800000000000001</v>
      </c>
      <c r="AR8" s="61">
        <f t="shared" ref="AR8:AS9" si="17">$BG8*BI8</f>
        <v>0.25800000000000001</v>
      </c>
      <c r="AS8" s="61">
        <f t="shared" si="17"/>
        <v>0.25800000000000001</v>
      </c>
      <c r="AT8" s="61"/>
      <c r="AU8" s="61">
        <f>$BG8*BL8</f>
        <v>2.4E-2</v>
      </c>
      <c r="AV8" s="61">
        <f t="shared" ref="AV8:AW9" si="18">$BG8*BM8</f>
        <v>2.4E-2</v>
      </c>
      <c r="AW8" s="61">
        <f t="shared" si="18"/>
        <v>2.4E-2</v>
      </c>
      <c r="AX8" s="61"/>
      <c r="AY8" s="61">
        <f>$BG8*BP8</f>
        <v>0.21</v>
      </c>
      <c r="AZ8" s="61">
        <f t="shared" ref="AZ8:BA9" si="19">$BG8*BQ8</f>
        <v>0.21</v>
      </c>
      <c r="BA8" s="61">
        <f t="shared" si="19"/>
        <v>0.21</v>
      </c>
      <c r="BB8" s="61"/>
      <c r="BC8" s="61">
        <f>$BG8*BT8</f>
        <v>0.10200000000000001</v>
      </c>
      <c r="BD8" s="61">
        <f t="shared" ref="BD8:BE9" si="20">$BG8*BU8</f>
        <v>0.10200000000000001</v>
      </c>
      <c r="BE8" s="61">
        <f t="shared" si="20"/>
        <v>0.10200000000000001</v>
      </c>
      <c r="BF8" s="61"/>
      <c r="BG8" s="44">
        <v>0.6</v>
      </c>
      <c r="BH8" s="61">
        <v>0.43</v>
      </c>
      <c r="BI8" s="61">
        <f t="shared" ref="BI8:BJ9" si="21">BH8</f>
        <v>0.43</v>
      </c>
      <c r="BJ8" s="61">
        <f t="shared" si="21"/>
        <v>0.43</v>
      </c>
      <c r="BK8" s="61"/>
      <c r="BL8" s="61">
        <v>0.04</v>
      </c>
      <c r="BM8" s="61">
        <f t="shared" ref="BM8:BN9" si="22">BL8</f>
        <v>0.04</v>
      </c>
      <c r="BN8" s="61">
        <f t="shared" si="22"/>
        <v>0.04</v>
      </c>
      <c r="BO8" s="61"/>
      <c r="BP8" s="61">
        <v>0.35</v>
      </c>
      <c r="BQ8" s="61">
        <f t="shared" ref="BQ8:BR9" si="23">BP8</f>
        <v>0.35</v>
      </c>
      <c r="BR8" s="61">
        <f t="shared" si="23"/>
        <v>0.35</v>
      </c>
      <c r="BS8" s="61"/>
      <c r="BT8" s="61">
        <v>0.17</v>
      </c>
      <c r="BU8" s="61">
        <f t="shared" ref="BU8:BV9" si="24">BT8</f>
        <v>0.17</v>
      </c>
      <c r="BV8" s="61">
        <f t="shared" si="24"/>
        <v>0.17</v>
      </c>
      <c r="BW8" s="61"/>
      <c r="BX8" s="8" t="s">
        <v>13</v>
      </c>
    </row>
    <row r="9" spans="1:76" s="1" customFormat="1" ht="30" customHeight="1" thickBot="1">
      <c r="A9" s="91"/>
      <c r="B9" s="94"/>
      <c r="C9" s="96"/>
      <c r="D9" s="4" t="s">
        <v>14</v>
      </c>
      <c r="E9" s="5">
        <v>2175.12</v>
      </c>
      <c r="F9" s="37">
        <f>$E9/100*$Y$1*$Y$2*Z9*AQ9*(IF($D9="总图",$Y$3,$Y$4))</f>
        <v>32.607171717119996</v>
      </c>
      <c r="G9" s="37">
        <f t="shared" si="14"/>
        <v>3.2607171717119994</v>
      </c>
      <c r="H9" s="37">
        <f t="shared" si="14"/>
        <v>4.0758964646399996</v>
      </c>
      <c r="I9" s="37"/>
      <c r="J9" s="37">
        <f t="shared" si="14"/>
        <v>61.274310185087998</v>
      </c>
      <c r="K9" s="37">
        <f t="shared" si="14"/>
        <v>5.9779814814719998</v>
      </c>
      <c r="L9" s="37">
        <f t="shared" si="14"/>
        <v>5.9779814814719998</v>
      </c>
      <c r="M9" s="37"/>
      <c r="N9" s="37">
        <f t="shared" si="14"/>
        <v>20.888969381279999</v>
      </c>
      <c r="O9" s="37">
        <f t="shared" si="14"/>
        <v>2.0379482323199998</v>
      </c>
      <c r="P9" s="37">
        <f t="shared" si="14"/>
        <v>2.0379482323199998</v>
      </c>
      <c r="Q9" s="37"/>
      <c r="R9" s="37">
        <f t="shared" si="14"/>
        <v>22.281567340031998</v>
      </c>
      <c r="S9" s="37">
        <f t="shared" si="14"/>
        <v>2.1738114478079997</v>
      </c>
      <c r="T9" s="37">
        <f t="shared" si="14"/>
        <v>2.1738114478079997</v>
      </c>
      <c r="U9" s="37"/>
      <c r="V9" s="24"/>
      <c r="W9" s="23"/>
      <c r="Z9" s="56">
        <v>0.8</v>
      </c>
      <c r="AA9" s="57">
        <v>0.08</v>
      </c>
      <c r="AB9" s="36">
        <v>0.1</v>
      </c>
      <c r="AC9" s="58"/>
      <c r="AD9" s="59">
        <v>0.82</v>
      </c>
      <c r="AE9" s="57">
        <v>0.08</v>
      </c>
      <c r="AF9" s="36">
        <v>0.08</v>
      </c>
      <c r="AG9" s="58"/>
      <c r="AH9" s="37">
        <v>0.82</v>
      </c>
      <c r="AI9" s="57">
        <v>0.08</v>
      </c>
      <c r="AJ9" s="57">
        <v>0.08</v>
      </c>
      <c r="AK9" s="58"/>
      <c r="AL9" s="37">
        <v>0.82</v>
      </c>
      <c r="AM9" s="57">
        <v>0.08</v>
      </c>
      <c r="AN9" s="57">
        <v>0.08</v>
      </c>
      <c r="AO9" s="60"/>
      <c r="AP9" s="4" t="s">
        <v>14</v>
      </c>
      <c r="AQ9" s="61">
        <f>$BG9*BH9</f>
        <v>0.14399999999999999</v>
      </c>
      <c r="AR9" s="61">
        <f t="shared" si="17"/>
        <v>0.14399999999999999</v>
      </c>
      <c r="AS9" s="61">
        <f t="shared" si="17"/>
        <v>0.14399999999999999</v>
      </c>
      <c r="AT9" s="61"/>
      <c r="AU9" s="61">
        <f>$BG9*BL9</f>
        <v>0.26400000000000001</v>
      </c>
      <c r="AV9" s="61">
        <f t="shared" si="18"/>
        <v>0.26400000000000001</v>
      </c>
      <c r="AW9" s="61">
        <f t="shared" si="18"/>
        <v>0.26400000000000001</v>
      </c>
      <c r="AX9" s="61"/>
      <c r="AY9" s="61">
        <f>$BG9*BP9</f>
        <v>0.09</v>
      </c>
      <c r="AZ9" s="61">
        <f t="shared" si="19"/>
        <v>0.09</v>
      </c>
      <c r="BA9" s="61">
        <f t="shared" si="19"/>
        <v>0.09</v>
      </c>
      <c r="BB9" s="61"/>
      <c r="BC9" s="61">
        <f>$BG9*BT9</f>
        <v>9.6000000000000002E-2</v>
      </c>
      <c r="BD9" s="61">
        <f t="shared" si="20"/>
        <v>9.6000000000000002E-2</v>
      </c>
      <c r="BE9" s="61">
        <f t="shared" si="20"/>
        <v>9.6000000000000002E-2</v>
      </c>
      <c r="BF9" s="61"/>
      <c r="BG9" s="44">
        <v>0.6</v>
      </c>
      <c r="BH9" s="61">
        <v>0.24</v>
      </c>
      <c r="BI9" s="61">
        <f t="shared" si="21"/>
        <v>0.24</v>
      </c>
      <c r="BJ9" s="61">
        <f t="shared" si="21"/>
        <v>0.24</v>
      </c>
      <c r="BK9" s="61"/>
      <c r="BL9" s="61">
        <v>0.44</v>
      </c>
      <c r="BM9" s="61">
        <f t="shared" si="22"/>
        <v>0.44</v>
      </c>
      <c r="BN9" s="61">
        <f t="shared" si="22"/>
        <v>0.44</v>
      </c>
      <c r="BO9" s="61"/>
      <c r="BP9" s="61">
        <v>0.15</v>
      </c>
      <c r="BQ9" s="61">
        <f t="shared" si="23"/>
        <v>0.15</v>
      </c>
      <c r="BR9" s="61">
        <f t="shared" si="23"/>
        <v>0.15</v>
      </c>
      <c r="BS9" s="61"/>
      <c r="BT9" s="61">
        <v>0.16</v>
      </c>
      <c r="BU9" s="61">
        <f t="shared" si="24"/>
        <v>0.16</v>
      </c>
      <c r="BV9" s="61">
        <f t="shared" si="24"/>
        <v>0.16</v>
      </c>
      <c r="BW9" s="61"/>
      <c r="BX9" s="4" t="s">
        <v>14</v>
      </c>
    </row>
    <row r="10" spans="1:76" s="1" customFormat="1" ht="30" customHeight="1">
      <c r="A10" s="91"/>
      <c r="B10" s="94"/>
      <c r="C10" s="96"/>
      <c r="D10" s="3"/>
      <c r="E10" s="5"/>
      <c r="F10" s="33"/>
      <c r="G10" s="33"/>
      <c r="H10" s="31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9"/>
      <c r="V10" s="24"/>
      <c r="W10" s="25"/>
      <c r="BG10" s="49"/>
    </row>
    <row r="11" spans="1:76" ht="30" customHeight="1">
      <c r="A11" s="92"/>
      <c r="B11" s="95"/>
      <c r="C11" s="95"/>
      <c r="D11" s="8"/>
      <c r="E11" s="5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9"/>
      <c r="V11" s="22"/>
      <c r="W11" s="21"/>
    </row>
    <row r="12" spans="1:76" ht="30" customHeight="1">
      <c r="A12" s="62">
        <v>3</v>
      </c>
      <c r="B12" s="66" t="s">
        <v>78</v>
      </c>
      <c r="C12" s="6" t="s">
        <v>67</v>
      </c>
      <c r="D12" s="123" t="s">
        <v>79</v>
      </c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5"/>
    </row>
    <row r="13" spans="1:76" ht="30" customHeight="1">
      <c r="A13" s="10" t="s">
        <v>11</v>
      </c>
      <c r="B13" s="30"/>
      <c r="C13" s="4"/>
      <c r="D13" s="11" t="s">
        <v>15</v>
      </c>
      <c r="E13" s="2" t="s">
        <v>26</v>
      </c>
      <c r="F13" s="32">
        <f>SUM(F5:H9)*0.09</f>
        <v>6.7788428816908786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11"/>
      <c r="V13" s="22"/>
      <c r="W13" s="21"/>
    </row>
    <row r="14" spans="1:76" ht="30" customHeight="1">
      <c r="A14" s="10" t="s">
        <v>11</v>
      </c>
      <c r="B14" s="30"/>
      <c r="C14" s="4"/>
      <c r="D14" s="11" t="s">
        <v>16</v>
      </c>
      <c r="E14" s="35" t="s">
        <v>29</v>
      </c>
      <c r="F14" s="32"/>
      <c r="G14" s="32"/>
      <c r="H14" s="32"/>
      <c r="I14" s="32"/>
      <c r="J14" s="32">
        <f>SUM(J5:L9)*0.09</f>
        <v>8.8765186737427193</v>
      </c>
      <c r="K14" s="32"/>
      <c r="L14" s="32"/>
      <c r="M14" s="32"/>
      <c r="N14" s="33"/>
      <c r="O14" s="33"/>
      <c r="P14" s="33"/>
      <c r="Q14" s="33"/>
      <c r="R14" s="33"/>
      <c r="S14" s="33"/>
      <c r="T14" s="33"/>
      <c r="U14" s="11"/>
      <c r="V14" s="7"/>
      <c r="W14" s="21"/>
    </row>
    <row r="15" spans="1:76" ht="30" customHeight="1">
      <c r="A15" s="10" t="s">
        <v>11</v>
      </c>
      <c r="B15" s="30"/>
      <c r="C15" s="4"/>
      <c r="D15" s="11" t="s">
        <v>17</v>
      </c>
      <c r="E15" s="2" t="s">
        <v>70</v>
      </c>
      <c r="F15" s="32"/>
      <c r="G15" s="32"/>
      <c r="H15" s="32"/>
      <c r="I15" s="32"/>
      <c r="J15" s="32"/>
      <c r="K15" s="32"/>
      <c r="L15" s="32"/>
      <c r="M15" s="32"/>
      <c r="N15" s="32">
        <f>SUM(N5:P9)*0.09</f>
        <v>3.7364997013343992</v>
      </c>
      <c r="O15" s="32"/>
      <c r="P15" s="32"/>
      <c r="Q15" s="32"/>
      <c r="R15" s="33"/>
      <c r="S15" s="33"/>
      <c r="T15" s="33"/>
      <c r="U15" s="11"/>
      <c r="V15" s="7"/>
      <c r="W15" s="21"/>
    </row>
    <row r="16" spans="1:76" ht="30" customHeight="1">
      <c r="A16" s="10" t="s">
        <v>11</v>
      </c>
      <c r="B16" s="30"/>
      <c r="C16" s="4"/>
      <c r="D16" s="11" t="s">
        <v>18</v>
      </c>
      <c r="E16" s="2" t="s">
        <v>31</v>
      </c>
      <c r="F16" s="12"/>
      <c r="G16" s="12"/>
      <c r="H16" s="12"/>
      <c r="I16" s="12"/>
      <c r="J16" s="12"/>
      <c r="K16" s="12"/>
      <c r="L16" s="12"/>
      <c r="M16" s="7"/>
      <c r="N16" s="7"/>
      <c r="O16" s="7"/>
      <c r="P16" s="11"/>
      <c r="Q16" s="11"/>
      <c r="R16" s="32">
        <f>SUM(R5:T9)*0.09</f>
        <v>3.5584535701915194</v>
      </c>
      <c r="S16" s="12"/>
      <c r="T16" s="12"/>
      <c r="U16" s="12"/>
      <c r="V16" s="7"/>
      <c r="W16" s="21"/>
    </row>
    <row r="17" spans="1:23" ht="30" customHeight="1">
      <c r="A17" s="13" t="s">
        <v>11</v>
      </c>
      <c r="B17" s="6"/>
      <c r="C17" s="4"/>
      <c r="D17" s="11" t="s">
        <v>19</v>
      </c>
      <c r="E17" s="34" t="s">
        <v>30</v>
      </c>
      <c r="F17" s="14"/>
      <c r="G17" s="14"/>
      <c r="H17" s="14"/>
      <c r="I17" s="14"/>
      <c r="K17" s="14">
        <f>SUM(F5:T9)*0.15</f>
        <v>38.250524711599191</v>
      </c>
      <c r="L17" s="14"/>
      <c r="M17" s="14"/>
      <c r="N17" s="14"/>
      <c r="O17" s="14"/>
      <c r="P17" s="14"/>
      <c r="Q17" s="14"/>
      <c r="R17" s="26"/>
      <c r="S17" s="27"/>
      <c r="T17" s="27"/>
      <c r="U17" s="27"/>
      <c r="V17" s="7"/>
      <c r="W17" s="21"/>
    </row>
    <row r="18" spans="1:23" ht="30" customHeight="1">
      <c r="A18" s="78" t="s">
        <v>20</v>
      </c>
      <c r="B18" s="79"/>
      <c r="C18" s="11"/>
      <c r="D18" s="11"/>
      <c r="E18" s="9"/>
      <c r="F18" s="9">
        <f>SUM(F5:F16)</f>
        <v>70.261303569050881</v>
      </c>
      <c r="G18" s="9">
        <f>SUM(G5:G16)</f>
        <v>5.2613403448319991</v>
      </c>
      <c r="H18" s="9">
        <f>SUM(H5:H16)</f>
        <v>6.57667543104</v>
      </c>
      <c r="I18" s="9"/>
      <c r="J18" s="9">
        <f>SUM(J5:J17)</f>
        <v>91.401975731214719</v>
      </c>
      <c r="K18" s="9">
        <f>SUM(K5:K17)</f>
        <v>46.301788814767193</v>
      </c>
      <c r="L18" s="9">
        <f>SUM(L5:L16)</f>
        <v>8.0512641031680001</v>
      </c>
      <c r="M18" s="9"/>
      <c r="N18" s="9">
        <f>SUM(N5:N16)</f>
        <v>38.474932298774398</v>
      </c>
      <c r="O18" s="9">
        <f>SUM(O5:O16)</f>
        <v>3.3891153753599994</v>
      </c>
      <c r="P18" s="9">
        <f>SUM(P5:P16)</f>
        <v>3.3891153753599994</v>
      </c>
      <c r="Q18" s="9"/>
      <c r="R18" s="9">
        <f>SUM(R5:R16)</f>
        <v>36.641582000543515</v>
      </c>
      <c r="S18" s="9">
        <f>SUM(S5:S16)</f>
        <v>3.2276222858879997</v>
      </c>
      <c r="T18" s="9">
        <f>SUM(T5:T16)</f>
        <v>3.2276222858879997</v>
      </c>
      <c r="U18" s="9"/>
      <c r="V18" s="7"/>
      <c r="W18" s="28"/>
    </row>
    <row r="19" spans="1:23" ht="30" customHeight="1">
      <c r="A19" s="80" t="s">
        <v>21</v>
      </c>
      <c r="B19" s="81"/>
      <c r="C19" s="5">
        <f>SUM(F5:H16)</f>
        <v>82.099319344922861</v>
      </c>
      <c r="D19" s="5"/>
      <c r="E19" s="15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9"/>
    </row>
    <row r="20" spans="1:23" ht="30" customHeight="1">
      <c r="A20" s="80" t="s">
        <v>22</v>
      </c>
      <c r="B20" s="81"/>
      <c r="C20" s="5">
        <f>SUM(J5:L16)</f>
        <v>107.50450393755072</v>
      </c>
      <c r="D20" s="5"/>
      <c r="E20" s="15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9"/>
    </row>
    <row r="21" spans="1:23" ht="30" customHeight="1">
      <c r="A21" s="80" t="s">
        <v>23</v>
      </c>
      <c r="B21" s="81"/>
      <c r="C21" s="5">
        <f>SUM(N5:P16)</f>
        <v>45.253163049494397</v>
      </c>
      <c r="D21" s="5"/>
      <c r="E21" s="15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9"/>
    </row>
    <row r="22" spans="1:23" ht="30" customHeight="1">
      <c r="A22" s="80" t="s">
        <v>24</v>
      </c>
      <c r="B22" s="81"/>
      <c r="C22" s="5">
        <f>SUM(R5:T16)</f>
        <v>43.096826572319515</v>
      </c>
      <c r="D22" s="5"/>
      <c r="E22" s="15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9"/>
    </row>
    <row r="23" spans="1:23" ht="30" customHeight="1">
      <c r="A23" s="82" t="s">
        <v>38</v>
      </c>
      <c r="B23" s="83"/>
      <c r="C23" s="38">
        <f>K17</f>
        <v>38.250524711599191</v>
      </c>
      <c r="D23" s="38"/>
      <c r="E23" s="39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</row>
    <row r="24" spans="1:23" ht="30" customHeight="1" thickBot="1">
      <c r="A24" s="84" t="s">
        <v>25</v>
      </c>
      <c r="B24" s="85"/>
      <c r="C24" s="16">
        <f>SUM(C19:C23)</f>
        <v>316.20433761588669</v>
      </c>
      <c r="D24" s="16"/>
      <c r="E24" s="17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7"/>
    </row>
    <row r="27" spans="1:23">
      <c r="A27" s="43"/>
      <c r="C27" s="43"/>
    </row>
    <row r="30" spans="1:23" ht="17.100000000000001" customHeight="1">
      <c r="H30" s="18"/>
    </row>
  </sheetData>
  <mergeCells count="48">
    <mergeCell ref="A1:W1"/>
    <mergeCell ref="Z1:BF1"/>
    <mergeCell ref="A2:A4"/>
    <mergeCell ref="B2:B4"/>
    <mergeCell ref="C2:C4"/>
    <mergeCell ref="D2:D4"/>
    <mergeCell ref="E2:E4"/>
    <mergeCell ref="F2:U2"/>
    <mergeCell ref="V2:V4"/>
    <mergeCell ref="W2:W4"/>
    <mergeCell ref="Z2:AO2"/>
    <mergeCell ref="AQ2:BF2"/>
    <mergeCell ref="BH2:BW2"/>
    <mergeCell ref="F3:I3"/>
    <mergeCell ref="J3:M3"/>
    <mergeCell ref="N3:Q3"/>
    <mergeCell ref="R3:U3"/>
    <mergeCell ref="Z3:AC3"/>
    <mergeCell ref="AD3:AG3"/>
    <mergeCell ref="AH3:AK3"/>
    <mergeCell ref="F19:W19"/>
    <mergeCell ref="BL3:BO3"/>
    <mergeCell ref="BP3:BS3"/>
    <mergeCell ref="BT3:BW3"/>
    <mergeCell ref="A5:A7"/>
    <mergeCell ref="B5:B7"/>
    <mergeCell ref="C5:C7"/>
    <mergeCell ref="AL3:AO3"/>
    <mergeCell ref="AQ3:AT3"/>
    <mergeCell ref="AU3:AX3"/>
    <mergeCell ref="AY3:BB3"/>
    <mergeCell ref="BC3:BF3"/>
    <mergeCell ref="BH3:BK3"/>
    <mergeCell ref="D12:W12"/>
    <mergeCell ref="A8:A11"/>
    <mergeCell ref="B8:B11"/>
    <mergeCell ref="C8:C11"/>
    <mergeCell ref="A18:B18"/>
    <mergeCell ref="A19:B19"/>
    <mergeCell ref="A23:B23"/>
    <mergeCell ref="A24:B24"/>
    <mergeCell ref="F24:W24"/>
    <mergeCell ref="A20:B20"/>
    <mergeCell ref="F20:W20"/>
    <mergeCell ref="A21:B21"/>
    <mergeCell ref="F21:W21"/>
    <mergeCell ref="A22:B22"/>
    <mergeCell ref="F22:W2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现金结算</vt:lpstr>
      <vt:lpstr>景德镇管理中心2024年消防安全隐患整治专项工程，景德镇管理中</vt:lpstr>
      <vt:lpstr>南昌西九岭山隧道设备房改造</vt:lpstr>
      <vt:lpstr>吉安西管理中心新建仓库养护项目</vt:lpstr>
      <vt:lpstr>九江管理中心湖口收费站维修改造，九江管理中心都昌收费所房屋维修</vt:lpstr>
      <vt:lpstr>宜春管理中心3个大棚维修改造</vt:lpstr>
      <vt:lpstr>宜春管理中心新建5个设备棚</vt:lpstr>
      <vt:lpstr>白水湖码头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 zi</cp:lastModifiedBy>
  <cp:revision>1</cp:revision>
  <cp:lastPrinted>2020-06-12T06:50:00Z</cp:lastPrinted>
  <dcterms:created xsi:type="dcterms:W3CDTF">2014-04-18T07:33:00Z</dcterms:created>
  <dcterms:modified xsi:type="dcterms:W3CDTF">2025-05-25T08:50:14Z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90D2D12FDC884F54AA4475CE2B7D324C</vt:lpwstr>
  </property>
</Properties>
</file>