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515"/>
  </bookViews>
  <sheets>
    <sheet name="2024集团服务区专项" sheetId="14" r:id="rId1"/>
    <sheet name="七里岗服务区应急养护仓库" sheetId="17" r:id="rId2"/>
    <sheet name="上德婺高速" sheetId="15" r:id="rId3"/>
    <sheet name="黄陂养护基地" sheetId="16" r:id="rId4"/>
    <sheet name="路网大楼改造" sheetId="20" r:id="rId5"/>
    <sheet name="上高服务区修缮工程" sheetId="19" r:id="rId6"/>
    <sheet name="现金结算项目" sheetId="18" r:id="rId7"/>
  </sheets>
  <calcPr calcId="144525"/>
</workbook>
</file>

<file path=xl/sharedStrings.xml><?xml version="1.0" encoding="utf-8"?>
<sst xmlns="http://schemas.openxmlformats.org/spreadsheetml/2006/main" count="337" uniqueCount="132">
  <si>
    <t>2024年集团服务区基础设施完善专项工程施工图工日计算表</t>
  </si>
  <si>
    <t>序号</t>
  </si>
  <si>
    <t>设计阶段</t>
  </si>
  <si>
    <t>子项名称</t>
  </si>
  <si>
    <t>单体名称</t>
  </si>
  <si>
    <t>面积</t>
  </si>
  <si>
    <t>总工日</t>
  </si>
  <si>
    <t>备注</t>
  </si>
  <si>
    <t>建筑专业</t>
  </si>
  <si>
    <t>结构专业</t>
  </si>
  <si>
    <t>给排水专业</t>
  </si>
  <si>
    <t>电气专业</t>
  </si>
  <si>
    <t>杨捷</t>
  </si>
  <si>
    <t>周予进</t>
  </si>
  <si>
    <t>肖超群</t>
  </si>
  <si>
    <t>邓磊</t>
  </si>
  <si>
    <t>胡志雄</t>
  </si>
  <si>
    <t>刘扬</t>
  </si>
  <si>
    <t>温春辉</t>
  </si>
  <si>
    <t>朱凤琪</t>
  </si>
  <si>
    <t>梁翾翾</t>
  </si>
  <si>
    <t>周金民</t>
  </si>
  <si>
    <t>方案</t>
  </si>
  <si>
    <t>3对服务区公厕改造</t>
  </si>
  <si>
    <t>抚州服务区</t>
  </si>
  <si>
    <t>永丰南服务区</t>
  </si>
  <si>
    <t>临川东服务区</t>
  </si>
  <si>
    <t>施工图</t>
  </si>
  <si>
    <t>总图</t>
  </si>
  <si>
    <t>图纸工日</t>
  </si>
  <si>
    <t>改扩建项目系数1.3</t>
  </si>
  <si>
    <t>万年西服务区宿舍楼</t>
  </si>
  <si>
    <t>宿舍楼</t>
  </si>
  <si>
    <t>单独项目系数1.4</t>
  </si>
  <si>
    <t>三对服务区映山红室</t>
  </si>
  <si>
    <t>赣州西、井冈山、婺源</t>
  </si>
  <si>
    <t>外单位设计，签署我院人员，按20%计取</t>
  </si>
  <si>
    <t>2对服务区污水处理设备</t>
  </si>
  <si>
    <t>万年西、丰城东</t>
  </si>
  <si>
    <t>按现金结算，每个专业800元：邓磊、温春辉、周金民</t>
  </si>
  <si>
    <t>方案、施工图</t>
  </si>
  <si>
    <t>10对服务区外线扩容</t>
  </si>
  <si>
    <t>广昌西、吉安西等10对</t>
  </si>
  <si>
    <t>按现金结算：每对按1000元结算</t>
  </si>
  <si>
    <t>2对服务区外接自来水</t>
  </si>
  <si>
    <t>广昌西、吉安西</t>
  </si>
  <si>
    <t>按现金结算：每对按4000元结算</t>
  </si>
  <si>
    <t>绿改硬</t>
  </si>
  <si>
    <t>广昌、黎川、婺源</t>
  </si>
  <si>
    <t>按现金结算：每对按1500元结算</t>
  </si>
  <si>
    <t>建筑专业负责人</t>
  </si>
  <si>
    <t>结构专业负责人</t>
  </si>
  <si>
    <t>给排水专业负责人</t>
  </si>
  <si>
    <t>电气专业负责人</t>
  </si>
  <si>
    <t>项目负责人</t>
  </si>
  <si>
    <t>合计</t>
  </si>
  <si>
    <t>建筑专业总工日：</t>
  </si>
  <si>
    <t>该工日含外委，仅用来计算专业负责人工日</t>
  </si>
  <si>
    <t>结构专业总工日：</t>
  </si>
  <si>
    <t>给排水专业总工日：</t>
  </si>
  <si>
    <t>电气专业总工日：</t>
  </si>
  <si>
    <t>项目总工日：</t>
  </si>
  <si>
    <t>该工日含外委，仅用来计算项目负责人工日</t>
  </si>
  <si>
    <t>七里岗服务区应急仓库施工图工日计算表</t>
  </si>
  <si>
    <t>暖通专业</t>
  </si>
  <si>
    <t>熊高亮</t>
  </si>
  <si>
    <t>余洋</t>
  </si>
  <si>
    <t>应急养护仓库</t>
  </si>
  <si>
    <t>单体</t>
  </si>
  <si>
    <t>外单位设计，上准建云并签署我院人员，按20%计取</t>
  </si>
  <si>
    <t>规划方案</t>
  </si>
  <si>
    <t>暖通专业总工日：</t>
  </si>
  <si>
    <t>上德婺高速上饶西收费站初步设计工日计算表</t>
  </si>
  <si>
    <t>郭勤</t>
  </si>
  <si>
    <t>上饶西收费站</t>
  </si>
  <si>
    <t>初步设计</t>
  </si>
  <si>
    <t>单独项目系数1.3</t>
  </si>
  <si>
    <t>黄陂养护基地方案设计工日计算表</t>
  </si>
  <si>
    <t>工日</t>
  </si>
  <si>
    <t>叶予钧</t>
  </si>
  <si>
    <t>养护基地</t>
  </si>
  <si>
    <t>(1990.64+8438.04+2308.5+1788+6375+2400)/100*5*0.145*0.1*0.87*0.8+(1909.14+1709.52+745.04+1024.16+519.2+33.28)/100*15*0.145*0.1*0.87*0.8</t>
  </si>
  <si>
    <t>0.145*0.1*0.87*0.8*0.4</t>
  </si>
  <si>
    <t>路网大楼改造方案设计工日计算表</t>
  </si>
  <si>
    <t>路网公司大楼</t>
  </si>
  <si>
    <t>公厕、茶水间及高层空中花园</t>
  </si>
  <si>
    <t>地下室改造</t>
  </si>
  <si>
    <t>一楼及门厅扩建升级</t>
  </si>
  <si>
    <t>上高服务区修缮工程设计工日计算表</t>
  </si>
  <si>
    <t>服务区综合楼</t>
  </si>
  <si>
    <t>序
号</t>
  </si>
  <si>
    <t>项目名称</t>
  </si>
  <si>
    <t>涉及人员</t>
  </si>
  <si>
    <t>现金结算</t>
  </si>
  <si>
    <t>路网中心大楼改造</t>
  </si>
  <si>
    <t>5000元</t>
  </si>
  <si>
    <t>主要负责地下室改造、大楼门厅改扩建、卫生间改造、挑空层改造提升、食堂改造等。</t>
  </si>
  <si>
    <t>南昌北服务区投标</t>
  </si>
  <si>
    <t>投标</t>
  </si>
  <si>
    <t>主标：杨捷  陪标：邓磊、刘扬</t>
  </si>
  <si>
    <t>主标2000元，陪标1000元</t>
  </si>
  <si>
    <t>北二绕初设</t>
  </si>
  <si>
    <t>主标：杨捷  陪标：邓磊、周予进、刘扬</t>
  </si>
  <si>
    <t>北二绕EPC</t>
  </si>
  <si>
    <t>主标：杨捷  陪标：邓磊、周予进、肖超群、程瑞钰、刘扬</t>
  </si>
  <si>
    <t>2024年集团服务区基础设施完善工程</t>
  </si>
  <si>
    <t>主标：杨捷  陪标：邓磊、周予进、肖超群、刘扬</t>
  </si>
  <si>
    <t>阳明山公园
园前改造方案</t>
  </si>
  <si>
    <t>3000元</t>
  </si>
  <si>
    <t>费弘桥梁装饰设计</t>
  </si>
  <si>
    <t>叶予均</t>
  </si>
  <si>
    <t>梨东污水处理设备</t>
  </si>
  <si>
    <t>邓磊（建筑及结构）、梁翾翾、周金民</t>
  </si>
  <si>
    <t>每个专业800元</t>
  </si>
  <si>
    <t>上高服务区屋面改造</t>
  </si>
  <si>
    <t>邓磊、杨捷</t>
  </si>
  <si>
    <t>每人3000元</t>
  </si>
  <si>
    <t>提供两稿建筑及结构的实施方案，现场已实施完成</t>
  </si>
  <si>
    <t>龙腾服务区平急两用规划方案</t>
  </si>
  <si>
    <t>规划</t>
  </si>
  <si>
    <t>1000元</t>
  </si>
  <si>
    <t>临川服务区一期总图车位规划及标识标线提升</t>
  </si>
  <si>
    <t>景德镇等4对服务区提质升级工可</t>
  </si>
  <si>
    <t>工可</t>
  </si>
  <si>
    <t>15000元</t>
  </si>
  <si>
    <t>报集团、厅批复</t>
  </si>
  <si>
    <t>项目申请报告阶段</t>
  </si>
  <si>
    <t>项目管理、报告中方案设计、编写服务区相关内容等</t>
  </si>
  <si>
    <t>新余一级路完善工程</t>
  </si>
  <si>
    <t>项目建议书</t>
  </si>
  <si>
    <t>4000元</t>
  </si>
  <si>
    <t>新余市发改委及交通局已批示通过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</si>
</sst>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0.00;[Red]0.00"/>
  </numFmts>
  <fonts count="32">
    <font>
      <sz val="11"/>
      <color indexed="8"/>
      <name val="宋体"/>
      <charset val="134"/>
    </font>
    <font>
      <sz val="10"/>
      <name val="微软雅黑"/>
      <charset val="134"/>
    </font>
    <font>
      <sz val="11"/>
      <name val="等线"/>
      <charset val="134"/>
    </font>
    <font>
      <sz val="10"/>
      <color rgb="FF000000"/>
      <name val="Microsoft YaHei"/>
      <charset val="134"/>
    </font>
    <font>
      <strike/>
      <sz val="10"/>
      <color rgb="FF000000"/>
      <name val="Microsoft YaHei"/>
      <charset val="134"/>
    </font>
    <font>
      <b/>
      <sz val="20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1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9" borderId="17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13" borderId="20" applyNumberFormat="0" applyAlignment="0" applyProtection="0">
      <alignment vertical="center"/>
    </xf>
    <xf numFmtId="0" fontId="26" fillId="13" borderId="16" applyNumberFormat="0" applyAlignment="0" applyProtection="0">
      <alignment vertical="center"/>
    </xf>
    <xf numFmtId="0" fontId="27" fillId="14" borderId="21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76" fontId="6" fillId="0" borderId="8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76" fontId="6" fillId="0" borderId="11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0" xfId="0" applyNumberFormat="1">
      <alignment vertical="center"/>
    </xf>
    <xf numFmtId="177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8" fontId="0" fillId="0" borderId="12" xfId="0" applyNumberFormat="1" applyFont="1" applyBorder="1" applyAlignment="1">
      <alignment horizontal="center" vertical="center"/>
    </xf>
    <xf numFmtId="178" fontId="0" fillId="0" borderId="4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76" fontId="0" fillId="0" borderId="2" xfId="0" applyNumberFormat="1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3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5" xfId="0" applyNumberFormat="1" applyFont="1" applyBorder="1" applyAlignment="1">
      <alignment horizontal="center" vertical="center"/>
    </xf>
    <xf numFmtId="178" fontId="0" fillId="0" borderId="15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6" fontId="0" fillId="0" borderId="3" xfId="0" applyNumberFormat="1" applyFont="1" applyBorder="1" applyAlignment="1">
      <alignment horizontal="center" vertical="center"/>
    </xf>
    <xf numFmtId="178" fontId="0" fillId="3" borderId="4" xfId="0" applyNumberFormat="1" applyFont="1" applyFill="1" applyBorder="1" applyAlignment="1">
      <alignment horizontal="center" vertical="center"/>
    </xf>
    <xf numFmtId="178" fontId="0" fillId="0" borderId="12" xfId="0" applyNumberFormat="1" applyFont="1" applyBorder="1" applyAlignment="1">
      <alignment horizontal="left" vertical="center"/>
    </xf>
    <xf numFmtId="178" fontId="10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8" fontId="0" fillId="3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4" xfId="0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8" fontId="8" fillId="0" borderId="12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34"/>
  <sheetViews>
    <sheetView tabSelected="1" zoomScale="70" zoomScaleNormal="70" topLeftCell="A4" workbookViewId="0">
      <selection activeCell="L17" sqref="L17"/>
    </sheetView>
  </sheetViews>
  <sheetFormatPr defaultColWidth="9" defaultRowHeight="13.5"/>
  <cols>
    <col min="1" max="1" width="5.38333333333333" customWidth="1"/>
    <col min="2" max="2" width="12.5" customWidth="1"/>
    <col min="3" max="3" width="20.775" customWidth="1"/>
    <col min="4" max="4" width="26.1333333333333" customWidth="1"/>
    <col min="5" max="5" width="10.8833333333333" style="10" customWidth="1"/>
    <col min="6" max="12" width="9" customWidth="1"/>
    <col min="13" max="14" width="10.1333333333333" customWidth="1"/>
    <col min="15" max="15" width="11.1083333333333" customWidth="1"/>
    <col min="16" max="16" width="9" customWidth="1"/>
    <col min="17" max="17" width="29.1333333333333" customWidth="1"/>
    <col min="18" max="18" width="12.6333333333333"/>
  </cols>
  <sheetData>
    <row r="1" ht="36.95" customHeight="1" spans="1:17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55"/>
    </row>
    <row r="2" ht="30" customHeight="1" spans="1:17">
      <c r="A2" s="13" t="s">
        <v>1</v>
      </c>
      <c r="B2" s="14" t="s">
        <v>2</v>
      </c>
      <c r="C2" s="14" t="s">
        <v>3</v>
      </c>
      <c r="D2" s="15" t="s">
        <v>4</v>
      </c>
      <c r="E2" s="16" t="s">
        <v>5</v>
      </c>
      <c r="F2" s="17"/>
      <c r="G2" s="18"/>
      <c r="H2" s="18"/>
      <c r="I2" s="18"/>
      <c r="J2" s="18"/>
      <c r="K2" s="18"/>
      <c r="L2" s="56"/>
      <c r="M2" s="56"/>
      <c r="N2" s="56"/>
      <c r="O2" s="56"/>
      <c r="P2" s="25" t="s">
        <v>6</v>
      </c>
      <c r="Q2" s="57" t="s">
        <v>7</v>
      </c>
    </row>
    <row r="3" ht="30" customHeight="1" spans="1:17">
      <c r="A3" s="19"/>
      <c r="B3" s="14"/>
      <c r="C3" s="14"/>
      <c r="D3" s="15"/>
      <c r="E3" s="20"/>
      <c r="F3" s="21" t="s">
        <v>8</v>
      </c>
      <c r="G3" s="22"/>
      <c r="H3" s="22"/>
      <c r="I3" s="21" t="s">
        <v>9</v>
      </c>
      <c r="J3" s="22"/>
      <c r="K3" s="22"/>
      <c r="L3" s="58" t="s">
        <v>10</v>
      </c>
      <c r="M3" s="57"/>
      <c r="N3" s="57"/>
      <c r="O3" s="21" t="s">
        <v>11</v>
      </c>
      <c r="P3" s="57"/>
      <c r="Q3" s="57"/>
    </row>
    <row r="4" ht="30" customHeight="1" spans="1:17">
      <c r="A4" s="19"/>
      <c r="B4" s="23"/>
      <c r="C4" s="23"/>
      <c r="D4" s="15"/>
      <c r="E4" s="24"/>
      <c r="F4" s="25" t="s">
        <v>12</v>
      </c>
      <c r="G4" s="26" t="s">
        <v>13</v>
      </c>
      <c r="H4" s="26" t="s">
        <v>14</v>
      </c>
      <c r="I4" s="25" t="s">
        <v>15</v>
      </c>
      <c r="J4" s="25" t="s">
        <v>16</v>
      </c>
      <c r="K4" s="25" t="s">
        <v>17</v>
      </c>
      <c r="L4" s="57" t="s">
        <v>18</v>
      </c>
      <c r="M4" s="57" t="s">
        <v>19</v>
      </c>
      <c r="N4" s="57" t="s">
        <v>20</v>
      </c>
      <c r="O4" s="25" t="s">
        <v>21</v>
      </c>
      <c r="P4" s="57"/>
      <c r="Q4" s="57"/>
    </row>
    <row r="5" ht="30" customHeight="1" spans="1:17">
      <c r="A5" s="27">
        <v>1</v>
      </c>
      <c r="B5" s="29" t="s">
        <v>22</v>
      </c>
      <c r="C5" s="28" t="s">
        <v>23</v>
      </c>
      <c r="D5" s="29" t="s">
        <v>24</v>
      </c>
      <c r="E5" s="29">
        <v>803.77</v>
      </c>
      <c r="F5" s="65">
        <f>E5/100*15*(0.855*0.2*0.88)*0.8*1.2*0.4</f>
        <v>6.96679543296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</row>
    <row r="6" ht="30" customHeight="1" spans="1:17">
      <c r="A6" s="66"/>
      <c r="B6" s="29"/>
      <c r="C6" s="67"/>
      <c r="D6" s="29" t="s">
        <v>25</v>
      </c>
      <c r="E6" s="29">
        <v>654.08</v>
      </c>
      <c r="F6" s="65">
        <f>E6/100*15*(0.855*0.2*0.88)*0.8*1.2*0.4</f>
        <v>5.66933520384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</row>
    <row r="7" ht="30" customHeight="1" spans="1:17">
      <c r="A7" s="66"/>
      <c r="B7" s="29"/>
      <c r="C7" s="67"/>
      <c r="D7" s="29" t="s">
        <v>26</v>
      </c>
      <c r="E7" s="29">
        <v>863.86</v>
      </c>
      <c r="F7" s="65">
        <f>E7/100*15*(0.855*0.2*0.88)*0.8*1.2*0.4</f>
        <v>7.48763440128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</row>
    <row r="8" ht="30" customHeight="1" spans="1:17">
      <c r="A8" s="66"/>
      <c r="B8" s="28" t="s">
        <v>27</v>
      </c>
      <c r="C8" s="67"/>
      <c r="D8" s="29" t="s">
        <v>24</v>
      </c>
      <c r="E8" s="29">
        <v>803.77</v>
      </c>
      <c r="F8" s="68">
        <f>E8/100*15*0.855*0.6*0.334*0.8*1.2</f>
        <v>19.83161654496</v>
      </c>
      <c r="G8" s="68">
        <f>E8/100*15*0.855*0.6*0.334*0.08*1.2</f>
        <v>1.983161654496</v>
      </c>
      <c r="H8" s="68">
        <f>F8/100*15*0.855*0.6*0.334*0.1*1.2</f>
        <v>0.0611637991568376</v>
      </c>
      <c r="I8" s="68">
        <f>E8/100*15*0.855*0.6*0.388*0.82*1.2</f>
        <v>23.613873951888</v>
      </c>
      <c r="J8" s="68">
        <f>E8/100*15*0.855*0.6*0.388*0.08*1.2</f>
        <v>2.303792580672</v>
      </c>
      <c r="K8" s="68">
        <f>E8/100*15*0.855*0.6*0.388*0.08*1.2</f>
        <v>2.303792580672</v>
      </c>
      <c r="L8" s="68">
        <f>E8/100*15*0.855*0.6*0.13*0.82*1.2</f>
        <v>7.91186498388</v>
      </c>
      <c r="M8" s="68">
        <f>E8/100*15*0.855*0.6*0.13*0.08*1.2</f>
        <v>0.77188926672</v>
      </c>
      <c r="N8" s="68">
        <f>E8/100*15*0.855*0.6*0.13*0.08*1.2</f>
        <v>0.77188926672</v>
      </c>
      <c r="O8" s="68">
        <f>E8/100*15*0.855*0.6*0.147*0.82*1.2</f>
        <v>8.946493481772</v>
      </c>
      <c r="P8" s="29"/>
      <c r="Q8" s="29"/>
    </row>
    <row r="9" ht="30" customHeight="1" spans="1:17">
      <c r="A9" s="66"/>
      <c r="B9" s="67"/>
      <c r="C9" s="67"/>
      <c r="D9" s="29" t="s">
        <v>25</v>
      </c>
      <c r="E9" s="29">
        <v>654.08</v>
      </c>
      <c r="F9" s="68">
        <f>E9/100*15*0.855*0.6*0.334*0.8*1.2</f>
        <v>16.13827805184</v>
      </c>
      <c r="G9" s="68">
        <f>E9/100*15*0.855*0.6*0.334*0.08*1.2</f>
        <v>1.613827805184</v>
      </c>
      <c r="H9" s="68">
        <f>F9/100*15*0.855*0.6*0.334*0.1*1.2</f>
        <v>0.0497729670832507</v>
      </c>
      <c r="I9" s="68">
        <f>E9/100*15*0.855*0.6*0.388*0.82*1.2</f>
        <v>19.216147249152</v>
      </c>
      <c r="J9" s="68">
        <f>E9/100*15*0.855*0.6*0.388*0.08*1.2</f>
        <v>1.874746073088</v>
      </c>
      <c r="K9" s="68">
        <f>E9/100*15*0.855*0.6*0.388*0.08*1.2</f>
        <v>1.874746073088</v>
      </c>
      <c r="L9" s="68">
        <f>E9/100*15*0.855*0.6*0.13*0.82*1.2</f>
        <v>6.43839985152</v>
      </c>
      <c r="M9" s="68">
        <f>E9/100*15*0.855*0.6*0.13*0.08*1.2</f>
        <v>0.62813657088</v>
      </c>
      <c r="N9" s="68">
        <f>E9/100*15*0.855*0.6*0.13*0.08*1.2</f>
        <v>0.62813657088</v>
      </c>
      <c r="O9" s="68">
        <f>E9/100*15*0.855*0.6*0.147*0.82*1.2</f>
        <v>7.280344447488</v>
      </c>
      <c r="P9" s="29"/>
      <c r="Q9" s="29"/>
    </row>
    <row r="10" ht="30" customHeight="1" spans="1:17">
      <c r="A10" s="66"/>
      <c r="B10" s="67"/>
      <c r="C10" s="67"/>
      <c r="D10" s="29" t="s">
        <v>26</v>
      </c>
      <c r="E10" s="29">
        <v>863.86</v>
      </c>
      <c r="F10" s="65">
        <f>E10/100*15*0.855*0.6*0.334*0.08*1.2</f>
        <v>2.131423201728</v>
      </c>
      <c r="G10" s="68">
        <f>E10/100*15*0.855*0.6*0.334*0.08*1.2</f>
        <v>2.131423201728</v>
      </c>
      <c r="H10" s="68">
        <f>E10/100*15*0.855*0.6*0.334*0.82*1.2</f>
        <v>21.847087817712</v>
      </c>
      <c r="I10" s="68">
        <f>E10/100*15*0.855*0.6*0.388*0.82*1.2</f>
        <v>25.379251716384</v>
      </c>
      <c r="J10" s="68">
        <f>E10/100*15*0.855*0.6*0.388*0.08*1.2</f>
        <v>2.476024557696</v>
      </c>
      <c r="K10" s="68">
        <f>E10/100*15*0.855*0.6*0.388*0.08*1.2</f>
        <v>2.476024557696</v>
      </c>
      <c r="L10" s="68">
        <f>E10/100*15*0.855*0.6*0.13*0.82*1.2</f>
        <v>8.50335753384</v>
      </c>
      <c r="M10" s="68">
        <f>E10/100*15*0.855*0.6*0.13*0.08*1.2</f>
        <v>0.82959585696</v>
      </c>
      <c r="N10" s="68">
        <f>E10/100*15*0.855*0.6*0.13*0.08*1.2</f>
        <v>0.82959585696</v>
      </c>
      <c r="O10" s="68">
        <f>E10/100*15*0.855*0.6*0.147*0.82*1.2</f>
        <v>9.615335057496</v>
      </c>
      <c r="P10" s="57"/>
      <c r="Q10" s="89"/>
    </row>
    <row r="11" ht="30" customHeight="1" spans="1:17">
      <c r="A11" s="82"/>
      <c r="B11" s="74"/>
      <c r="C11" s="74"/>
      <c r="D11" s="29" t="s">
        <v>28</v>
      </c>
      <c r="E11" s="34">
        <f>SUM(E5:E10)</f>
        <v>4643.42</v>
      </c>
      <c r="F11" s="65">
        <f>4643.42/100*15*0.145*0.7*0.43*0.8*1.2</f>
        <v>29.1833374896</v>
      </c>
      <c r="G11" s="65">
        <f>4643.42/100*15*0.145*0.7*0.43*0.08*1.2</f>
        <v>2.91833374896</v>
      </c>
      <c r="H11" s="65">
        <f>4643.42/100*15*0.145*0.7*0.43*0.08*1.2</f>
        <v>2.91833374896</v>
      </c>
      <c r="I11" s="68">
        <f>E11/100*15*0.145*0.7*0.04*0.8*1.2</f>
        <v>2.7147290688</v>
      </c>
      <c r="J11" s="35"/>
      <c r="K11" s="35"/>
      <c r="L11" s="68">
        <f>E11/100*15*(0.145*0.7*0.36)*0.82*1.2</f>
        <v>25.04337565968</v>
      </c>
      <c r="M11" s="68">
        <f>E11/100*15*(0.145*0.7*0.36)*0.08*1.2</f>
        <v>2.44325616192</v>
      </c>
      <c r="N11" s="68">
        <f>F11/100*15*(0.145*0.7*0.36)*0.08*1.2</f>
        <v>0.0153555717869278</v>
      </c>
      <c r="O11" s="68">
        <f>E11/100*15*(0.145*0.7*0.17)*0.82*1.2</f>
        <v>11.82603850596</v>
      </c>
      <c r="P11" s="57"/>
      <c r="Q11" s="59"/>
    </row>
    <row r="12" ht="30" customHeight="1" spans="1:17">
      <c r="A12" s="32"/>
      <c r="B12" s="33" t="s">
        <v>29</v>
      </c>
      <c r="C12" s="33"/>
      <c r="D12" s="29"/>
      <c r="E12" s="34"/>
      <c r="F12" s="35">
        <f>SUM(F5:F11)*1.3</f>
        <v>113.63094642407</v>
      </c>
      <c r="G12" s="35">
        <f>SUM(G8:G11)*1.3</f>
        <v>11.2407703334784</v>
      </c>
      <c r="H12" s="35">
        <f>SUM(H8:H11)*1.3</f>
        <v>32.3392658327857</v>
      </c>
      <c r="I12" s="35">
        <f>SUM(I8:I11)*1.3</f>
        <v>92.2012025820912</v>
      </c>
      <c r="J12" s="35">
        <f>SUM(J8:J10)*1.3</f>
        <v>8.6509321748928</v>
      </c>
      <c r="K12" s="35">
        <f>SUM(K8:K10)*1.3</f>
        <v>8.6509321748928</v>
      </c>
      <c r="L12" s="35">
        <f>SUM(L8:L11)*1.3</f>
        <v>62.266097437596</v>
      </c>
      <c r="M12" s="35">
        <f>SUM(M8:M11)*1.3</f>
        <v>6.074741213424</v>
      </c>
      <c r="N12" s="35">
        <f>SUM(N8:N11)*1.3</f>
        <v>2.91847044625101</v>
      </c>
      <c r="O12" s="35">
        <f>SUM(O8:O11)*1.3</f>
        <v>48.9686749405308</v>
      </c>
      <c r="P12" s="57"/>
      <c r="Q12" s="59" t="s">
        <v>30</v>
      </c>
    </row>
    <row r="13" ht="30" customHeight="1" spans="1:17">
      <c r="A13" s="32">
        <v>2</v>
      </c>
      <c r="B13" s="29" t="s">
        <v>22</v>
      </c>
      <c r="C13" s="29" t="s">
        <v>31</v>
      </c>
      <c r="D13" s="29" t="s">
        <v>32</v>
      </c>
      <c r="E13" s="34">
        <v>593.34</v>
      </c>
      <c r="F13" s="65">
        <f>E13/100*15*(0.855*0.2*0.88)*0.8*0.4*1.2</f>
        <v>5.14286226432</v>
      </c>
      <c r="G13" s="57"/>
      <c r="H13" s="35"/>
      <c r="I13" s="57"/>
      <c r="J13" s="57"/>
      <c r="K13" s="57"/>
      <c r="L13" s="57"/>
      <c r="M13" s="57"/>
      <c r="N13" s="57"/>
      <c r="O13" s="57"/>
      <c r="P13" s="57"/>
      <c r="Q13" s="89"/>
    </row>
    <row r="14" ht="30" customHeight="1" spans="1:17">
      <c r="A14" s="32"/>
      <c r="B14" s="29"/>
      <c r="C14" s="29"/>
      <c r="D14" s="29" t="s">
        <v>28</v>
      </c>
      <c r="E14" s="34">
        <v>593.34</v>
      </c>
      <c r="F14" s="83">
        <f>E14/100*15*(0.145*0.15*0.8)*0.8*0.4*1.2</f>
        <v>0.5946690816</v>
      </c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89"/>
    </row>
    <row r="15" ht="30" customHeight="1" spans="1:17">
      <c r="A15" s="32"/>
      <c r="B15" s="29" t="s">
        <v>27</v>
      </c>
      <c r="C15" s="29"/>
      <c r="D15" s="29" t="s">
        <v>32</v>
      </c>
      <c r="E15" s="34">
        <v>593.34</v>
      </c>
      <c r="F15" s="68">
        <f>E15/100*15*0.855*0.6*0.334*0.8*1.2</f>
        <v>14.63962496832</v>
      </c>
      <c r="G15" s="68">
        <f>E15/100*15*0.855*0.6*0.334*0.08*1.2</f>
        <v>1.463962496832</v>
      </c>
      <c r="H15" s="68">
        <f>E15/100*15*0.855*0.6*0.334*0.1*1.2</f>
        <v>1.82995312104</v>
      </c>
      <c r="I15" s="68">
        <f>E15/100*15*0.855*0.6*0.388*0.8*1.2</f>
        <v>17.00651044224</v>
      </c>
      <c r="J15" s="68">
        <f>E15/100*15*0.855*0.6*0.388*0.08*1.2</f>
        <v>1.700651044224</v>
      </c>
      <c r="K15" s="68">
        <f>E15/100*15*0.855*0.6*0.388*0.1*1.2</f>
        <v>2.12581380528</v>
      </c>
      <c r="L15" s="68">
        <f>E15/100*15*0.855*0.6*0.13*0.82*1.2</f>
        <v>5.84050906296</v>
      </c>
      <c r="M15" s="68">
        <f>E15/100*15*0.855*0.6*0.13*0.08*1.2</f>
        <v>0.56980576224</v>
      </c>
      <c r="N15" s="68">
        <f>E15/100*15*0.855*0.6*0.13*0.08*1.2</f>
        <v>0.56980576224</v>
      </c>
      <c r="O15" s="68">
        <f>E15/100*15*0.855*0.6*0.147*0.82*1.2</f>
        <v>6.604267940424</v>
      </c>
      <c r="P15" s="57"/>
      <c r="Q15" s="89"/>
    </row>
    <row r="16" ht="24.95" customHeight="1" spans="1:17">
      <c r="A16" s="32"/>
      <c r="B16" s="29"/>
      <c r="C16" s="29"/>
      <c r="D16" s="29" t="s">
        <v>28</v>
      </c>
      <c r="E16" s="34">
        <v>593.34</v>
      </c>
      <c r="F16" s="68">
        <f>E16/100*15*(0.145*0.7*0.43)*0.8*1.2</f>
        <v>3.7290706992</v>
      </c>
      <c r="G16" s="68">
        <f>E16/100*15*0.145*0.7*0.43*0.08*1.2</f>
        <v>0.37290706992</v>
      </c>
      <c r="H16" s="68">
        <f>E16/100*15*0.145*0.7*0.43*0.1*1.2</f>
        <v>0.4661338374</v>
      </c>
      <c r="I16" s="68">
        <f>E16/100*15*0.145*0.7*0.04*0.8*1.2</f>
        <v>0.3468902976</v>
      </c>
      <c r="J16" s="68"/>
      <c r="K16" s="68"/>
      <c r="L16" s="68">
        <f>E16/100*15*(0.145*0.7*0.36)*0.82*1.2</f>
        <v>3.20006299536</v>
      </c>
      <c r="M16" s="68">
        <f>E16/100*15*(0.145*0.7*0.36)*0.08*1.2</f>
        <v>0.31220126784</v>
      </c>
      <c r="N16" s="68">
        <f>E16/100*15*(0.145*0.7*0.36)*0.08*1.2</f>
        <v>0.31220126784</v>
      </c>
      <c r="O16" s="68">
        <f>E16/100*15*(0.145*0.7*0.17)*0.82*1.2</f>
        <v>1.51114085892</v>
      </c>
      <c r="P16" s="68"/>
      <c r="Q16" s="89"/>
    </row>
    <row r="17" s="81" customFormat="1" ht="24.95" customHeight="1" spans="1:17">
      <c r="A17" s="33" t="s">
        <v>29</v>
      </c>
      <c r="B17" s="33"/>
      <c r="C17" s="33"/>
      <c r="D17" s="84"/>
      <c r="E17" s="85"/>
      <c r="F17" s="35">
        <f>SUM(F13:F16)*1.166</f>
        <v>28.107860697671</v>
      </c>
      <c r="G17" s="35">
        <f t="shared" ref="G17:O17" si="0">SUM(G13:G16)*1.166</f>
        <v>2.14178991483283</v>
      </c>
      <c r="H17" s="35">
        <f t="shared" si="0"/>
        <v>2.67723739354104</v>
      </c>
      <c r="I17" s="35">
        <f t="shared" si="0"/>
        <v>20.2340652626534</v>
      </c>
      <c r="J17" s="35">
        <f t="shared" si="0"/>
        <v>1.98295911756518</v>
      </c>
      <c r="K17" s="35">
        <f t="shared" si="0"/>
        <v>2.47869889695648</v>
      </c>
      <c r="L17" s="35">
        <f t="shared" si="0"/>
        <v>10.5413070200011</v>
      </c>
      <c r="M17" s="35">
        <f t="shared" si="0"/>
        <v>1.02842019707328</v>
      </c>
      <c r="N17" s="35">
        <f t="shared" si="0"/>
        <v>1.02842019707328</v>
      </c>
      <c r="O17" s="35">
        <f t="shared" si="0"/>
        <v>9.4625666600351</v>
      </c>
      <c r="P17" s="35"/>
      <c r="Q17" s="59" t="s">
        <v>33</v>
      </c>
    </row>
    <row r="18" customFormat="1" ht="39" customHeight="1" spans="1:17">
      <c r="A18" s="36">
        <v>3</v>
      </c>
      <c r="B18" s="29" t="s">
        <v>27</v>
      </c>
      <c r="C18" s="29" t="s">
        <v>34</v>
      </c>
      <c r="D18" s="38" t="s">
        <v>35</v>
      </c>
      <c r="E18" s="39">
        <f>153+145+87.5</f>
        <v>385.5</v>
      </c>
      <c r="F18" s="68">
        <f>E18/100*15*0.855*0.6*0.334*0.8*1.2</f>
        <v>9.511537104</v>
      </c>
      <c r="G18" s="68">
        <f>E18/100*15*0.855*0.6*0.334*0.08*1.2</f>
        <v>0.9511537104</v>
      </c>
      <c r="H18" s="68">
        <f>E18/100*15*0.855*0.6*0.334*0.08*1.2</f>
        <v>0.9511537104</v>
      </c>
      <c r="I18" s="41"/>
      <c r="J18" s="41"/>
      <c r="K18" s="41"/>
      <c r="L18" s="41"/>
      <c r="M18" s="43"/>
      <c r="N18" s="43"/>
      <c r="O18" s="68">
        <f>E18/100*15*0.855*0.6*0.147*0.8</f>
        <v>3.48851286</v>
      </c>
      <c r="P18" s="41"/>
      <c r="Q18" s="61"/>
    </row>
    <row r="19" customFormat="1" ht="36" customHeight="1" spans="1:17">
      <c r="A19" s="33" t="s">
        <v>29</v>
      </c>
      <c r="B19" s="33"/>
      <c r="C19" s="33"/>
      <c r="D19" s="38" t="s">
        <v>35</v>
      </c>
      <c r="E19" s="39"/>
      <c r="F19" s="86">
        <f>SUM(F18:F18)*0.2</f>
        <v>1.9023074208</v>
      </c>
      <c r="G19" s="87">
        <f>SUM(G18:G18)</f>
        <v>0.9511537104</v>
      </c>
      <c r="H19" s="86">
        <f>SUM(H18:H18)</f>
        <v>0.9511537104</v>
      </c>
      <c r="I19" s="87"/>
      <c r="J19" s="87"/>
      <c r="K19" s="87"/>
      <c r="L19" s="87"/>
      <c r="M19" s="88"/>
      <c r="N19" s="88"/>
      <c r="O19" s="35">
        <f>SUM(O18:O18)*0.2</f>
        <v>0.697702572</v>
      </c>
      <c r="P19" s="41"/>
      <c r="Q19" s="61" t="s">
        <v>36</v>
      </c>
    </row>
    <row r="20" customFormat="1" ht="42" customHeight="1" spans="1:17">
      <c r="A20" s="36">
        <v>4</v>
      </c>
      <c r="B20" s="29" t="s">
        <v>27</v>
      </c>
      <c r="C20" s="29" t="s">
        <v>37</v>
      </c>
      <c r="D20" s="38" t="s">
        <v>38</v>
      </c>
      <c r="E20" s="39"/>
      <c r="F20" s="40"/>
      <c r="G20" s="41"/>
      <c r="H20" s="40"/>
      <c r="I20" s="41"/>
      <c r="J20" s="41"/>
      <c r="K20" s="41"/>
      <c r="L20" s="41"/>
      <c r="M20" s="43"/>
      <c r="N20" s="43"/>
      <c r="O20" s="43"/>
      <c r="P20" s="41"/>
      <c r="Q20" s="90" t="s">
        <v>39</v>
      </c>
    </row>
    <row r="21" customFormat="1" ht="30" customHeight="1" spans="1:17">
      <c r="A21" s="36">
        <v>5</v>
      </c>
      <c r="B21" s="29" t="s">
        <v>40</v>
      </c>
      <c r="C21" s="29" t="s">
        <v>41</v>
      </c>
      <c r="D21" s="38" t="s">
        <v>42</v>
      </c>
      <c r="E21" s="39"/>
      <c r="F21" s="40"/>
      <c r="G21" s="41"/>
      <c r="H21" s="40"/>
      <c r="I21" s="41"/>
      <c r="J21" s="41"/>
      <c r="K21" s="41"/>
      <c r="L21" s="41"/>
      <c r="M21" s="43"/>
      <c r="N21" s="43"/>
      <c r="O21" s="43"/>
      <c r="P21" s="41"/>
      <c r="Q21" s="90" t="s">
        <v>43</v>
      </c>
    </row>
    <row r="22" customFormat="1" ht="30" customHeight="1" spans="1:17">
      <c r="A22" s="36">
        <v>6</v>
      </c>
      <c r="B22" s="29" t="s">
        <v>40</v>
      </c>
      <c r="C22" s="29" t="s">
        <v>44</v>
      </c>
      <c r="D22" s="38" t="s">
        <v>45</v>
      </c>
      <c r="E22" s="39"/>
      <c r="F22" s="40"/>
      <c r="G22" s="41"/>
      <c r="H22" s="40"/>
      <c r="I22" s="41"/>
      <c r="J22" s="41"/>
      <c r="K22" s="41"/>
      <c r="L22" s="41"/>
      <c r="M22" s="43"/>
      <c r="N22" s="43"/>
      <c r="O22" s="43"/>
      <c r="P22" s="41"/>
      <c r="Q22" s="90" t="s">
        <v>46</v>
      </c>
    </row>
    <row r="23" customFormat="1" ht="33" customHeight="1" spans="1:17">
      <c r="A23" s="36">
        <v>7</v>
      </c>
      <c r="B23" s="29" t="s">
        <v>40</v>
      </c>
      <c r="C23" s="29" t="s">
        <v>47</v>
      </c>
      <c r="D23" s="38" t="s">
        <v>48</v>
      </c>
      <c r="E23" s="39"/>
      <c r="F23" s="40"/>
      <c r="G23" s="41"/>
      <c r="H23" s="40"/>
      <c r="I23" s="41"/>
      <c r="J23" s="41"/>
      <c r="K23" s="41"/>
      <c r="L23" s="41"/>
      <c r="M23" s="43"/>
      <c r="N23" s="43"/>
      <c r="O23" s="43"/>
      <c r="P23" s="41"/>
      <c r="Q23" s="90" t="s">
        <v>49</v>
      </c>
    </row>
    <row r="24" ht="30" customHeight="1" spans="1:17">
      <c r="A24" s="36">
        <v>1</v>
      </c>
      <c r="B24" s="37"/>
      <c r="C24" s="29"/>
      <c r="D24" s="38" t="s">
        <v>50</v>
      </c>
      <c r="E24" s="39"/>
      <c r="F24" s="40"/>
      <c r="G24" s="41"/>
      <c r="H24" s="40">
        <f>SUM(F12:H12,F17:H17,F19:H19)*0.09</f>
        <v>17.4548236894181</v>
      </c>
      <c r="I24" s="41"/>
      <c r="J24" s="41"/>
      <c r="K24" s="41"/>
      <c r="L24" s="41"/>
      <c r="M24" s="43"/>
      <c r="N24" s="43"/>
      <c r="O24" s="43"/>
      <c r="P24" s="41"/>
      <c r="Q24" s="61"/>
    </row>
    <row r="25" ht="30" customHeight="1" spans="1:17">
      <c r="A25" s="36">
        <v>2</v>
      </c>
      <c r="B25" s="37"/>
      <c r="C25" s="29"/>
      <c r="D25" s="38" t="s">
        <v>51</v>
      </c>
      <c r="E25" s="39"/>
      <c r="F25" s="42"/>
      <c r="G25" s="43"/>
      <c r="H25" s="43"/>
      <c r="I25" s="41">
        <f>SUM(I12:K12,I17:K17)*0.09</f>
        <v>12.0778911188147</v>
      </c>
      <c r="J25" s="41"/>
      <c r="K25" s="41"/>
      <c r="L25" s="59"/>
      <c r="M25" s="59"/>
      <c r="N25" s="59"/>
      <c r="O25" s="59"/>
      <c r="P25" s="41"/>
      <c r="Q25" s="61"/>
    </row>
    <row r="26" ht="30" customHeight="1" spans="1:17">
      <c r="A26" s="36">
        <v>3</v>
      </c>
      <c r="B26" s="37"/>
      <c r="C26" s="29"/>
      <c r="D26" s="38" t="s">
        <v>52</v>
      </c>
      <c r="E26" s="39"/>
      <c r="F26" s="42"/>
      <c r="G26" s="43"/>
      <c r="H26" s="43"/>
      <c r="I26" s="43"/>
      <c r="J26" s="43"/>
      <c r="K26" s="43"/>
      <c r="L26" s="41">
        <f>SUM(L17:N17,L12:N12)*0.09</f>
        <v>7.54717108602768</v>
      </c>
      <c r="M26" s="41"/>
      <c r="N26" s="41"/>
      <c r="O26" s="59"/>
      <c r="P26" s="41"/>
      <c r="Q26" s="61"/>
    </row>
    <row r="27" ht="30" customHeight="1" spans="1:17">
      <c r="A27" s="36">
        <v>4</v>
      </c>
      <c r="B27" s="37"/>
      <c r="C27" s="29"/>
      <c r="D27" s="38" t="s">
        <v>53</v>
      </c>
      <c r="E27" s="39"/>
      <c r="F27" s="42"/>
      <c r="G27" s="43"/>
      <c r="H27" s="43"/>
      <c r="I27" s="43"/>
      <c r="J27" s="43"/>
      <c r="K27" s="43"/>
      <c r="L27" s="41"/>
      <c r="M27" s="59"/>
      <c r="N27" s="59"/>
      <c r="O27" s="41">
        <f>SUM(O12,O17,O19)*0.09</f>
        <v>5.32160497553093</v>
      </c>
      <c r="P27" s="41"/>
      <c r="Q27" s="61"/>
    </row>
    <row r="28" ht="30" customHeight="1" spans="1:17">
      <c r="A28" s="36">
        <v>5</v>
      </c>
      <c r="B28" s="44"/>
      <c r="C28" s="29"/>
      <c r="D28" s="38" t="s">
        <v>54</v>
      </c>
      <c r="E28" s="39"/>
      <c r="F28" s="45">
        <f>SUM(F12:O12,F17:O17,F19:O19)*0.15</f>
        <v>70.6691514496523</v>
      </c>
      <c r="G28" s="45"/>
      <c r="H28" s="45"/>
      <c r="I28" s="45"/>
      <c r="J28" s="45"/>
      <c r="K28" s="45"/>
      <c r="L28" s="45"/>
      <c r="M28" s="45"/>
      <c r="N28" s="45"/>
      <c r="O28" s="62"/>
      <c r="P28" s="41"/>
      <c r="Q28" s="61"/>
    </row>
    <row r="29" ht="30" customHeight="1" spans="1:17">
      <c r="A29" s="46" t="s">
        <v>55</v>
      </c>
      <c r="B29" s="47"/>
      <c r="C29" s="48"/>
      <c r="D29" s="49"/>
      <c r="E29" s="50"/>
      <c r="F29" s="51">
        <f>SUM(F12,F17,F19,F28)</f>
        <v>214.310265992193</v>
      </c>
      <c r="G29" s="51">
        <f>SUM(G12,G17,G19)</f>
        <v>14.3337139587112</v>
      </c>
      <c r="H29" s="51">
        <f>SUM(H12,H17,H19,H24)</f>
        <v>53.4224806261449</v>
      </c>
      <c r="I29" s="51">
        <f>SUM(I12,I17,I25)</f>
        <v>124.513158963559</v>
      </c>
      <c r="J29" s="51">
        <f>SUM(J12,J17)</f>
        <v>10.633891292458</v>
      </c>
      <c r="K29" s="51">
        <f>SUM(K12,K17)</f>
        <v>11.1296310718493</v>
      </c>
      <c r="L29" s="51">
        <f>SUM(L12,L17,L26)</f>
        <v>80.3545755436248</v>
      </c>
      <c r="M29" s="51">
        <f>SUM(M12,M17)</f>
        <v>7.10316141049728</v>
      </c>
      <c r="N29" s="51">
        <f>SUM(N12,N17)</f>
        <v>3.94689064332429</v>
      </c>
      <c r="O29" s="51">
        <f>SUM(O12,O17,O19)</f>
        <v>59.1289441725659</v>
      </c>
      <c r="P29" s="63">
        <f>SUM(F29:O29)</f>
        <v>578.876713674928</v>
      </c>
      <c r="Q29" s="61"/>
    </row>
    <row r="30" ht="30" customHeight="1" spans="1:17">
      <c r="A30" s="52" t="s">
        <v>56</v>
      </c>
      <c r="B30" s="52"/>
      <c r="C30" s="52"/>
      <c r="D30" s="53">
        <f>SUM(F12,G12,H12,F17,G17,H17,H19,G19,F19)</f>
        <v>193.942485437979</v>
      </c>
      <c r="E30" s="39"/>
      <c r="F30" s="54" t="s">
        <v>57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64"/>
    </row>
    <row r="31" ht="30" customHeight="1" spans="1:17">
      <c r="A31" s="52" t="s">
        <v>58</v>
      </c>
      <c r="B31" s="52"/>
      <c r="C31" s="52"/>
      <c r="D31" s="53">
        <f>SUM(I12,J12,K12,I17,J17,K17)</f>
        <v>134.198790209052</v>
      </c>
      <c r="E31" s="39"/>
      <c r="F31" s="54" t="s">
        <v>57</v>
      </c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64"/>
    </row>
    <row r="32" ht="30" customHeight="1" spans="1:17">
      <c r="A32" s="52" t="s">
        <v>59</v>
      </c>
      <c r="B32" s="52"/>
      <c r="C32" s="52"/>
      <c r="D32" s="53">
        <f>SUM(L12:N12,L17:N17)</f>
        <v>83.8574565114187</v>
      </c>
      <c r="E32" s="39"/>
      <c r="F32" s="54" t="s">
        <v>57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64"/>
    </row>
    <row r="33" ht="30" customHeight="1" spans="1:17">
      <c r="A33" s="52" t="s">
        <v>60</v>
      </c>
      <c r="B33" s="52"/>
      <c r="C33" s="52"/>
      <c r="D33" s="53">
        <f>SUM(O12,O17,O19)</f>
        <v>59.1289441725659</v>
      </c>
      <c r="E33" s="39"/>
      <c r="F33" s="54" t="s">
        <v>57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64"/>
    </row>
    <row r="34" ht="30" customHeight="1" spans="1:17">
      <c r="A34" s="52" t="s">
        <v>61</v>
      </c>
      <c r="B34" s="52"/>
      <c r="C34" s="52"/>
      <c r="D34" s="53">
        <f>SUM(F12:O12,F17:O17,F19:O19)</f>
        <v>471.127676331015</v>
      </c>
      <c r="E34" s="39"/>
      <c r="F34" s="54" t="s">
        <v>62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64"/>
    </row>
  </sheetData>
  <mergeCells count="34">
    <mergeCell ref="A1:Q1"/>
    <mergeCell ref="F2:O2"/>
    <mergeCell ref="F3:H3"/>
    <mergeCell ref="I3:K3"/>
    <mergeCell ref="L3:N3"/>
    <mergeCell ref="B12:C12"/>
    <mergeCell ref="A17:C17"/>
    <mergeCell ref="A19:C19"/>
    <mergeCell ref="A29:B29"/>
    <mergeCell ref="A30:B30"/>
    <mergeCell ref="F30:Q30"/>
    <mergeCell ref="A31:B31"/>
    <mergeCell ref="F31:Q31"/>
    <mergeCell ref="A32:B32"/>
    <mergeCell ref="F32:Q32"/>
    <mergeCell ref="A33:B33"/>
    <mergeCell ref="F33:Q33"/>
    <mergeCell ref="A34:B34"/>
    <mergeCell ref="F34:Q34"/>
    <mergeCell ref="A2:A4"/>
    <mergeCell ref="A5:A11"/>
    <mergeCell ref="A13:A16"/>
    <mergeCell ref="B2:B4"/>
    <mergeCell ref="B5:B7"/>
    <mergeCell ref="B8:B11"/>
    <mergeCell ref="B13:B14"/>
    <mergeCell ref="B15:B16"/>
    <mergeCell ref="C2:C4"/>
    <mergeCell ref="C5:C11"/>
    <mergeCell ref="C13:C16"/>
    <mergeCell ref="D2:D4"/>
    <mergeCell ref="E2:E4"/>
    <mergeCell ref="P2:P4"/>
    <mergeCell ref="Q2:Q4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R22"/>
  <sheetViews>
    <sheetView zoomScale="80" zoomScaleNormal="80" workbookViewId="0">
      <selection activeCell="F7" sqref="F7"/>
    </sheetView>
  </sheetViews>
  <sheetFormatPr defaultColWidth="9" defaultRowHeight="13.5"/>
  <cols>
    <col min="1" max="1" width="5.38333333333333" customWidth="1"/>
    <col min="2" max="2" width="12.5" customWidth="1"/>
    <col min="3" max="3" width="15" customWidth="1"/>
    <col min="4" max="4" width="26.1333333333333" customWidth="1"/>
    <col min="5" max="5" width="10.8833333333333" style="10" customWidth="1"/>
    <col min="6" max="12" width="9" customWidth="1"/>
    <col min="13" max="14" width="10.1333333333333" customWidth="1"/>
    <col min="15" max="15" width="12.6416666666667" customWidth="1"/>
    <col min="16" max="16" width="14.3083333333333" customWidth="1"/>
    <col min="17" max="17" width="9" customWidth="1"/>
    <col min="18" max="18" width="29.1333333333333" customWidth="1"/>
    <col min="19" max="19" width="12.6333333333333"/>
  </cols>
  <sheetData>
    <row r="1" ht="36.95" customHeight="1" spans="1:18">
      <c r="A1" s="11" t="s">
        <v>63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55"/>
    </row>
    <row r="2" ht="30" customHeight="1" spans="1:18">
      <c r="A2" s="13" t="s">
        <v>1</v>
      </c>
      <c r="B2" s="14" t="s">
        <v>2</v>
      </c>
      <c r="C2" s="14" t="s">
        <v>3</v>
      </c>
      <c r="D2" s="15" t="s">
        <v>4</v>
      </c>
      <c r="E2" s="16" t="s">
        <v>5</v>
      </c>
      <c r="F2" s="69"/>
      <c r="G2" s="56"/>
      <c r="H2" s="56"/>
      <c r="I2" s="56"/>
      <c r="J2" s="56"/>
      <c r="K2" s="56"/>
      <c r="L2" s="56"/>
      <c r="M2" s="56"/>
      <c r="N2" s="56"/>
      <c r="O2" s="56"/>
      <c r="P2" s="56"/>
      <c r="Q2" s="25" t="s">
        <v>6</v>
      </c>
      <c r="R2" s="57" t="s">
        <v>7</v>
      </c>
    </row>
    <row r="3" ht="30" customHeight="1" spans="1:18">
      <c r="A3" s="19"/>
      <c r="B3" s="14"/>
      <c r="C3" s="14"/>
      <c r="D3" s="15"/>
      <c r="E3" s="20"/>
      <c r="F3" s="21" t="s">
        <v>8</v>
      </c>
      <c r="G3" s="22"/>
      <c r="H3" s="22"/>
      <c r="I3" s="21" t="s">
        <v>9</v>
      </c>
      <c r="J3" s="22"/>
      <c r="K3" s="22"/>
      <c r="L3" s="58" t="s">
        <v>10</v>
      </c>
      <c r="M3" s="57"/>
      <c r="N3" s="57"/>
      <c r="O3" s="21" t="s">
        <v>11</v>
      </c>
      <c r="P3" s="21" t="s">
        <v>64</v>
      </c>
      <c r="Q3" s="57"/>
      <c r="R3" s="57"/>
    </row>
    <row r="4" ht="30" customHeight="1" spans="1:18">
      <c r="A4" s="19"/>
      <c r="B4" s="23"/>
      <c r="C4" s="23"/>
      <c r="D4" s="15"/>
      <c r="E4" s="24"/>
      <c r="F4" s="25" t="s">
        <v>12</v>
      </c>
      <c r="G4" s="26" t="s">
        <v>13</v>
      </c>
      <c r="H4" s="26" t="s">
        <v>14</v>
      </c>
      <c r="I4" s="25" t="s">
        <v>15</v>
      </c>
      <c r="J4" s="25" t="s">
        <v>65</v>
      </c>
      <c r="K4" s="25" t="s">
        <v>17</v>
      </c>
      <c r="L4" s="57" t="s">
        <v>18</v>
      </c>
      <c r="M4" s="57" t="s">
        <v>19</v>
      </c>
      <c r="N4" s="57" t="s">
        <v>20</v>
      </c>
      <c r="O4" s="25" t="s">
        <v>21</v>
      </c>
      <c r="P4" s="25" t="s">
        <v>66</v>
      </c>
      <c r="Q4" s="57"/>
      <c r="R4" s="57"/>
    </row>
    <row r="5" customFormat="1" ht="39" customHeight="1" spans="1:18">
      <c r="A5" s="52">
        <v>1</v>
      </c>
      <c r="B5" s="29" t="s">
        <v>27</v>
      </c>
      <c r="C5" s="29" t="s">
        <v>67</v>
      </c>
      <c r="D5" s="59" t="s">
        <v>68</v>
      </c>
      <c r="E5" s="39">
        <v>3229.31</v>
      </c>
      <c r="F5" s="68">
        <f>E5/100*8.5*0.855*0.91*0.6*0.334*0.8*1.2</f>
        <v>41.0870651245891</v>
      </c>
      <c r="G5" s="68">
        <f>E5/100*8.5*0.855*0.91*0.6*0.334*0.08*1.2</f>
        <v>4.10870651245891</v>
      </c>
      <c r="H5" s="68">
        <f>E5/100*8.5*0.855*0.91*0.6*0.334*0.1*1.2</f>
        <v>5.13588314057364</v>
      </c>
      <c r="I5" s="68">
        <f>E5/100*8.5*0.855*0.91*0.6*0.388*0.1*1.2</f>
        <v>5.96623550461848</v>
      </c>
      <c r="J5" s="68">
        <f>E5/100*8.5*0.855*0.91*0.6*0.388*0.08*1.2</f>
        <v>4.77298840369478</v>
      </c>
      <c r="K5" s="68">
        <f>E5/100*8.5*0.855*0.91*0.6*0.388*0.8*1.2</f>
        <v>47.7298840369478</v>
      </c>
      <c r="L5" s="68">
        <f>E5/100*8.5*0.855*0.91*0.6*0.13*0.08*1.2</f>
        <v>1.59919714556784</v>
      </c>
      <c r="M5" s="68">
        <f>E5/100*8.5*0.855*0.91*0.6*0.13*0.08*1.2</f>
        <v>1.59919714556784</v>
      </c>
      <c r="N5" s="68">
        <f>E5/100*8.5*0.855*0.91*0.6*0.13*0.8*1.2</f>
        <v>15.9919714556784</v>
      </c>
      <c r="O5" s="68">
        <f>E5/100*8.5*0.855*0.91*0.6*0.147*0.8*1.2</f>
        <v>18.083229261421</v>
      </c>
      <c r="P5" s="68">
        <f>E5/100*8.5*0.855*0.91*0.6*0.01*0.8*1.2</f>
        <v>1.2301516504368</v>
      </c>
      <c r="Q5" s="68"/>
      <c r="R5" s="61"/>
    </row>
    <row r="6" customFormat="1" ht="36" customHeight="1" spans="1:18">
      <c r="A6" s="70"/>
      <c r="B6" s="71"/>
      <c r="C6" s="71"/>
      <c r="D6" s="59" t="s">
        <v>28</v>
      </c>
      <c r="E6" s="39"/>
      <c r="F6" s="35"/>
      <c r="G6" s="35"/>
      <c r="H6" s="35"/>
      <c r="I6" s="68">
        <f>E6/100*8.5*0.855*0.91*0.6*0.04*0.1</f>
        <v>0</v>
      </c>
      <c r="J6" s="35"/>
      <c r="K6" s="35"/>
      <c r="L6" s="35"/>
      <c r="M6" s="80"/>
      <c r="N6" s="80"/>
      <c r="O6" s="35"/>
      <c r="P6" s="68"/>
      <c r="Q6" s="68"/>
      <c r="R6" s="61"/>
    </row>
    <row r="7" customFormat="1" ht="36" customHeight="1" spans="1:18">
      <c r="A7" s="33" t="s">
        <v>29</v>
      </c>
      <c r="B7" s="33"/>
      <c r="C7" s="33"/>
      <c r="D7" s="59"/>
      <c r="E7" s="39"/>
      <c r="F7" s="35">
        <f>SUM(F5:F5)*1.2*0.2</f>
        <v>9.86089562990139</v>
      </c>
      <c r="G7" s="35">
        <f>SUM(G5:G5)*1.2</f>
        <v>4.93044781495069</v>
      </c>
      <c r="H7" s="35">
        <f>SUM(H5:H5)*1.2</f>
        <v>6.16305976868837</v>
      </c>
      <c r="I7" s="35">
        <f>SUM(I5:I5)*1.2</f>
        <v>7.15948260554218</v>
      </c>
      <c r="J7" s="35">
        <f>SUM(J5:J5)*1.2</f>
        <v>5.72758608443374</v>
      </c>
      <c r="K7" s="35">
        <f>SUM(K5:K5)*1.2*0.2</f>
        <v>11.4551721688675</v>
      </c>
      <c r="L7" s="35">
        <f>SUM(L5:L5)*1.2</f>
        <v>1.91903657468141</v>
      </c>
      <c r="M7" s="35">
        <f>SUM(M5:M5)*1.2</f>
        <v>1.91903657468141</v>
      </c>
      <c r="N7" s="35">
        <f>SUM(N5:N5)*1.2*0.2</f>
        <v>3.83807314936282</v>
      </c>
      <c r="O7" s="35">
        <f>SUM(O5:O5)*1.2*0.2</f>
        <v>4.33997502274103</v>
      </c>
      <c r="P7" s="35">
        <f>SUM(P5:P5)*1.2*0.2</f>
        <v>0.295236396104832</v>
      </c>
      <c r="Q7" s="68"/>
      <c r="R7" s="61" t="s">
        <v>69</v>
      </c>
    </row>
    <row r="8" customFormat="1" ht="30" customHeight="1" spans="1:18">
      <c r="A8" s="72">
        <v>2</v>
      </c>
      <c r="B8" s="28" t="s">
        <v>70</v>
      </c>
      <c r="C8" s="28" t="s">
        <v>67</v>
      </c>
      <c r="D8" s="59" t="s">
        <v>68</v>
      </c>
      <c r="E8" s="39">
        <v>3229.31</v>
      </c>
      <c r="F8" s="68">
        <f>E8/100*8.5*0.91*0.2*0.88*1.2</f>
        <v>52.7550415392</v>
      </c>
      <c r="G8" s="68"/>
      <c r="H8" s="68"/>
      <c r="I8" s="68"/>
      <c r="J8" s="68"/>
      <c r="K8" s="68"/>
      <c r="L8" s="68"/>
      <c r="M8" s="59"/>
      <c r="N8" s="59"/>
      <c r="O8" s="59"/>
      <c r="P8" s="68"/>
      <c r="Q8" s="68"/>
      <c r="R8" s="61"/>
    </row>
    <row r="9" customFormat="1" ht="30" customHeight="1" spans="1:18">
      <c r="A9" s="73"/>
      <c r="B9" s="74"/>
      <c r="C9" s="74"/>
      <c r="D9" s="59" t="s">
        <v>28</v>
      </c>
      <c r="E9" s="39">
        <v>3229.31</v>
      </c>
      <c r="F9" s="68">
        <f>E9/100*8.5*0.09*0.1*0.87*1.2</f>
        <v>2.5791207246</v>
      </c>
      <c r="G9" s="68"/>
      <c r="H9" s="68"/>
      <c r="I9" s="68"/>
      <c r="J9" s="68"/>
      <c r="K9" s="68"/>
      <c r="L9" s="68"/>
      <c r="M9" s="59"/>
      <c r="N9" s="59"/>
      <c r="O9" s="59"/>
      <c r="P9" s="68"/>
      <c r="Q9" s="68"/>
      <c r="R9" s="61"/>
    </row>
    <row r="10" customFormat="1" ht="30" customHeight="1" spans="1:18">
      <c r="A10" s="33" t="s">
        <v>29</v>
      </c>
      <c r="B10" s="33"/>
      <c r="C10" s="33"/>
      <c r="D10" s="59"/>
      <c r="E10" s="39"/>
      <c r="F10" s="35">
        <f>SUM(F8:F9)*1.2*0.2</f>
        <v>13.280198943312</v>
      </c>
      <c r="G10" s="68"/>
      <c r="H10" s="68"/>
      <c r="I10" s="68"/>
      <c r="J10" s="68"/>
      <c r="K10" s="68"/>
      <c r="L10" s="68"/>
      <c r="M10" s="59"/>
      <c r="N10" s="59"/>
      <c r="O10" s="59"/>
      <c r="P10" s="68"/>
      <c r="Q10" s="68"/>
      <c r="R10" s="61"/>
    </row>
    <row r="11" ht="30" customHeight="1" spans="1:18">
      <c r="A11" s="52">
        <v>1</v>
      </c>
      <c r="B11" s="37"/>
      <c r="C11" s="75"/>
      <c r="D11" s="59" t="s">
        <v>50</v>
      </c>
      <c r="E11" s="39"/>
      <c r="F11" s="68"/>
      <c r="G11" s="68"/>
      <c r="H11" s="68">
        <f>F7:H7*0.09</f>
        <v>0.554675379181953</v>
      </c>
      <c r="I11" s="68"/>
      <c r="J11" s="68"/>
      <c r="K11" s="68"/>
      <c r="L11" s="68"/>
      <c r="M11" s="59"/>
      <c r="N11" s="59"/>
      <c r="O11" s="59"/>
      <c r="P11" s="68"/>
      <c r="Q11" s="68"/>
      <c r="R11" s="61"/>
    </row>
    <row r="12" ht="30" customHeight="1" spans="1:18">
      <c r="A12" s="52">
        <v>2</v>
      </c>
      <c r="B12" s="37"/>
      <c r="C12" s="29"/>
      <c r="D12" s="59" t="s">
        <v>51</v>
      </c>
      <c r="E12" s="39"/>
      <c r="F12" s="59"/>
      <c r="G12" s="59"/>
      <c r="H12" s="59"/>
      <c r="I12" s="68">
        <f>I7:K7*0.09</f>
        <v>0.644353434498796</v>
      </c>
      <c r="J12" s="68"/>
      <c r="K12" s="68"/>
      <c r="L12" s="59"/>
      <c r="M12" s="59"/>
      <c r="N12" s="59"/>
      <c r="O12" s="59"/>
      <c r="P12" s="68"/>
      <c r="Q12" s="68"/>
      <c r="R12" s="61"/>
    </row>
    <row r="13" ht="30" customHeight="1" spans="1:18">
      <c r="A13" s="52">
        <v>3</v>
      </c>
      <c r="B13" s="37"/>
      <c r="C13" s="29"/>
      <c r="D13" s="59" t="s">
        <v>52</v>
      </c>
      <c r="E13" s="39"/>
      <c r="F13" s="59"/>
      <c r="G13" s="59"/>
      <c r="H13" s="59"/>
      <c r="I13" s="59"/>
      <c r="J13" s="59"/>
      <c r="K13" s="59"/>
      <c r="L13" s="68"/>
      <c r="M13" s="68"/>
      <c r="N13" s="68">
        <f>L7:N7*0.09</f>
        <v>0.345426583442653</v>
      </c>
      <c r="O13" s="68">
        <f>O7*0.09</f>
        <v>0.390597752046693</v>
      </c>
      <c r="P13" s="68">
        <f>P7*0.09</f>
        <v>0.0265712756494349</v>
      </c>
      <c r="Q13" s="68"/>
      <c r="R13" s="61"/>
    </row>
    <row r="14" ht="30" customHeight="1" spans="1:18">
      <c r="A14" s="52">
        <v>4</v>
      </c>
      <c r="B14" s="37"/>
      <c r="C14" s="29"/>
      <c r="D14" s="59" t="s">
        <v>53</v>
      </c>
      <c r="E14" s="39"/>
      <c r="F14" s="59"/>
      <c r="G14" s="59"/>
      <c r="H14" s="59"/>
      <c r="I14" s="59"/>
      <c r="J14" s="59"/>
      <c r="K14" s="59"/>
      <c r="L14" s="68"/>
      <c r="M14" s="59"/>
      <c r="N14" s="59"/>
      <c r="O14" s="68"/>
      <c r="P14" s="68"/>
      <c r="Q14" s="68"/>
      <c r="R14" s="61"/>
    </row>
    <row r="15" ht="30" customHeight="1" spans="1:18">
      <c r="A15" s="52">
        <v>5</v>
      </c>
      <c r="B15" s="29"/>
      <c r="C15" s="29"/>
      <c r="D15" s="59" t="s">
        <v>54</v>
      </c>
      <c r="E15" s="39"/>
      <c r="F15" s="39">
        <f>SUM(F7:P7,F10)*0.15</f>
        <v>10.6332301099901</v>
      </c>
      <c r="G15" s="39"/>
      <c r="H15" s="39"/>
      <c r="I15" s="39"/>
      <c r="J15" s="39"/>
      <c r="K15" s="39"/>
      <c r="L15" s="39"/>
      <c r="M15" s="39"/>
      <c r="N15" s="39"/>
      <c r="O15" s="39"/>
      <c r="P15" s="68"/>
      <c r="Q15" s="68"/>
      <c r="R15" s="61"/>
    </row>
    <row r="16" ht="30" customHeight="1" spans="1:18">
      <c r="A16" s="76" t="s">
        <v>55</v>
      </c>
      <c r="B16" s="77"/>
      <c r="C16" s="52"/>
      <c r="D16" s="52"/>
      <c r="E16" s="50"/>
      <c r="F16" s="78">
        <f>SUM(F7,F10,F15)</f>
        <v>33.7743246832035</v>
      </c>
      <c r="G16" s="78">
        <f t="shared" ref="G16:Q16" si="0">SUM(G7:G15)</f>
        <v>4.93044781495069</v>
      </c>
      <c r="H16" s="78">
        <f t="shared" si="0"/>
        <v>6.71773514787032</v>
      </c>
      <c r="I16" s="78">
        <f t="shared" si="0"/>
        <v>7.80383604004097</v>
      </c>
      <c r="J16" s="78">
        <f t="shared" si="0"/>
        <v>5.72758608443374</v>
      </c>
      <c r="K16" s="78">
        <f t="shared" si="0"/>
        <v>11.4551721688675</v>
      </c>
      <c r="L16" s="78">
        <f t="shared" si="0"/>
        <v>1.91903657468141</v>
      </c>
      <c r="M16" s="78">
        <f t="shared" si="0"/>
        <v>1.91903657468141</v>
      </c>
      <c r="N16" s="78">
        <f t="shared" si="0"/>
        <v>4.18349973280547</v>
      </c>
      <c r="O16" s="78">
        <f t="shared" si="0"/>
        <v>4.73057277478772</v>
      </c>
      <c r="P16" s="78">
        <f t="shared" si="0"/>
        <v>0.321807671754267</v>
      </c>
      <c r="Q16" s="78">
        <f t="shared" si="0"/>
        <v>0</v>
      </c>
      <c r="R16" s="61"/>
    </row>
    <row r="17" ht="30" customHeight="1" spans="1:18">
      <c r="A17" s="52" t="s">
        <v>56</v>
      </c>
      <c r="B17" s="52"/>
      <c r="C17" s="52"/>
      <c r="D17" s="68">
        <f>SUM(F7:H7,F10)</f>
        <v>34.2346021568525</v>
      </c>
      <c r="E17" s="39"/>
      <c r="F17" s="79" t="s">
        <v>57</v>
      </c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</row>
    <row r="18" ht="30" customHeight="1" spans="1:18">
      <c r="A18" s="52" t="s">
        <v>58</v>
      </c>
      <c r="B18" s="52"/>
      <c r="C18" s="52"/>
      <c r="D18" s="68">
        <f>SUM(I7:K7)</f>
        <v>24.3422408588434</v>
      </c>
      <c r="E18" s="39"/>
      <c r="F18" s="79" t="s">
        <v>57</v>
      </c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</row>
    <row r="19" ht="30" customHeight="1" spans="1:18">
      <c r="A19" s="52" t="s">
        <v>59</v>
      </c>
      <c r="B19" s="52"/>
      <c r="C19" s="52"/>
      <c r="D19" s="68">
        <f>SUM(L7:N7)</f>
        <v>7.67614629872563</v>
      </c>
      <c r="E19" s="39"/>
      <c r="F19" s="79" t="s">
        <v>57</v>
      </c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</row>
    <row r="20" ht="30" customHeight="1" spans="1:18">
      <c r="A20" s="52" t="s">
        <v>60</v>
      </c>
      <c r="B20" s="52"/>
      <c r="C20" s="52"/>
      <c r="D20" s="68">
        <f>SUM(O7)</f>
        <v>4.33997502274103</v>
      </c>
      <c r="E20" s="39"/>
      <c r="F20" s="79" t="s">
        <v>57</v>
      </c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ht="30" customHeight="1" spans="1:18">
      <c r="A21" s="52" t="s">
        <v>71</v>
      </c>
      <c r="B21" s="52"/>
      <c r="C21" s="52"/>
      <c r="D21" s="68">
        <f>SUM(P7)</f>
        <v>0.295236396104832</v>
      </c>
      <c r="E21" s="39"/>
      <c r="F21" s="79" t="s">
        <v>57</v>
      </c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ht="30" customHeight="1" spans="1:18">
      <c r="A22" s="52" t="s">
        <v>61</v>
      </c>
      <c r="B22" s="52"/>
      <c r="C22" s="52"/>
      <c r="D22" s="68">
        <f>SUM(D17:D21)</f>
        <v>70.8882007332673</v>
      </c>
      <c r="E22" s="39"/>
      <c r="F22" s="79" t="s">
        <v>62</v>
      </c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</row>
  </sheetData>
  <mergeCells count="33">
    <mergeCell ref="A1:R1"/>
    <mergeCell ref="F2:P2"/>
    <mergeCell ref="F3:H3"/>
    <mergeCell ref="I3:K3"/>
    <mergeCell ref="L3:N3"/>
    <mergeCell ref="A7:C7"/>
    <mergeCell ref="A10:C10"/>
    <mergeCell ref="A16:B16"/>
    <mergeCell ref="A17:B17"/>
    <mergeCell ref="F17:R17"/>
    <mergeCell ref="A18:B18"/>
    <mergeCell ref="F18:R18"/>
    <mergeCell ref="A19:B19"/>
    <mergeCell ref="F19:R19"/>
    <mergeCell ref="A20:B20"/>
    <mergeCell ref="F20:R20"/>
    <mergeCell ref="A21:B21"/>
    <mergeCell ref="F21:R21"/>
    <mergeCell ref="A22:B22"/>
    <mergeCell ref="F22:R22"/>
    <mergeCell ref="A2:A4"/>
    <mergeCell ref="A5:A6"/>
    <mergeCell ref="A8:A9"/>
    <mergeCell ref="B2:B4"/>
    <mergeCell ref="B5:B6"/>
    <mergeCell ref="B8:B9"/>
    <mergeCell ref="C2:C4"/>
    <mergeCell ref="C5:C6"/>
    <mergeCell ref="C8:C9"/>
    <mergeCell ref="D2:D4"/>
    <mergeCell ref="E2:E4"/>
    <mergeCell ref="Q2:Q4"/>
    <mergeCell ref="R2:R4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19"/>
  <sheetViews>
    <sheetView zoomScale="80" zoomScaleNormal="80" workbookViewId="0">
      <selection activeCell="F15" sqref="F15"/>
    </sheetView>
  </sheetViews>
  <sheetFormatPr defaultColWidth="9" defaultRowHeight="13.5"/>
  <cols>
    <col min="1" max="1" width="5.38333333333333" customWidth="1"/>
    <col min="2" max="2" width="12.5" customWidth="1"/>
    <col min="3" max="3" width="15" customWidth="1"/>
    <col min="4" max="4" width="26.1333333333333" customWidth="1"/>
    <col min="5" max="5" width="10.8833333333333" style="10" customWidth="1"/>
    <col min="6" max="9" width="9" customWidth="1"/>
    <col min="10" max="11" width="10.1333333333333" customWidth="1"/>
    <col min="12" max="12" width="15.1416666666667" customWidth="1"/>
    <col min="13" max="13" width="9" customWidth="1"/>
    <col min="14" max="14" width="29.1333333333333" customWidth="1"/>
    <col min="15" max="15" width="12.6333333333333"/>
  </cols>
  <sheetData>
    <row r="1" ht="36.95" customHeight="1" spans="1:14">
      <c r="A1" s="11" t="s">
        <v>72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55"/>
    </row>
    <row r="2" ht="30" customHeight="1" spans="1:14">
      <c r="A2" s="13" t="s">
        <v>1</v>
      </c>
      <c r="B2" s="14" t="s">
        <v>2</v>
      </c>
      <c r="C2" s="14" t="s">
        <v>3</v>
      </c>
      <c r="D2" s="15" t="s">
        <v>4</v>
      </c>
      <c r="E2" s="16" t="s">
        <v>5</v>
      </c>
      <c r="F2" s="17"/>
      <c r="G2" s="18"/>
      <c r="H2" s="18"/>
      <c r="I2" s="56"/>
      <c r="J2" s="56"/>
      <c r="K2" s="56"/>
      <c r="L2" s="56"/>
      <c r="M2" s="25" t="s">
        <v>6</v>
      </c>
      <c r="N2" s="57" t="s">
        <v>7</v>
      </c>
    </row>
    <row r="3" ht="30" customHeight="1" spans="1:14">
      <c r="A3" s="19"/>
      <c r="B3" s="14"/>
      <c r="C3" s="14"/>
      <c r="D3" s="15"/>
      <c r="E3" s="20"/>
      <c r="F3" s="21" t="s">
        <v>8</v>
      </c>
      <c r="G3" s="22"/>
      <c r="H3" s="22"/>
      <c r="I3" s="58" t="s">
        <v>10</v>
      </c>
      <c r="J3" s="57"/>
      <c r="K3" s="57"/>
      <c r="L3" s="21" t="s">
        <v>11</v>
      </c>
      <c r="M3" s="57"/>
      <c r="N3" s="57"/>
    </row>
    <row r="4" ht="30" customHeight="1" spans="1:14">
      <c r="A4" s="19"/>
      <c r="B4" s="23"/>
      <c r="C4" s="23"/>
      <c r="D4" s="15"/>
      <c r="E4" s="24"/>
      <c r="F4" s="25" t="s">
        <v>12</v>
      </c>
      <c r="G4" s="26" t="s">
        <v>13</v>
      </c>
      <c r="H4" s="26" t="s">
        <v>14</v>
      </c>
      <c r="I4" s="57" t="s">
        <v>18</v>
      </c>
      <c r="J4" s="57" t="s">
        <v>73</v>
      </c>
      <c r="K4" s="57" t="s">
        <v>20</v>
      </c>
      <c r="L4" s="25" t="s">
        <v>21</v>
      </c>
      <c r="M4" s="57"/>
      <c r="N4" s="57"/>
    </row>
    <row r="5" ht="30" customHeight="1" spans="1:14">
      <c r="A5" s="27">
        <v>1</v>
      </c>
      <c r="B5" s="29" t="s">
        <v>22</v>
      </c>
      <c r="C5" s="29" t="s">
        <v>74</v>
      </c>
      <c r="D5" s="29" t="s">
        <v>68</v>
      </c>
      <c r="E5" s="29">
        <v>2178.11</v>
      </c>
      <c r="F5" s="65">
        <f>E5/100*6*0.855*0.2*0.88*1.2</f>
        <v>23.5988634816</v>
      </c>
      <c r="G5" s="29"/>
      <c r="H5" s="29"/>
      <c r="I5" s="29"/>
      <c r="J5" s="29"/>
      <c r="K5" s="29"/>
      <c r="L5" s="29"/>
      <c r="M5" s="29"/>
      <c r="N5" s="29"/>
    </row>
    <row r="6" ht="30" customHeight="1" spans="1:14">
      <c r="A6" s="66"/>
      <c r="B6" s="29"/>
      <c r="C6" s="29"/>
      <c r="D6" s="29" t="s">
        <v>28</v>
      </c>
      <c r="E6" s="29">
        <v>2178.11</v>
      </c>
      <c r="F6" s="65">
        <f>E6/100*6*0.145*0.15*0.8*1.2</f>
        <v>2.728736208</v>
      </c>
      <c r="G6" s="29"/>
      <c r="H6" s="29"/>
      <c r="I6" s="29"/>
      <c r="J6" s="29"/>
      <c r="K6" s="29"/>
      <c r="L6" s="29"/>
      <c r="M6" s="29"/>
      <c r="N6" s="29"/>
    </row>
    <row r="7" ht="30" customHeight="1" spans="1:14">
      <c r="A7" s="66"/>
      <c r="B7" s="29" t="s">
        <v>75</v>
      </c>
      <c r="C7" s="29"/>
      <c r="D7" s="29" t="s">
        <v>68</v>
      </c>
      <c r="E7" s="29">
        <v>2178.11</v>
      </c>
      <c r="F7" s="68">
        <f>E7/100*6*0.855*0.2*0.4*0.82*1.2</f>
        <v>8.79594002496</v>
      </c>
      <c r="G7" s="68">
        <f>E7/100*15*0.855*0.2*0.4*0.08*1.2</f>
        <v>2.1453512256</v>
      </c>
      <c r="H7" s="68">
        <f>SUM(E7)/100*5*0.855*0.2*0.4*0.08*1.2</f>
        <v>0.7151170752</v>
      </c>
      <c r="I7" s="68"/>
      <c r="J7" s="68"/>
      <c r="K7" s="68"/>
      <c r="L7" s="68"/>
      <c r="M7" s="29"/>
      <c r="N7" s="29"/>
    </row>
    <row r="8" ht="30" customHeight="1" spans="1:14">
      <c r="A8" s="66"/>
      <c r="B8" s="29"/>
      <c r="C8" s="29"/>
      <c r="D8" s="29" t="s">
        <v>28</v>
      </c>
      <c r="E8" s="29">
        <v>2178.11</v>
      </c>
      <c r="F8" s="68">
        <f>E8/100*5*0.145*0.15*0.6*0.82*1.2</f>
        <v>1.3984773066</v>
      </c>
      <c r="G8" s="68">
        <f>E8/100*5*0.145*0.15*0.6*0.82*1.2</f>
        <v>1.3984773066</v>
      </c>
      <c r="H8" s="68">
        <f>SUM(E8)/100*5*0.145*0.15*0.6*0.82*1.2</f>
        <v>1.3984773066</v>
      </c>
      <c r="I8" s="68">
        <f>E8/100*5*0.855*0.15*0.273*0.08*1.2</f>
        <v>0.366050552868</v>
      </c>
      <c r="J8" s="68">
        <f>E8/100*5*0.855*0.15*0.273*0.08*1.2</f>
        <v>0.366050552868</v>
      </c>
      <c r="K8" s="68">
        <f>SUM(E8)/100*5*0.855*0.15*0.27*0.82*1.2</f>
        <v>3.71078719803</v>
      </c>
      <c r="L8" s="68">
        <f>E8/100*5*0.855*0.15*0.13*0.82*1.2</f>
        <v>1.78667531757</v>
      </c>
      <c r="M8" s="29"/>
      <c r="N8" s="29"/>
    </row>
    <row r="9" ht="30" customHeight="1" spans="1:14">
      <c r="A9" s="32"/>
      <c r="B9" s="33" t="s">
        <v>29</v>
      </c>
      <c r="C9" s="33"/>
      <c r="D9" s="29"/>
      <c r="E9" s="34"/>
      <c r="F9" s="35">
        <f>SUM(F5:F8)*1.3</f>
        <v>47.478622127508</v>
      </c>
      <c r="G9" s="35">
        <f t="shared" ref="G9:L9" si="0">SUM(G7:G8)*1.3</f>
        <v>4.60697709186</v>
      </c>
      <c r="H9" s="35">
        <f t="shared" si="0"/>
        <v>2.74767269634</v>
      </c>
      <c r="I9" s="35">
        <f t="shared" si="0"/>
        <v>0.4758657187284</v>
      </c>
      <c r="J9" s="35">
        <f t="shared" si="0"/>
        <v>0.4758657187284</v>
      </c>
      <c r="K9" s="35">
        <f t="shared" si="0"/>
        <v>4.824023357439</v>
      </c>
      <c r="L9" s="35">
        <f>SUM(L7:L8)*1.3*1.2</f>
        <v>2.7872134954092</v>
      </c>
      <c r="M9" s="57"/>
      <c r="N9" s="59" t="s">
        <v>76</v>
      </c>
    </row>
    <row r="10" ht="30" customHeight="1" spans="1:14">
      <c r="A10" s="36">
        <v>1</v>
      </c>
      <c r="B10" s="37"/>
      <c r="C10" s="29"/>
      <c r="D10" s="38" t="s">
        <v>50</v>
      </c>
      <c r="E10" s="39"/>
      <c r="F10" s="40"/>
      <c r="G10" s="41"/>
      <c r="H10" s="40"/>
      <c r="I10" s="41"/>
      <c r="J10" s="43"/>
      <c r="K10" s="43"/>
      <c r="L10" s="43"/>
      <c r="M10" s="41"/>
      <c r="N10" s="61"/>
    </row>
    <row r="11" ht="30" customHeight="1" spans="1:14">
      <c r="A11" s="36">
        <v>2</v>
      </c>
      <c r="B11" s="37"/>
      <c r="C11" s="29"/>
      <c r="D11" s="38" t="s">
        <v>51</v>
      </c>
      <c r="E11" s="39"/>
      <c r="F11" s="42"/>
      <c r="G11" s="43"/>
      <c r="H11" s="43"/>
      <c r="I11" s="59"/>
      <c r="J11" s="59"/>
      <c r="K11" s="59"/>
      <c r="L11" s="59"/>
      <c r="M11" s="41"/>
      <c r="N11" s="61"/>
    </row>
    <row r="12" ht="30" customHeight="1" spans="1:14">
      <c r="A12" s="36">
        <v>3</v>
      </c>
      <c r="B12" s="37"/>
      <c r="C12" s="29"/>
      <c r="D12" s="38" t="s">
        <v>52</v>
      </c>
      <c r="E12" s="39"/>
      <c r="F12" s="42"/>
      <c r="G12" s="43"/>
      <c r="H12" s="43"/>
      <c r="I12" s="41"/>
      <c r="J12" s="41"/>
      <c r="K12" s="41"/>
      <c r="L12" s="59"/>
      <c r="M12" s="41"/>
      <c r="N12" s="61"/>
    </row>
    <row r="13" ht="30" customHeight="1" spans="1:14">
      <c r="A13" s="36">
        <v>4</v>
      </c>
      <c r="B13" s="37"/>
      <c r="C13" s="29"/>
      <c r="D13" s="38" t="s">
        <v>53</v>
      </c>
      <c r="E13" s="39"/>
      <c r="F13" s="42"/>
      <c r="G13" s="43"/>
      <c r="H13" s="43"/>
      <c r="I13" s="41"/>
      <c r="J13" s="59"/>
      <c r="K13" s="59"/>
      <c r="L13" s="41"/>
      <c r="M13" s="41"/>
      <c r="N13" s="61"/>
    </row>
    <row r="14" ht="30" customHeight="1" spans="1:14">
      <c r="A14" s="36">
        <v>5</v>
      </c>
      <c r="B14" s="44"/>
      <c r="C14" s="29"/>
      <c r="D14" s="38" t="s">
        <v>54</v>
      </c>
      <c r="E14" s="39"/>
      <c r="F14" s="45">
        <f>SUM(F9:L9)*0.18</f>
        <v>11.4113232370823</v>
      </c>
      <c r="G14" s="45"/>
      <c r="H14" s="45"/>
      <c r="I14" s="45"/>
      <c r="J14" s="45"/>
      <c r="K14" s="45"/>
      <c r="L14" s="62"/>
      <c r="M14" s="41"/>
      <c r="N14" s="61"/>
    </row>
    <row r="15" ht="30" customHeight="1" spans="1:14">
      <c r="A15" s="46" t="s">
        <v>55</v>
      </c>
      <c r="B15" s="47"/>
      <c r="C15" s="48"/>
      <c r="D15" s="49"/>
      <c r="E15" s="50"/>
      <c r="F15" s="51">
        <f>SUM(F9:F14)</f>
        <v>58.8899453645903</v>
      </c>
      <c r="G15" s="51">
        <f t="shared" ref="F15:L15" si="1">SUM(G9:G14)</f>
        <v>4.60697709186</v>
      </c>
      <c r="H15" s="51">
        <f t="shared" si="1"/>
        <v>2.74767269634</v>
      </c>
      <c r="I15" s="51">
        <f t="shared" si="1"/>
        <v>0.4758657187284</v>
      </c>
      <c r="J15" s="51">
        <f t="shared" si="1"/>
        <v>0.4758657187284</v>
      </c>
      <c r="K15" s="51">
        <f t="shared" si="1"/>
        <v>4.824023357439</v>
      </c>
      <c r="L15" s="51">
        <f t="shared" si="1"/>
        <v>2.7872134954092</v>
      </c>
      <c r="M15" s="63">
        <f>SUM(F15:L15)</f>
        <v>74.8075634430953</v>
      </c>
      <c r="N15" s="61"/>
    </row>
    <row r="16" ht="30" customHeight="1" spans="1:14">
      <c r="A16" s="52" t="s">
        <v>56</v>
      </c>
      <c r="B16" s="52"/>
      <c r="C16" s="52"/>
      <c r="D16" s="53">
        <f>SUM(F9:H9)</f>
        <v>54.833271915708</v>
      </c>
      <c r="E16" s="39"/>
      <c r="F16" s="54" t="s">
        <v>57</v>
      </c>
      <c r="G16" s="54"/>
      <c r="H16" s="54"/>
      <c r="I16" s="54"/>
      <c r="J16" s="54"/>
      <c r="K16" s="54"/>
      <c r="L16" s="54"/>
      <c r="M16" s="54"/>
      <c r="N16" s="64"/>
    </row>
    <row r="17" ht="30" customHeight="1" spans="1:14">
      <c r="A17" s="52" t="s">
        <v>59</v>
      </c>
      <c r="B17" s="52"/>
      <c r="C17" s="52"/>
      <c r="D17" s="53">
        <f>SUM(I9:K9)</f>
        <v>5.7757547948958</v>
      </c>
      <c r="E17" s="39"/>
      <c r="F17" s="54" t="s">
        <v>57</v>
      </c>
      <c r="G17" s="54"/>
      <c r="H17" s="54"/>
      <c r="I17" s="54"/>
      <c r="J17" s="54"/>
      <c r="K17" s="54"/>
      <c r="L17" s="54"/>
      <c r="M17" s="54"/>
      <c r="N17" s="64"/>
    </row>
    <row r="18" ht="30" customHeight="1" spans="1:14">
      <c r="A18" s="52" t="s">
        <v>60</v>
      </c>
      <c r="B18" s="52"/>
      <c r="C18" s="52"/>
      <c r="D18" s="53">
        <f>SUM(L9)</f>
        <v>2.7872134954092</v>
      </c>
      <c r="E18" s="39"/>
      <c r="F18" s="54" t="s">
        <v>57</v>
      </c>
      <c r="G18" s="54"/>
      <c r="H18" s="54"/>
      <c r="I18" s="54"/>
      <c r="J18" s="54"/>
      <c r="K18" s="54"/>
      <c r="L18" s="54"/>
      <c r="M18" s="54"/>
      <c r="N18" s="64"/>
    </row>
    <row r="19" ht="30" customHeight="1" spans="1:14">
      <c r="A19" s="52" t="s">
        <v>61</v>
      </c>
      <c r="B19" s="52"/>
      <c r="C19" s="52"/>
      <c r="D19" s="53">
        <f>SUM(F9:L9)</f>
        <v>63.396240206013</v>
      </c>
      <c r="E19" s="39"/>
      <c r="F19" s="54" t="s">
        <v>62</v>
      </c>
      <c r="G19" s="54"/>
      <c r="H19" s="54"/>
      <c r="I19" s="54"/>
      <c r="J19" s="54"/>
      <c r="K19" s="54"/>
      <c r="L19" s="54"/>
      <c r="M19" s="54"/>
      <c r="N19" s="64"/>
    </row>
  </sheetData>
  <mergeCells count="25">
    <mergeCell ref="A1:N1"/>
    <mergeCell ref="F2:L2"/>
    <mergeCell ref="F3:H3"/>
    <mergeCell ref="I3:K3"/>
    <mergeCell ref="B9:C9"/>
    <mergeCell ref="A15:B15"/>
    <mergeCell ref="A16:B16"/>
    <mergeCell ref="F16:N16"/>
    <mergeCell ref="A17:B17"/>
    <mergeCell ref="F17:N17"/>
    <mergeCell ref="A18:B18"/>
    <mergeCell ref="F18:N18"/>
    <mergeCell ref="A19:B19"/>
    <mergeCell ref="F19:N19"/>
    <mergeCell ref="A2:A4"/>
    <mergeCell ref="A5:A8"/>
    <mergeCell ref="B2:B4"/>
    <mergeCell ref="B5:B6"/>
    <mergeCell ref="B7:B8"/>
    <mergeCell ref="C2:C4"/>
    <mergeCell ref="C5:C8"/>
    <mergeCell ref="D2:D4"/>
    <mergeCell ref="E2:E4"/>
    <mergeCell ref="M2:M4"/>
    <mergeCell ref="N2:N4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B17"/>
  <sheetViews>
    <sheetView zoomScale="80" zoomScaleNormal="80" workbookViewId="0">
      <selection activeCell="E6" sqref="E6"/>
    </sheetView>
  </sheetViews>
  <sheetFormatPr defaultColWidth="9" defaultRowHeight="13.5"/>
  <cols>
    <col min="1" max="1" width="5.38333333333333" customWidth="1"/>
    <col min="2" max="2" width="12.5" customWidth="1"/>
    <col min="3" max="3" width="15" customWidth="1"/>
    <col min="4" max="4" width="26.1333333333333" customWidth="1"/>
    <col min="5" max="5" width="10.8833333333333" style="10" customWidth="1"/>
    <col min="6" max="9" width="9" customWidth="1"/>
    <col min="10" max="11" width="10.1333333333333" customWidth="1"/>
    <col min="12" max="12" width="15.1416666666667" customWidth="1"/>
    <col min="13" max="13" width="9" customWidth="1"/>
    <col min="14" max="14" width="29.1333333333333" customWidth="1"/>
    <col min="15" max="15" width="12.6333333333333"/>
  </cols>
  <sheetData>
    <row r="1" ht="36.95" customHeight="1" spans="1:14">
      <c r="A1" s="11" t="s">
        <v>77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55"/>
    </row>
    <row r="2" ht="30" customHeight="1" spans="1:14">
      <c r="A2" s="13" t="s">
        <v>1</v>
      </c>
      <c r="B2" s="14" t="s">
        <v>2</v>
      </c>
      <c r="C2" s="14" t="s">
        <v>3</v>
      </c>
      <c r="D2" s="15" t="s">
        <v>4</v>
      </c>
      <c r="E2" s="16" t="s">
        <v>5</v>
      </c>
      <c r="F2" s="17" t="s">
        <v>78</v>
      </c>
      <c r="G2" s="18"/>
      <c r="H2" s="18"/>
      <c r="I2" s="56"/>
      <c r="J2" s="56"/>
      <c r="K2" s="56"/>
      <c r="L2" s="56"/>
      <c r="M2" s="25" t="s">
        <v>6</v>
      </c>
      <c r="N2" s="57" t="s">
        <v>7</v>
      </c>
    </row>
    <row r="3" ht="30" customHeight="1" spans="1:14">
      <c r="A3" s="19"/>
      <c r="B3" s="14"/>
      <c r="C3" s="14"/>
      <c r="D3" s="15"/>
      <c r="E3" s="20"/>
      <c r="F3" s="21" t="s">
        <v>8</v>
      </c>
      <c r="G3" s="22"/>
      <c r="H3" s="22"/>
      <c r="I3" s="58" t="s">
        <v>10</v>
      </c>
      <c r="J3" s="57"/>
      <c r="K3" s="57"/>
      <c r="L3" s="21" t="s">
        <v>11</v>
      </c>
      <c r="M3" s="57"/>
      <c r="N3" s="57"/>
    </row>
    <row r="4" ht="30" customHeight="1" spans="1:14">
      <c r="A4" s="19"/>
      <c r="B4" s="23"/>
      <c r="C4" s="23"/>
      <c r="D4" s="15"/>
      <c r="E4" s="24"/>
      <c r="F4" s="25" t="s">
        <v>12</v>
      </c>
      <c r="G4" s="26" t="s">
        <v>79</v>
      </c>
      <c r="H4" s="26"/>
      <c r="I4" s="57"/>
      <c r="J4" s="57"/>
      <c r="K4" s="57"/>
      <c r="L4" s="25"/>
      <c r="M4" s="57"/>
      <c r="N4" s="57"/>
    </row>
    <row r="5" ht="30" customHeight="1" spans="1:14">
      <c r="A5" s="27">
        <v>1</v>
      </c>
      <c r="B5" s="28" t="s">
        <v>22</v>
      </c>
      <c r="C5" s="29" t="s">
        <v>80</v>
      </c>
      <c r="D5" s="29" t="s">
        <v>68</v>
      </c>
      <c r="E5" s="29">
        <v>29240.52</v>
      </c>
      <c r="F5" s="65"/>
      <c r="G5" s="31">
        <f>(1990.64+8438.04+2308.5+1788+6375+2400)/100*5*0.91*0.2*0.88*0.8+(1909.14+1709.52+745.04+1024.16+519.2+33.28)/100*15*0.855*0.2*0.88*0.8</f>
        <v>256.538556736</v>
      </c>
      <c r="H5" s="29"/>
      <c r="I5" s="29"/>
      <c r="J5" s="29"/>
      <c r="K5" s="29"/>
      <c r="L5" s="29"/>
      <c r="M5" s="29"/>
      <c r="N5" s="29"/>
    </row>
    <row r="6" ht="30" customHeight="1" spans="1:14">
      <c r="A6" s="66"/>
      <c r="B6" s="67"/>
      <c r="C6" s="29"/>
      <c r="D6" s="29" t="s">
        <v>28</v>
      </c>
      <c r="E6" s="29">
        <v>29240.52</v>
      </c>
      <c r="F6" s="65">
        <f>((1990.64+8438.04+2308.5+1788+6375+2400)/100*5*0.145*0.1*0.87*0.8+(1909.14+1709.52+745.04+1024.16+519.2+33.28)/100*15*0.145*0.1*0.87*0.8)*0.4</f>
        <v>8.299903008</v>
      </c>
      <c r="G6" s="65">
        <f>((1990.64+8438.04+2308.5+1788+6375+2400)/100*5*0.145*0.1*0.87*0.8+(1909.14+1709.52+745.04+1024.16+519.2+33.28)/100*15*0.145*0.1*0.87*0.8)*0.6</f>
        <v>12.449854512</v>
      </c>
      <c r="H6" s="29"/>
      <c r="I6" s="29"/>
      <c r="J6" s="29"/>
      <c r="K6" s="29"/>
      <c r="L6" s="29"/>
      <c r="M6" s="29"/>
      <c r="N6" s="29"/>
    </row>
    <row r="7" ht="30" customHeight="1" spans="1:28">
      <c r="A7" s="32"/>
      <c r="B7" s="33" t="s">
        <v>29</v>
      </c>
      <c r="C7" s="33"/>
      <c r="D7" s="29"/>
      <c r="E7" s="34"/>
      <c r="F7" s="35">
        <f>SUM(F6:F6)</f>
        <v>8.299903008</v>
      </c>
      <c r="G7" s="35">
        <f>SUM(G5:G6)</f>
        <v>268.988411248</v>
      </c>
      <c r="H7" s="35"/>
      <c r="I7" s="35"/>
      <c r="J7" s="35"/>
      <c r="K7" s="35"/>
      <c r="L7" s="35"/>
      <c r="M7" s="57"/>
      <c r="N7" s="59"/>
      <c r="O7" s="60" t="s">
        <v>81</v>
      </c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</row>
    <row r="8" ht="30" customHeight="1" spans="1:18">
      <c r="A8" s="36">
        <v>1</v>
      </c>
      <c r="B8" s="37"/>
      <c r="C8" s="29"/>
      <c r="D8" s="38" t="s">
        <v>50</v>
      </c>
      <c r="E8" s="39"/>
      <c r="F8" s="40"/>
      <c r="G8" s="41"/>
      <c r="H8" s="40"/>
      <c r="I8" s="41"/>
      <c r="J8" s="43"/>
      <c r="K8" s="43"/>
      <c r="L8" s="43"/>
      <c r="M8" s="41"/>
      <c r="N8" s="61"/>
      <c r="O8" s="60" t="s">
        <v>82</v>
      </c>
      <c r="P8" s="60"/>
      <c r="Q8" s="60"/>
      <c r="R8" s="60"/>
    </row>
    <row r="9" ht="30" customHeight="1" spans="1:14">
      <c r="A9" s="36">
        <v>2</v>
      </c>
      <c r="B9" s="37"/>
      <c r="C9" s="29"/>
      <c r="D9" s="38" t="s">
        <v>51</v>
      </c>
      <c r="E9" s="39"/>
      <c r="F9" s="42"/>
      <c r="G9" s="43"/>
      <c r="H9" s="43"/>
      <c r="I9" s="59"/>
      <c r="J9" s="59"/>
      <c r="K9" s="59"/>
      <c r="L9" s="59"/>
      <c r="M9" s="41"/>
      <c r="N9" s="61"/>
    </row>
    <row r="10" ht="30" customHeight="1" spans="1:14">
      <c r="A10" s="36">
        <v>3</v>
      </c>
      <c r="B10" s="37"/>
      <c r="C10" s="29"/>
      <c r="D10" s="38" t="s">
        <v>52</v>
      </c>
      <c r="E10" s="39"/>
      <c r="F10" s="42"/>
      <c r="G10" s="43"/>
      <c r="H10" s="43"/>
      <c r="I10" s="41"/>
      <c r="J10" s="41"/>
      <c r="K10" s="41"/>
      <c r="L10" s="59"/>
      <c r="M10" s="41"/>
      <c r="N10" s="61"/>
    </row>
    <row r="11" ht="30" customHeight="1" spans="1:14">
      <c r="A11" s="36">
        <v>4</v>
      </c>
      <c r="B11" s="37"/>
      <c r="C11" s="29"/>
      <c r="D11" s="38" t="s">
        <v>53</v>
      </c>
      <c r="E11" s="39"/>
      <c r="F11" s="42"/>
      <c r="G11" s="43"/>
      <c r="H11" s="43"/>
      <c r="I11" s="41"/>
      <c r="J11" s="59"/>
      <c r="K11" s="59"/>
      <c r="L11" s="41"/>
      <c r="M11" s="41"/>
      <c r="N11" s="61"/>
    </row>
    <row r="12" ht="30" customHeight="1" spans="1:14">
      <c r="A12" s="36">
        <v>5</v>
      </c>
      <c r="B12" s="44"/>
      <c r="C12" s="29"/>
      <c r="D12" s="38" t="s">
        <v>54</v>
      </c>
      <c r="E12" s="39"/>
      <c r="F12" s="45">
        <f>SUM(F7:L7)*0.12</f>
        <v>33.27459771072</v>
      </c>
      <c r="G12" s="45"/>
      <c r="H12" s="45"/>
      <c r="I12" s="45"/>
      <c r="J12" s="45"/>
      <c r="K12" s="45"/>
      <c r="L12" s="62"/>
      <c r="M12" s="41"/>
      <c r="N12" s="61"/>
    </row>
    <row r="13" ht="30" customHeight="1" spans="1:14">
      <c r="A13" s="46" t="s">
        <v>55</v>
      </c>
      <c r="B13" s="47"/>
      <c r="C13" s="48"/>
      <c r="D13" s="49"/>
      <c r="E13" s="50"/>
      <c r="F13" s="51">
        <f>SUM(F7:F12)</f>
        <v>41.57450071872</v>
      </c>
      <c r="G13" s="51">
        <f>SUM(G7:G12)</f>
        <v>268.988411248</v>
      </c>
      <c r="H13" s="51"/>
      <c r="I13" s="51"/>
      <c r="J13" s="51"/>
      <c r="K13" s="51"/>
      <c r="L13" s="51"/>
      <c r="M13" s="63">
        <f>SUM(F13:L13)</f>
        <v>310.56291196672</v>
      </c>
      <c r="N13" s="61"/>
    </row>
    <row r="14" ht="30" customHeight="1" spans="1:14">
      <c r="A14" s="52" t="s">
        <v>56</v>
      </c>
      <c r="B14" s="52"/>
      <c r="C14" s="52"/>
      <c r="D14" s="53">
        <f>SUM(F7:H7)</f>
        <v>277.288314256</v>
      </c>
      <c r="E14" s="39"/>
      <c r="F14" s="54" t="s">
        <v>57</v>
      </c>
      <c r="G14" s="54"/>
      <c r="H14" s="54"/>
      <c r="I14" s="54"/>
      <c r="J14" s="54"/>
      <c r="K14" s="54"/>
      <c r="L14" s="54"/>
      <c r="M14" s="54"/>
      <c r="N14" s="64"/>
    </row>
    <row r="15" ht="30" customHeight="1" spans="1:14">
      <c r="A15" s="52" t="s">
        <v>59</v>
      </c>
      <c r="B15" s="52"/>
      <c r="C15" s="52"/>
      <c r="D15" s="53">
        <f>SUM(I7:K7)</f>
        <v>0</v>
      </c>
      <c r="E15" s="39"/>
      <c r="F15" s="54" t="s">
        <v>57</v>
      </c>
      <c r="G15" s="54"/>
      <c r="H15" s="54"/>
      <c r="I15" s="54"/>
      <c r="J15" s="54"/>
      <c r="K15" s="54"/>
      <c r="L15" s="54"/>
      <c r="M15" s="54"/>
      <c r="N15" s="64"/>
    </row>
    <row r="16" ht="30" customHeight="1" spans="1:14">
      <c r="A16" s="52" t="s">
        <v>60</v>
      </c>
      <c r="B16" s="52"/>
      <c r="C16" s="52"/>
      <c r="D16" s="53">
        <f>SUM(L7)</f>
        <v>0</v>
      </c>
      <c r="E16" s="39"/>
      <c r="F16" s="54" t="s">
        <v>57</v>
      </c>
      <c r="G16" s="54"/>
      <c r="H16" s="54"/>
      <c r="I16" s="54"/>
      <c r="J16" s="54"/>
      <c r="K16" s="54"/>
      <c r="L16" s="54"/>
      <c r="M16" s="54"/>
      <c r="N16" s="64"/>
    </row>
    <row r="17" ht="30" customHeight="1" spans="1:14">
      <c r="A17" s="52" t="s">
        <v>61</v>
      </c>
      <c r="B17" s="52"/>
      <c r="C17" s="52"/>
      <c r="D17" s="53">
        <f>SUM(F7:L7)</f>
        <v>277.288314256</v>
      </c>
      <c r="E17" s="39"/>
      <c r="F17" s="54" t="s">
        <v>62</v>
      </c>
      <c r="G17" s="54"/>
      <c r="H17" s="54"/>
      <c r="I17" s="54"/>
      <c r="J17" s="54"/>
      <c r="K17" s="54"/>
      <c r="L17" s="54"/>
      <c r="M17" s="54"/>
      <c r="N17" s="64"/>
    </row>
  </sheetData>
  <mergeCells count="26">
    <mergeCell ref="A1:N1"/>
    <mergeCell ref="F2:L2"/>
    <mergeCell ref="F3:H3"/>
    <mergeCell ref="I3:K3"/>
    <mergeCell ref="B7:C7"/>
    <mergeCell ref="O7:AB7"/>
    <mergeCell ref="O8:R8"/>
    <mergeCell ref="A13:B13"/>
    <mergeCell ref="A14:B14"/>
    <mergeCell ref="F14:N14"/>
    <mergeCell ref="A15:B15"/>
    <mergeCell ref="F15:N15"/>
    <mergeCell ref="A16:B16"/>
    <mergeCell ref="F16:N16"/>
    <mergeCell ref="A17:B17"/>
    <mergeCell ref="F17:N17"/>
    <mergeCell ref="A2:A4"/>
    <mergeCell ref="A5:A6"/>
    <mergeCell ref="B2:B4"/>
    <mergeCell ref="B5:B6"/>
    <mergeCell ref="C2:C4"/>
    <mergeCell ref="C5:C6"/>
    <mergeCell ref="D2:D4"/>
    <mergeCell ref="E2:E4"/>
    <mergeCell ref="M2:M4"/>
    <mergeCell ref="N2:N4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A17"/>
  <sheetViews>
    <sheetView zoomScale="80" zoomScaleNormal="80" workbookViewId="0">
      <selection activeCell="F6" sqref="F6"/>
    </sheetView>
  </sheetViews>
  <sheetFormatPr defaultColWidth="9" defaultRowHeight="13.5"/>
  <cols>
    <col min="1" max="1" width="5.38333333333333" customWidth="1"/>
    <col min="2" max="2" width="12.5" customWidth="1"/>
    <col min="3" max="3" width="15" customWidth="1"/>
    <col min="4" max="4" width="26.1333333333333" customWidth="1"/>
    <col min="5" max="5" width="10.8833333333333" style="10" customWidth="1"/>
    <col min="6" max="8" width="9" customWidth="1"/>
    <col min="9" max="10" width="10.1333333333333" customWidth="1"/>
    <col min="11" max="11" width="15.1416666666667" customWidth="1"/>
    <col min="12" max="12" width="9" customWidth="1"/>
    <col min="13" max="13" width="29.1333333333333" customWidth="1"/>
    <col min="14" max="14" width="12.6333333333333"/>
  </cols>
  <sheetData>
    <row r="1" ht="36.95" customHeight="1" spans="1:13">
      <c r="A1" s="11" t="s">
        <v>83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55"/>
    </row>
    <row r="2" ht="30" customHeight="1" spans="1:13">
      <c r="A2" s="13" t="s">
        <v>1</v>
      </c>
      <c r="B2" s="14" t="s">
        <v>2</v>
      </c>
      <c r="C2" s="14" t="s">
        <v>3</v>
      </c>
      <c r="D2" s="15" t="s">
        <v>4</v>
      </c>
      <c r="E2" s="16" t="s">
        <v>5</v>
      </c>
      <c r="F2" s="17" t="s">
        <v>78</v>
      </c>
      <c r="G2" s="18"/>
      <c r="H2" s="56"/>
      <c r="I2" s="56"/>
      <c r="J2" s="56"/>
      <c r="K2" s="56"/>
      <c r="L2" s="25" t="s">
        <v>6</v>
      </c>
      <c r="M2" s="57" t="s">
        <v>7</v>
      </c>
    </row>
    <row r="3" ht="30" customHeight="1" spans="1:13">
      <c r="A3" s="19"/>
      <c r="B3" s="14"/>
      <c r="C3" s="14"/>
      <c r="D3" s="15"/>
      <c r="E3" s="20"/>
      <c r="F3" s="21" t="s">
        <v>8</v>
      </c>
      <c r="G3" s="22"/>
      <c r="H3" s="58" t="s">
        <v>10</v>
      </c>
      <c r="I3" s="57"/>
      <c r="J3" s="57"/>
      <c r="K3" s="21" t="s">
        <v>11</v>
      </c>
      <c r="L3" s="57"/>
      <c r="M3" s="57"/>
    </row>
    <row r="4" ht="30" customHeight="1" spans="1:13">
      <c r="A4" s="19"/>
      <c r="B4" s="23"/>
      <c r="C4" s="23"/>
      <c r="D4" s="15"/>
      <c r="E4" s="24"/>
      <c r="F4" s="25" t="s">
        <v>12</v>
      </c>
      <c r="G4" s="26"/>
      <c r="H4" s="57"/>
      <c r="I4" s="57"/>
      <c r="J4" s="57"/>
      <c r="K4" s="25"/>
      <c r="L4" s="57"/>
      <c r="M4" s="57"/>
    </row>
    <row r="5" ht="30" customHeight="1" spans="1:13">
      <c r="A5" s="27">
        <v>1</v>
      </c>
      <c r="B5" s="28" t="s">
        <v>22</v>
      </c>
      <c r="C5" s="29" t="s">
        <v>84</v>
      </c>
      <c r="D5" s="29" t="s">
        <v>85</v>
      </c>
      <c r="E5" s="29">
        <v>500</v>
      </c>
      <c r="F5" s="65">
        <f>500/100*15*0.855*0.2*0.88*1.2</f>
        <v>13.5432</v>
      </c>
      <c r="G5" s="29"/>
      <c r="H5" s="29"/>
      <c r="I5" s="29"/>
      <c r="J5" s="29"/>
      <c r="K5" s="29"/>
      <c r="L5" s="29"/>
      <c r="M5" s="29"/>
    </row>
    <row r="6" ht="30" customHeight="1" spans="1:27">
      <c r="A6" s="32"/>
      <c r="B6" s="33" t="s">
        <v>29</v>
      </c>
      <c r="C6" s="33"/>
      <c r="D6" s="29" t="s">
        <v>86</v>
      </c>
      <c r="E6" s="34">
        <v>15059.24</v>
      </c>
      <c r="F6" s="35">
        <f>15059.24/100*15*0.855*0.2*0.88*0.2</f>
        <v>67.983433056</v>
      </c>
      <c r="G6" s="35"/>
      <c r="H6" s="35"/>
      <c r="I6" s="35"/>
      <c r="J6" s="35"/>
      <c r="K6" s="35"/>
      <c r="L6" s="57"/>
      <c r="M6" s="5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ht="30" customHeight="1" spans="1:17">
      <c r="A7" s="36"/>
      <c r="B7" s="37"/>
      <c r="C7" s="29"/>
      <c r="D7" s="38" t="s">
        <v>87</v>
      </c>
      <c r="E7" s="39">
        <v>226</v>
      </c>
      <c r="F7" s="35">
        <f>226/100*15*0.855*0.2*0.88*1.2</f>
        <v>6.1215264</v>
      </c>
      <c r="G7" s="40"/>
      <c r="H7" s="41"/>
      <c r="I7" s="43"/>
      <c r="J7" s="43"/>
      <c r="K7" s="43"/>
      <c r="L7" s="41"/>
      <c r="M7" s="61"/>
      <c r="N7" s="60"/>
      <c r="O7" s="60"/>
      <c r="P7" s="60"/>
      <c r="Q7" s="60"/>
    </row>
    <row r="8" ht="30" customHeight="1" spans="1:17">
      <c r="A8" s="36">
        <v>1</v>
      </c>
      <c r="B8" s="37"/>
      <c r="C8" s="29"/>
      <c r="D8" s="38" t="s">
        <v>50</v>
      </c>
      <c r="E8" s="39"/>
      <c r="F8" s="40"/>
      <c r="G8" s="40"/>
      <c r="H8" s="41"/>
      <c r="I8" s="43"/>
      <c r="J8" s="43"/>
      <c r="K8" s="43"/>
      <c r="L8" s="41"/>
      <c r="M8" s="61"/>
      <c r="N8" s="60"/>
      <c r="O8" s="60"/>
      <c r="P8" s="60"/>
      <c r="Q8" s="60"/>
    </row>
    <row r="9" ht="30" customHeight="1" spans="1:13">
      <c r="A9" s="36">
        <v>2</v>
      </c>
      <c r="B9" s="37"/>
      <c r="C9" s="29"/>
      <c r="D9" s="38" t="s">
        <v>51</v>
      </c>
      <c r="E9" s="39"/>
      <c r="F9" s="42"/>
      <c r="G9" s="43"/>
      <c r="H9" s="59"/>
      <c r="I9" s="59"/>
      <c r="J9" s="59"/>
      <c r="K9" s="59"/>
      <c r="L9" s="41"/>
      <c r="M9" s="61"/>
    </row>
    <row r="10" ht="30" customHeight="1" spans="1:13">
      <c r="A10" s="36">
        <v>3</v>
      </c>
      <c r="B10" s="37"/>
      <c r="C10" s="29"/>
      <c r="D10" s="38" t="s">
        <v>52</v>
      </c>
      <c r="E10" s="39"/>
      <c r="F10" s="42"/>
      <c r="G10" s="43"/>
      <c r="H10" s="41"/>
      <c r="I10" s="41"/>
      <c r="J10" s="41"/>
      <c r="K10" s="59"/>
      <c r="L10" s="41"/>
      <c r="M10" s="61"/>
    </row>
    <row r="11" ht="30" customHeight="1" spans="1:13">
      <c r="A11" s="36">
        <v>4</v>
      </c>
      <c r="B11" s="37"/>
      <c r="C11" s="29"/>
      <c r="D11" s="38" t="s">
        <v>53</v>
      </c>
      <c r="E11" s="39"/>
      <c r="F11" s="42"/>
      <c r="G11" s="43"/>
      <c r="H11" s="41"/>
      <c r="I11" s="59"/>
      <c r="J11" s="59"/>
      <c r="K11" s="41"/>
      <c r="L11" s="41"/>
      <c r="M11" s="61"/>
    </row>
    <row r="12" ht="30" customHeight="1" spans="1:13">
      <c r="A12" s="36">
        <v>5</v>
      </c>
      <c r="B12" s="44"/>
      <c r="C12" s="29"/>
      <c r="D12" s="38" t="s">
        <v>54</v>
      </c>
      <c r="E12" s="39"/>
      <c r="F12" s="45"/>
      <c r="G12" s="45"/>
      <c r="H12" s="45"/>
      <c r="I12" s="45"/>
      <c r="J12" s="45"/>
      <c r="K12" s="62"/>
      <c r="L12" s="41"/>
      <c r="M12" s="61"/>
    </row>
    <row r="13" ht="30" customHeight="1" spans="1:13">
      <c r="A13" s="46" t="s">
        <v>55</v>
      </c>
      <c r="B13" s="47"/>
      <c r="C13" s="48"/>
      <c r="D13" s="49"/>
      <c r="E13" s="50"/>
      <c r="F13" s="51">
        <f>SUM(F5:F12)</f>
        <v>87.648159456</v>
      </c>
      <c r="G13" s="51"/>
      <c r="H13" s="51"/>
      <c r="I13" s="51"/>
      <c r="J13" s="51"/>
      <c r="K13" s="51"/>
      <c r="L13" s="63">
        <f>SUM(F13:K13)</f>
        <v>87.648159456</v>
      </c>
      <c r="M13" s="61"/>
    </row>
    <row r="14" ht="30" customHeight="1" spans="1:13">
      <c r="A14" s="52" t="s">
        <v>56</v>
      </c>
      <c r="B14" s="52"/>
      <c r="C14" s="52"/>
      <c r="D14" s="53">
        <f>SUM(F6:G6)</f>
        <v>67.983433056</v>
      </c>
      <c r="E14" s="39"/>
      <c r="F14" s="54" t="s">
        <v>57</v>
      </c>
      <c r="G14" s="54"/>
      <c r="H14" s="54"/>
      <c r="I14" s="54"/>
      <c r="J14" s="54"/>
      <c r="K14" s="54"/>
      <c r="L14" s="54"/>
      <c r="M14" s="64"/>
    </row>
    <row r="15" ht="30" customHeight="1" spans="1:13">
      <c r="A15" s="52" t="s">
        <v>59</v>
      </c>
      <c r="B15" s="52"/>
      <c r="C15" s="52"/>
      <c r="D15" s="53">
        <f>SUM(H6:J6)</f>
        <v>0</v>
      </c>
      <c r="E15" s="39"/>
      <c r="F15" s="54" t="s">
        <v>57</v>
      </c>
      <c r="G15" s="54"/>
      <c r="H15" s="54"/>
      <c r="I15" s="54"/>
      <c r="J15" s="54"/>
      <c r="K15" s="54"/>
      <c r="L15" s="54"/>
      <c r="M15" s="64"/>
    </row>
    <row r="16" ht="30" customHeight="1" spans="1:13">
      <c r="A16" s="52" t="s">
        <v>60</v>
      </c>
      <c r="B16" s="52"/>
      <c r="C16" s="52"/>
      <c r="D16" s="53">
        <f>SUM(K6)</f>
        <v>0</v>
      </c>
      <c r="E16" s="39"/>
      <c r="F16" s="54" t="s">
        <v>57</v>
      </c>
      <c r="G16" s="54"/>
      <c r="H16" s="54"/>
      <c r="I16" s="54"/>
      <c r="J16" s="54"/>
      <c r="K16" s="54"/>
      <c r="L16" s="54"/>
      <c r="M16" s="64"/>
    </row>
    <row r="17" ht="30" customHeight="1" spans="1:13">
      <c r="A17" s="52" t="s">
        <v>61</v>
      </c>
      <c r="B17" s="52"/>
      <c r="C17" s="52"/>
      <c r="D17" s="53">
        <f>SUM(F6:K6)</f>
        <v>67.983433056</v>
      </c>
      <c r="E17" s="39"/>
      <c r="F17" s="54" t="s">
        <v>62</v>
      </c>
      <c r="G17" s="54"/>
      <c r="H17" s="54"/>
      <c r="I17" s="54"/>
      <c r="J17" s="54"/>
      <c r="K17" s="54"/>
      <c r="L17" s="54"/>
      <c r="M17" s="64"/>
    </row>
  </sheetData>
  <mergeCells count="23">
    <mergeCell ref="A1:M1"/>
    <mergeCell ref="F2:K2"/>
    <mergeCell ref="F3:G3"/>
    <mergeCell ref="H3:J3"/>
    <mergeCell ref="B6:C6"/>
    <mergeCell ref="N6:AA6"/>
    <mergeCell ref="N8:Q8"/>
    <mergeCell ref="A13:B13"/>
    <mergeCell ref="A14:B14"/>
    <mergeCell ref="F14:M14"/>
    <mergeCell ref="A15:B15"/>
    <mergeCell ref="F15:M15"/>
    <mergeCell ref="A16:B16"/>
    <mergeCell ref="F16:M16"/>
    <mergeCell ref="A17:B17"/>
    <mergeCell ref="F17:M17"/>
    <mergeCell ref="A2:A4"/>
    <mergeCell ref="B2:B4"/>
    <mergeCell ref="C2:C4"/>
    <mergeCell ref="D2:D4"/>
    <mergeCell ref="E2:E4"/>
    <mergeCell ref="L2:L4"/>
    <mergeCell ref="M2:M4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B16"/>
  <sheetViews>
    <sheetView zoomScale="80" zoomScaleNormal="80" workbookViewId="0">
      <selection activeCell="F14" sqref="F14:N14"/>
    </sheetView>
  </sheetViews>
  <sheetFormatPr defaultColWidth="9" defaultRowHeight="13.5"/>
  <cols>
    <col min="1" max="1" width="5.38333333333333" customWidth="1"/>
    <col min="2" max="2" width="12.5" customWidth="1"/>
    <col min="3" max="3" width="15" customWidth="1"/>
    <col min="4" max="4" width="26.1333333333333" customWidth="1"/>
    <col min="5" max="5" width="10.8833333333333" style="10" customWidth="1"/>
    <col min="6" max="9" width="9" customWidth="1"/>
    <col min="10" max="11" width="10.1333333333333" customWidth="1"/>
    <col min="12" max="12" width="15.1416666666667" customWidth="1"/>
    <col min="13" max="13" width="9" customWidth="1"/>
    <col min="14" max="14" width="29.1333333333333" customWidth="1"/>
    <col min="15" max="15" width="12.6333333333333"/>
  </cols>
  <sheetData>
    <row r="1" ht="36.95" customHeight="1" spans="1:14">
      <c r="A1" s="11" t="s">
        <v>88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55"/>
    </row>
    <row r="2" ht="30" customHeight="1" spans="1:14">
      <c r="A2" s="13" t="s">
        <v>1</v>
      </c>
      <c r="B2" s="14" t="s">
        <v>2</v>
      </c>
      <c r="C2" s="14" t="s">
        <v>3</v>
      </c>
      <c r="D2" s="15" t="s">
        <v>4</v>
      </c>
      <c r="E2" s="16" t="s">
        <v>5</v>
      </c>
      <c r="F2" s="17" t="s">
        <v>78</v>
      </c>
      <c r="G2" s="18"/>
      <c r="H2" s="18"/>
      <c r="I2" s="56"/>
      <c r="J2" s="56"/>
      <c r="K2" s="56"/>
      <c r="L2" s="56"/>
      <c r="M2" s="25" t="s">
        <v>6</v>
      </c>
      <c r="N2" s="57" t="s">
        <v>7</v>
      </c>
    </row>
    <row r="3" ht="30" customHeight="1" spans="1:14">
      <c r="A3" s="19"/>
      <c r="B3" s="14"/>
      <c r="C3" s="14"/>
      <c r="D3" s="15"/>
      <c r="E3" s="20"/>
      <c r="F3" s="21" t="s">
        <v>8</v>
      </c>
      <c r="G3" s="22"/>
      <c r="H3" s="22"/>
      <c r="I3" s="58" t="s">
        <v>9</v>
      </c>
      <c r="J3" s="57"/>
      <c r="K3" s="57"/>
      <c r="L3" s="21" t="s">
        <v>11</v>
      </c>
      <c r="M3" s="57"/>
      <c r="N3" s="57"/>
    </row>
    <row r="4" ht="30" customHeight="1" spans="1:14">
      <c r="A4" s="19"/>
      <c r="B4" s="23"/>
      <c r="C4" s="23"/>
      <c r="D4" s="15"/>
      <c r="E4" s="24"/>
      <c r="F4" s="25" t="s">
        <v>12</v>
      </c>
      <c r="G4" s="26"/>
      <c r="H4" s="26"/>
      <c r="I4" s="57" t="s">
        <v>15</v>
      </c>
      <c r="J4" s="57"/>
      <c r="K4" s="57"/>
      <c r="L4" s="25"/>
      <c r="M4" s="57"/>
      <c r="N4" s="57"/>
    </row>
    <row r="5" ht="30" customHeight="1" spans="1:14">
      <c r="A5" s="27">
        <v>1</v>
      </c>
      <c r="B5" s="28" t="s">
        <v>27</v>
      </c>
      <c r="C5" s="29" t="s">
        <v>89</v>
      </c>
      <c r="D5" s="29" t="s">
        <v>68</v>
      </c>
      <c r="E5" s="29">
        <v>4980</v>
      </c>
      <c r="F5" s="30">
        <f>4980/100*15*0.855*0.6*0.334*1.2*0.3</f>
        <v>46.07729064</v>
      </c>
      <c r="G5" s="31"/>
      <c r="H5" s="29"/>
      <c r="I5" s="30">
        <f>4980/100*15*0.855*0.6*0.388*1.2*0.3</f>
        <v>53.52691248</v>
      </c>
      <c r="J5" s="29"/>
      <c r="K5" s="29"/>
      <c r="L5" s="29"/>
      <c r="M5" s="29"/>
      <c r="N5" s="29"/>
    </row>
    <row r="6" ht="30" customHeight="1" spans="1:28">
      <c r="A6" s="32"/>
      <c r="B6" s="33" t="s">
        <v>29</v>
      </c>
      <c r="C6" s="33"/>
      <c r="D6" s="29"/>
      <c r="E6" s="34"/>
      <c r="F6" s="35"/>
      <c r="G6" s="35"/>
      <c r="H6" s="35"/>
      <c r="I6" s="35"/>
      <c r="J6" s="35"/>
      <c r="K6" s="35"/>
      <c r="L6" s="35"/>
      <c r="M6" s="57"/>
      <c r="N6" s="59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</row>
    <row r="7" ht="30" customHeight="1" spans="1:18">
      <c r="A7" s="36">
        <v>1</v>
      </c>
      <c r="B7" s="37"/>
      <c r="C7" s="29"/>
      <c r="D7" s="38" t="s">
        <v>50</v>
      </c>
      <c r="E7" s="39"/>
      <c r="F7" s="40"/>
      <c r="G7" s="41"/>
      <c r="H7" s="40"/>
      <c r="I7" s="41"/>
      <c r="J7" s="43"/>
      <c r="K7" s="43"/>
      <c r="L7" s="43"/>
      <c r="M7" s="41"/>
      <c r="N7" s="61"/>
      <c r="O7" s="60"/>
      <c r="P7" s="60"/>
      <c r="Q7" s="60"/>
      <c r="R7" s="60"/>
    </row>
    <row r="8" ht="30" customHeight="1" spans="1:14">
      <c r="A8" s="36">
        <v>2</v>
      </c>
      <c r="B8" s="37"/>
      <c r="C8" s="29"/>
      <c r="D8" s="38" t="s">
        <v>51</v>
      </c>
      <c r="E8" s="39"/>
      <c r="F8" s="42"/>
      <c r="G8" s="43"/>
      <c r="H8" s="43"/>
      <c r="I8" s="59"/>
      <c r="J8" s="59"/>
      <c r="K8" s="59"/>
      <c r="L8" s="59"/>
      <c r="M8" s="41"/>
      <c r="N8" s="61"/>
    </row>
    <row r="9" ht="30" customHeight="1" spans="1:14">
      <c r="A9" s="36">
        <v>3</v>
      </c>
      <c r="B9" s="37"/>
      <c r="C9" s="29"/>
      <c r="D9" s="38" t="s">
        <v>52</v>
      </c>
      <c r="E9" s="39"/>
      <c r="F9" s="42"/>
      <c r="G9" s="43"/>
      <c r="H9" s="43"/>
      <c r="I9" s="41"/>
      <c r="J9" s="41"/>
      <c r="K9" s="41"/>
      <c r="L9" s="59"/>
      <c r="M9" s="41"/>
      <c r="N9" s="61"/>
    </row>
    <row r="10" ht="30" customHeight="1" spans="1:14">
      <c r="A10" s="36">
        <v>4</v>
      </c>
      <c r="B10" s="37"/>
      <c r="C10" s="29"/>
      <c r="D10" s="38" t="s">
        <v>53</v>
      </c>
      <c r="E10" s="39"/>
      <c r="F10" s="42"/>
      <c r="G10" s="43"/>
      <c r="H10" s="43"/>
      <c r="I10" s="41"/>
      <c r="J10" s="59"/>
      <c r="K10" s="59"/>
      <c r="L10" s="41"/>
      <c r="M10" s="41"/>
      <c r="N10" s="61"/>
    </row>
    <row r="11" ht="30" customHeight="1" spans="1:14">
      <c r="A11" s="36">
        <v>5</v>
      </c>
      <c r="B11" s="44"/>
      <c r="C11" s="29"/>
      <c r="D11" s="38" t="s">
        <v>54</v>
      </c>
      <c r="E11" s="39"/>
      <c r="F11" s="45">
        <v>8.45</v>
      </c>
      <c r="G11" s="45"/>
      <c r="H11" s="45"/>
      <c r="I11" s="45">
        <f>(SUM(F5,I5)*0.15)/2</f>
        <v>7.470315234</v>
      </c>
      <c r="J11" s="45"/>
      <c r="K11" s="45"/>
      <c r="L11" s="62"/>
      <c r="M11" s="41"/>
      <c r="N11" s="61"/>
    </row>
    <row r="12" ht="30" customHeight="1" spans="1:14">
      <c r="A12" s="46" t="s">
        <v>55</v>
      </c>
      <c r="B12" s="47"/>
      <c r="C12" s="48"/>
      <c r="D12" s="49"/>
      <c r="E12" s="50"/>
      <c r="F12" s="51">
        <f>SUM(F5:F11)</f>
        <v>54.52729064</v>
      </c>
      <c r="G12" s="51"/>
      <c r="H12" s="51"/>
      <c r="I12" s="51">
        <f>SUM(I5:I11)</f>
        <v>60.997227714</v>
      </c>
      <c r="J12" s="51"/>
      <c r="K12" s="51"/>
      <c r="L12" s="51"/>
      <c r="M12" s="63">
        <f>SUM(F12:L12)</f>
        <v>115.524518354</v>
      </c>
      <c r="N12" s="61"/>
    </row>
    <row r="13" ht="30" customHeight="1" spans="1:14">
      <c r="A13" s="52" t="s">
        <v>56</v>
      </c>
      <c r="B13" s="52"/>
      <c r="C13" s="52"/>
      <c r="D13" s="53">
        <f>SUM(F6:H6)</f>
        <v>0</v>
      </c>
      <c r="E13" s="39"/>
      <c r="F13" s="54" t="s">
        <v>57</v>
      </c>
      <c r="G13" s="54"/>
      <c r="H13" s="54"/>
      <c r="I13" s="54"/>
      <c r="J13" s="54"/>
      <c r="K13" s="54"/>
      <c r="L13" s="54"/>
      <c r="M13" s="54"/>
      <c r="N13" s="64"/>
    </row>
    <row r="14" ht="30" customHeight="1" spans="1:14">
      <c r="A14" s="52" t="s">
        <v>59</v>
      </c>
      <c r="B14" s="52"/>
      <c r="C14" s="52"/>
      <c r="D14" s="53">
        <f>SUM(I6:K6)</f>
        <v>0</v>
      </c>
      <c r="E14" s="39"/>
      <c r="F14" s="54" t="s">
        <v>57</v>
      </c>
      <c r="G14" s="54"/>
      <c r="H14" s="54"/>
      <c r="I14" s="54"/>
      <c r="J14" s="54"/>
      <c r="K14" s="54"/>
      <c r="L14" s="54"/>
      <c r="M14" s="54"/>
      <c r="N14" s="64"/>
    </row>
    <row r="15" ht="30" customHeight="1" spans="1:14">
      <c r="A15" s="52" t="s">
        <v>60</v>
      </c>
      <c r="B15" s="52"/>
      <c r="C15" s="52"/>
      <c r="D15" s="53">
        <f>SUM(L6)</f>
        <v>0</v>
      </c>
      <c r="E15" s="39"/>
      <c r="F15" s="54" t="s">
        <v>57</v>
      </c>
      <c r="G15" s="54"/>
      <c r="H15" s="54"/>
      <c r="I15" s="54"/>
      <c r="J15" s="54"/>
      <c r="K15" s="54"/>
      <c r="L15" s="54"/>
      <c r="M15" s="54"/>
      <c r="N15" s="64"/>
    </row>
    <row r="16" ht="30" customHeight="1" spans="1:14">
      <c r="A16" s="52" t="s">
        <v>61</v>
      </c>
      <c r="B16" s="52"/>
      <c r="C16" s="52"/>
      <c r="D16" s="53">
        <f>SUM(F6:L6)</f>
        <v>0</v>
      </c>
      <c r="E16" s="39"/>
      <c r="F16" s="54" t="s">
        <v>62</v>
      </c>
      <c r="G16" s="54"/>
      <c r="H16" s="54"/>
      <c r="I16" s="54"/>
      <c r="J16" s="54"/>
      <c r="K16" s="54"/>
      <c r="L16" s="54"/>
      <c r="M16" s="54"/>
      <c r="N16" s="64"/>
    </row>
  </sheetData>
  <mergeCells count="23">
    <mergeCell ref="A1:N1"/>
    <mergeCell ref="F2:L2"/>
    <mergeCell ref="F3:H3"/>
    <mergeCell ref="I3:K3"/>
    <mergeCell ref="B6:C6"/>
    <mergeCell ref="O6:AB6"/>
    <mergeCell ref="O7:R7"/>
    <mergeCell ref="A12:B12"/>
    <mergeCell ref="A13:B13"/>
    <mergeCell ref="F13:N13"/>
    <mergeCell ref="A14:B14"/>
    <mergeCell ref="F14:N14"/>
    <mergeCell ref="A15:B15"/>
    <mergeCell ref="F15:N15"/>
    <mergeCell ref="A16:B16"/>
    <mergeCell ref="F16:N16"/>
    <mergeCell ref="A2:A4"/>
    <mergeCell ref="B2:B4"/>
    <mergeCell ref="C2:C4"/>
    <mergeCell ref="D2:D4"/>
    <mergeCell ref="E2:E4"/>
    <mergeCell ref="M2:M4"/>
    <mergeCell ref="N2:N4"/>
  </mergeCell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G16"/>
  <sheetViews>
    <sheetView workbookViewId="0">
      <selection activeCell="H19" sqref="H19"/>
    </sheetView>
  </sheetViews>
  <sheetFormatPr defaultColWidth="9" defaultRowHeight="13.5" outlineLevelCol="6"/>
  <cols>
    <col min="1" max="1" width="7.63333333333333" customWidth="1"/>
    <col min="2" max="2" width="17.25" customWidth="1"/>
    <col min="3" max="3" width="11" customWidth="1"/>
    <col min="5" max="5" width="20.5" customWidth="1"/>
    <col min="6" max="6" width="12.3833333333333" customWidth="1"/>
    <col min="7" max="7" width="14.6333333333333" customWidth="1"/>
  </cols>
  <sheetData>
    <row r="1" ht="31" customHeight="1" spans="1:7">
      <c r="A1" s="1" t="s">
        <v>90</v>
      </c>
      <c r="B1" s="2" t="s">
        <v>91</v>
      </c>
      <c r="C1" s="2" t="s">
        <v>2</v>
      </c>
      <c r="D1" s="2" t="s">
        <v>54</v>
      </c>
      <c r="E1" s="2" t="s">
        <v>92</v>
      </c>
      <c r="F1" s="2" t="s">
        <v>93</v>
      </c>
      <c r="G1" s="3" t="s">
        <v>7</v>
      </c>
    </row>
    <row r="2" ht="21" customHeight="1" spans="1:7">
      <c r="A2" s="2"/>
      <c r="B2" s="2"/>
      <c r="C2" s="2"/>
      <c r="D2" s="2"/>
      <c r="E2" s="2"/>
      <c r="F2" s="4"/>
      <c r="G2" s="4"/>
    </row>
    <row r="3" ht="82" customHeight="1" spans="1:7">
      <c r="A3" s="5">
        <v>1</v>
      </c>
      <c r="B3" s="6" t="s">
        <v>94</v>
      </c>
      <c r="C3" s="5" t="s">
        <v>22</v>
      </c>
      <c r="D3" s="7" t="s">
        <v>12</v>
      </c>
      <c r="E3" s="5" t="s">
        <v>12</v>
      </c>
      <c r="F3" s="5" t="s">
        <v>95</v>
      </c>
      <c r="G3" s="5" t="s">
        <v>96</v>
      </c>
    </row>
    <row r="4" ht="42" customHeight="1" spans="1:7">
      <c r="A4" s="5">
        <v>2</v>
      </c>
      <c r="B4" s="5" t="s">
        <v>97</v>
      </c>
      <c r="C4" s="5" t="s">
        <v>98</v>
      </c>
      <c r="D4" s="8"/>
      <c r="E4" s="5" t="s">
        <v>99</v>
      </c>
      <c r="F4" s="5" t="s">
        <v>100</v>
      </c>
      <c r="G4" s="5"/>
    </row>
    <row r="5" ht="40" customHeight="1" spans="1:7">
      <c r="A5" s="5">
        <v>3</v>
      </c>
      <c r="B5" s="5" t="s">
        <v>101</v>
      </c>
      <c r="C5" s="5"/>
      <c r="D5" s="8"/>
      <c r="E5" s="5" t="s">
        <v>102</v>
      </c>
      <c r="F5" s="5"/>
      <c r="G5" s="5"/>
    </row>
    <row r="6" ht="51" customHeight="1" spans="1:7">
      <c r="A6" s="5">
        <v>4</v>
      </c>
      <c r="B6" s="5" t="s">
        <v>103</v>
      </c>
      <c r="C6" s="5"/>
      <c r="D6" s="8"/>
      <c r="E6" s="5" t="s">
        <v>104</v>
      </c>
      <c r="F6" s="5"/>
      <c r="G6" s="5"/>
    </row>
    <row r="7" ht="38" customHeight="1" spans="1:7">
      <c r="A7" s="5">
        <v>5</v>
      </c>
      <c r="B7" s="5" t="s">
        <v>105</v>
      </c>
      <c r="C7" s="5"/>
      <c r="D7" s="8"/>
      <c r="E7" s="5" t="s">
        <v>106</v>
      </c>
      <c r="F7" s="5"/>
      <c r="G7" s="5"/>
    </row>
    <row r="8" ht="38" customHeight="1" spans="1:7">
      <c r="A8" s="5">
        <v>6</v>
      </c>
      <c r="B8" s="5" t="s">
        <v>107</v>
      </c>
      <c r="C8" s="5" t="s">
        <v>22</v>
      </c>
      <c r="D8" s="8"/>
      <c r="E8" s="5" t="s">
        <v>12</v>
      </c>
      <c r="F8" s="5" t="s">
        <v>108</v>
      </c>
      <c r="G8" s="5"/>
    </row>
    <row r="9" ht="36" customHeight="1" spans="1:7">
      <c r="A9" s="5">
        <v>7</v>
      </c>
      <c r="B9" s="5" t="s">
        <v>109</v>
      </c>
      <c r="C9" s="5" t="s">
        <v>22</v>
      </c>
      <c r="D9" s="8"/>
      <c r="E9" s="5" t="s">
        <v>110</v>
      </c>
      <c r="F9" s="5" t="s">
        <v>108</v>
      </c>
      <c r="G9" s="5"/>
    </row>
    <row r="10" ht="36" customHeight="1" spans="1:7">
      <c r="A10" s="5">
        <v>8</v>
      </c>
      <c r="B10" s="5" t="s">
        <v>111</v>
      </c>
      <c r="C10" s="5" t="s">
        <v>27</v>
      </c>
      <c r="D10" s="8"/>
      <c r="E10" s="5" t="s">
        <v>112</v>
      </c>
      <c r="F10" s="5" t="s">
        <v>113</v>
      </c>
      <c r="G10" s="5"/>
    </row>
    <row r="11" ht="59" customHeight="1" spans="1:7">
      <c r="A11" s="5">
        <v>9</v>
      </c>
      <c r="B11" s="6" t="s">
        <v>114</v>
      </c>
      <c r="C11" s="5" t="s">
        <v>22</v>
      </c>
      <c r="D11" s="8"/>
      <c r="E11" s="5" t="s">
        <v>115</v>
      </c>
      <c r="F11" s="5" t="s">
        <v>116</v>
      </c>
      <c r="G11" s="5" t="s">
        <v>117</v>
      </c>
    </row>
    <row r="12" ht="39" customHeight="1" spans="1:7">
      <c r="A12" s="5">
        <v>10</v>
      </c>
      <c r="B12" s="5" t="s">
        <v>118</v>
      </c>
      <c r="C12" s="5" t="s">
        <v>119</v>
      </c>
      <c r="D12" s="8"/>
      <c r="E12" s="5" t="s">
        <v>12</v>
      </c>
      <c r="F12" s="5" t="s">
        <v>120</v>
      </c>
      <c r="G12" s="5"/>
    </row>
    <row r="13" ht="39" customHeight="1" spans="1:7">
      <c r="A13" s="5">
        <v>11</v>
      </c>
      <c r="B13" s="5" t="s">
        <v>121</v>
      </c>
      <c r="C13" s="5" t="s">
        <v>27</v>
      </c>
      <c r="D13" s="8"/>
      <c r="E13" s="5" t="s">
        <v>12</v>
      </c>
      <c r="F13" s="5" t="s">
        <v>108</v>
      </c>
      <c r="G13" s="5"/>
    </row>
    <row r="14" ht="39" customHeight="1" spans="1:7">
      <c r="A14" s="5">
        <v>12</v>
      </c>
      <c r="B14" s="5" t="s">
        <v>122</v>
      </c>
      <c r="C14" s="5" t="s">
        <v>123</v>
      </c>
      <c r="D14" s="8"/>
      <c r="E14" s="5" t="s">
        <v>12</v>
      </c>
      <c r="F14" s="5" t="s">
        <v>124</v>
      </c>
      <c r="G14" s="5" t="s">
        <v>125</v>
      </c>
    </row>
    <row r="15" ht="75" customHeight="1" spans="1:7">
      <c r="A15" s="5"/>
      <c r="B15" s="5"/>
      <c r="C15" s="5" t="s">
        <v>126</v>
      </c>
      <c r="D15" s="8"/>
      <c r="E15" s="5" t="s">
        <v>12</v>
      </c>
      <c r="F15" s="5" t="s">
        <v>124</v>
      </c>
      <c r="G15" s="5" t="s">
        <v>127</v>
      </c>
    </row>
    <row r="16" ht="34" customHeight="1" spans="1:7">
      <c r="A16" s="5">
        <v>13</v>
      </c>
      <c r="B16" s="5" t="s">
        <v>128</v>
      </c>
      <c r="C16" s="5" t="s">
        <v>129</v>
      </c>
      <c r="D16" s="9"/>
      <c r="E16" s="5" t="s">
        <v>12</v>
      </c>
      <c r="F16" s="5" t="s">
        <v>130</v>
      </c>
      <c r="G16" s="5" t="s">
        <v>131</v>
      </c>
    </row>
  </sheetData>
  <mergeCells count="12">
    <mergeCell ref="A1:A2"/>
    <mergeCell ref="A14:A15"/>
    <mergeCell ref="B1:B2"/>
    <mergeCell ref="B14:B15"/>
    <mergeCell ref="C1:C2"/>
    <mergeCell ref="C4:C7"/>
    <mergeCell ref="D1:D2"/>
    <mergeCell ref="D3:D16"/>
    <mergeCell ref="E1:E2"/>
    <mergeCell ref="F1:F2"/>
    <mergeCell ref="F4:F7"/>
    <mergeCell ref="G1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2024集团服务区专项</vt:lpstr>
      <vt:lpstr>七里岗服务区应急养护仓库</vt:lpstr>
      <vt:lpstr>上德婺高速</vt:lpstr>
      <vt:lpstr>黄陂养护基地</vt:lpstr>
      <vt:lpstr>路网大楼改造</vt:lpstr>
      <vt:lpstr>上高服务区修缮工程</vt:lpstr>
      <vt:lpstr>现金结算项目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降落伞</cp:lastModifiedBy>
  <cp:revision>1</cp:revision>
  <dcterms:created xsi:type="dcterms:W3CDTF">2014-04-18T07:33:00Z</dcterms:created>
  <cp:lastPrinted>2020-06-12T06:50:00Z</cp:lastPrinted>
  <dcterms:modified xsi:type="dcterms:W3CDTF">2025-05-27T10:41:11Z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EBF9A73EA7204B2F85228680E643FC52_13</vt:lpwstr>
  </property>
</Properties>
</file>