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3"/>
  <workbookPr/>
  <xr:revisionPtr revIDLastSave="0" documentId="11_FFE7FB2EF1A280E744AF6F4FF00BD26758253A9E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ListaCompleta" sheetId="1" r:id="rId1"/>
    <sheet name="ListaEFPC+Planos+Fundos" sheetId="2" r:id="rId2"/>
    <sheet name="Aceprev" sheetId="3" r:id="rId3"/>
    <sheet name="Alpha" sheetId="4" r:id="rId4"/>
    <sheet name="Atlântico" sheetId="5" r:id="rId5"/>
    <sheet name="BANDEPREV" sheetId="6" r:id="rId6"/>
    <sheet name="BANESPREV" sheetId="7" r:id="rId7"/>
    <sheet name="Baneses" sheetId="8" r:id="rId8"/>
    <sheet name="Banrisul(Itaú)" sheetId="9" r:id="rId9"/>
    <sheet name="Basf" sheetId="10" r:id="rId10"/>
    <sheet name="BRFPrev" sheetId="11" r:id="rId11"/>
    <sheet name="Cabec" sheetId="12" r:id="rId12"/>
    <sheet name="Cageprev" sheetId="13" r:id="rId13"/>
    <sheet name="Capef" sheetId="14" r:id="rId14"/>
    <sheet name="CERES" sheetId="15" r:id="rId15"/>
    <sheet name="Planilha2" sheetId="16" r:id="rId16"/>
    <sheet name="Copel" sheetId="17" r:id="rId17"/>
    <sheet name="E-Invest" sheetId="18" r:id="rId18"/>
    <sheet name="Elos" sheetId="19" r:id="rId19"/>
    <sheet name="Fachesf" sheetId="20" r:id="rId20"/>
    <sheet name="FamíliaPrev" sheetId="21" r:id="rId21"/>
    <sheet name="Fibra" sheetId="22" r:id="rId22"/>
    <sheet name="Fipeqc" sheetId="23" r:id="rId23"/>
    <sheet name="Forluz" sheetId="24" r:id="rId24"/>
    <sheet name="Funbep" sheetId="25" r:id="rId25"/>
    <sheet name="Funcorsan" sheetId="26" r:id="rId26"/>
    <sheet name="Funssest" sheetId="27" r:id="rId27"/>
    <sheet name="Inovar" sheetId="28" r:id="rId28"/>
    <sheet name="ItaúIndustrial" sheetId="29" r:id="rId29"/>
    <sheet name="Libertas" sheetId="30" r:id="rId30"/>
    <sheet name="Metrus" sheetId="31" r:id="rId31"/>
    <sheet name="Néos" sheetId="32" r:id="rId32"/>
    <sheet name="Nucleos" sheetId="33" r:id="rId33"/>
    <sheet name="Planejar" sheetId="34" r:id="rId34"/>
    <sheet name="Promon" sheetId="35" r:id="rId35"/>
    <sheet name="RealGrandeza" sheetId="36" r:id="rId36"/>
    <sheet name="Sabesprev" sheetId="37" r:id="rId37"/>
    <sheet name="Serpros" sheetId="38" r:id="rId38"/>
    <sheet name="Telos" sheetId="39" r:id="rId39"/>
    <sheet name="Usiminas" sheetId="40" r:id="rId40"/>
    <sheet name="Valia" sheetId="41" r:id="rId41"/>
    <sheet name="VisãoPrev" sheetId="42" r:id="rId42"/>
    <sheet name="Vivest" sheetId="43" r:id="rId43"/>
    <sheet name="Modelo planilha" sheetId="44" r:id="rId44"/>
  </sheets>
  <definedNames>
    <definedName name="_xlnm._FilterDatabase" localSheetId="1" hidden="1">'ListaEFPC+Planos+Fundos'!$A$1:$K$1245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48" roundtripDataSignature="AMtx7mi6v4l1a+eCpkPyrVxEyfT9XKsLJg=="/>
    </ext>
  </extLst>
</workbook>
</file>

<file path=xl/calcChain.xml><?xml version="1.0" encoding="utf-8"?>
<calcChain xmlns="http://schemas.openxmlformats.org/spreadsheetml/2006/main">
  <c r="V27" i="43" l="1"/>
  <c r="T27" i="43"/>
  <c r="R27" i="43"/>
  <c r="P27" i="43"/>
  <c r="N27" i="43"/>
  <c r="L27" i="43"/>
  <c r="J27" i="43"/>
  <c r="H27" i="43"/>
  <c r="F27" i="43"/>
  <c r="D27" i="43"/>
  <c r="V26" i="43"/>
  <c r="T26" i="43"/>
  <c r="R26" i="43"/>
  <c r="P26" i="43"/>
  <c r="N26" i="43"/>
  <c r="L26" i="43"/>
  <c r="J26" i="43"/>
  <c r="H26" i="43"/>
  <c r="F26" i="43"/>
  <c r="D26" i="43"/>
  <c r="V25" i="43"/>
  <c r="T25" i="43"/>
  <c r="R25" i="43"/>
  <c r="P25" i="43"/>
  <c r="N25" i="43"/>
  <c r="L25" i="43"/>
  <c r="J25" i="43"/>
  <c r="H25" i="43"/>
  <c r="F25" i="43"/>
  <c r="D25" i="43"/>
  <c r="V24" i="43"/>
  <c r="T24" i="43"/>
  <c r="R24" i="43"/>
  <c r="P24" i="43"/>
  <c r="N24" i="43"/>
  <c r="L24" i="43"/>
  <c r="J24" i="43"/>
  <c r="H24" i="43"/>
  <c r="F24" i="43"/>
  <c r="D24" i="43"/>
  <c r="V23" i="43"/>
  <c r="T23" i="43"/>
  <c r="R23" i="43"/>
  <c r="P23" i="43"/>
  <c r="N23" i="43"/>
  <c r="L23" i="43"/>
  <c r="J23" i="43"/>
  <c r="H23" i="43"/>
  <c r="F23" i="43"/>
  <c r="D23" i="43"/>
  <c r="A23" i="43"/>
  <c r="A24" i="43" s="1"/>
  <c r="A25" i="43" s="1"/>
  <c r="A26" i="43" s="1"/>
  <c r="A27" i="43" s="1"/>
  <c r="A28" i="43" s="1"/>
  <c r="A29" i="43" s="1"/>
  <c r="A30" i="43" s="1"/>
  <c r="A31" i="43" s="1"/>
  <c r="V22" i="43"/>
  <c r="T22" i="43"/>
  <c r="R22" i="43"/>
  <c r="P22" i="43"/>
  <c r="N22" i="43"/>
  <c r="L22" i="43"/>
  <c r="J22" i="43"/>
  <c r="H22" i="43"/>
  <c r="F22" i="43"/>
  <c r="D22" i="43"/>
  <c r="V21" i="43"/>
  <c r="T21" i="43"/>
  <c r="R21" i="43"/>
  <c r="P21" i="43"/>
  <c r="N21" i="43"/>
  <c r="L21" i="43"/>
  <c r="J21" i="43"/>
  <c r="H21" i="43"/>
  <c r="F21" i="43"/>
  <c r="D21" i="43"/>
  <c r="A11" i="43"/>
  <c r="A12" i="43" s="1"/>
  <c r="A13" i="43" s="1"/>
  <c r="A14" i="43" s="1"/>
  <c r="A15" i="43" s="1"/>
  <c r="A16" i="43" s="1"/>
  <c r="A17" i="43" s="1"/>
  <c r="A18" i="43" s="1"/>
  <c r="A19" i="43" s="1"/>
  <c r="V9" i="43"/>
  <c r="T9" i="43"/>
  <c r="R9" i="43"/>
  <c r="P9" i="43"/>
  <c r="N9" i="43"/>
  <c r="L9" i="43"/>
  <c r="J9" i="43"/>
  <c r="H9" i="43"/>
  <c r="F9" i="43"/>
  <c r="D9" i="43"/>
  <c r="V7" i="43"/>
  <c r="T7" i="43"/>
  <c r="R7" i="43"/>
  <c r="P7" i="43"/>
  <c r="N7" i="43"/>
  <c r="L7" i="43"/>
  <c r="J7" i="43"/>
  <c r="H7" i="43"/>
  <c r="F7" i="43"/>
  <c r="D7" i="43"/>
  <c r="V5" i="43"/>
  <c r="T5" i="43"/>
  <c r="R5" i="43"/>
  <c r="P5" i="43"/>
  <c r="N5" i="43"/>
  <c r="L5" i="43"/>
  <c r="J5" i="43"/>
  <c r="H5" i="43"/>
  <c r="F5" i="43"/>
  <c r="D5" i="43"/>
  <c r="Q36" i="42"/>
  <c r="O36" i="42"/>
  <c r="M36" i="42"/>
  <c r="K36" i="42"/>
  <c r="I36" i="42"/>
  <c r="G36" i="42"/>
  <c r="E36" i="42"/>
  <c r="Q35" i="42"/>
  <c r="O35" i="42"/>
  <c r="M35" i="42"/>
  <c r="K35" i="42"/>
  <c r="I35" i="42"/>
  <c r="G35" i="42"/>
  <c r="E35" i="42"/>
  <c r="Q34" i="42"/>
  <c r="O34" i="42"/>
  <c r="M34" i="42"/>
  <c r="K34" i="42"/>
  <c r="I34" i="42"/>
  <c r="G34" i="42"/>
  <c r="E34" i="42"/>
  <c r="Q33" i="42"/>
  <c r="O33" i="42"/>
  <c r="M33" i="42"/>
  <c r="K33" i="42"/>
  <c r="I33" i="42"/>
  <c r="G33" i="42"/>
  <c r="E33" i="42"/>
  <c r="Q32" i="42"/>
  <c r="O32" i="42"/>
  <c r="M32" i="42"/>
  <c r="K32" i="42"/>
  <c r="I32" i="42"/>
  <c r="G32" i="42"/>
  <c r="E32" i="42"/>
  <c r="Q31" i="42"/>
  <c r="O31" i="42"/>
  <c r="M31" i="42"/>
  <c r="K31" i="42"/>
  <c r="I31" i="42"/>
  <c r="G31" i="42"/>
  <c r="E31" i="42"/>
  <c r="Q30" i="42"/>
  <c r="O30" i="42"/>
  <c r="M30" i="42"/>
  <c r="K30" i="42"/>
  <c r="I30" i="42"/>
  <c r="G30" i="42"/>
  <c r="E30" i="42"/>
  <c r="Q29" i="42"/>
  <c r="O29" i="42"/>
  <c r="M29" i="42"/>
  <c r="K29" i="42"/>
  <c r="I29" i="42"/>
  <c r="G29" i="42"/>
  <c r="E29" i="42"/>
  <c r="Q28" i="42"/>
  <c r="O28" i="42"/>
  <c r="M28" i="42"/>
  <c r="K28" i="42"/>
  <c r="I28" i="42"/>
  <c r="G28" i="42"/>
  <c r="E28" i="42"/>
  <c r="Q27" i="42"/>
  <c r="O27" i="42"/>
  <c r="M27" i="42"/>
  <c r="K27" i="42"/>
  <c r="I27" i="42"/>
  <c r="G27" i="42"/>
  <c r="E27" i="42"/>
  <c r="Q26" i="42"/>
  <c r="O26" i="42"/>
  <c r="M26" i="42"/>
  <c r="K26" i="42"/>
  <c r="I26" i="42"/>
  <c r="G26" i="42"/>
  <c r="E26" i="42"/>
  <c r="Q25" i="42"/>
  <c r="O25" i="42"/>
  <c r="M25" i="42"/>
  <c r="K25" i="42"/>
  <c r="I25" i="42"/>
  <c r="G25" i="42"/>
  <c r="E25" i="42"/>
  <c r="Q24" i="42"/>
  <c r="O24" i="42"/>
  <c r="M24" i="42"/>
  <c r="K24" i="42"/>
  <c r="I24" i="42"/>
  <c r="G24" i="42"/>
  <c r="E24" i="42"/>
  <c r="A24" i="42"/>
  <c r="A25" i="42" s="1"/>
  <c r="A26" i="42" s="1"/>
  <c r="A27" i="42" s="1"/>
  <c r="A28" i="42" s="1"/>
  <c r="A29" i="42" s="1"/>
  <c r="A30" i="42" s="1"/>
  <c r="A31" i="42" s="1"/>
  <c r="A32" i="42" s="1"/>
  <c r="A33" i="42" s="1"/>
  <c r="A34" i="42" s="1"/>
  <c r="A35" i="42" s="1"/>
  <c r="A36" i="42" s="1"/>
  <c r="Q23" i="42"/>
  <c r="O23" i="42"/>
  <c r="M23" i="42"/>
  <c r="K23" i="42"/>
  <c r="I23" i="42"/>
  <c r="G23" i="42"/>
  <c r="E23" i="42"/>
  <c r="P22" i="42"/>
  <c r="Q22" i="42" s="1"/>
  <c r="N22" i="42"/>
  <c r="O22" i="42" s="1"/>
  <c r="L22" i="42"/>
  <c r="M22" i="42" s="1"/>
  <c r="J22" i="42"/>
  <c r="K22" i="42" s="1"/>
  <c r="H22" i="42"/>
  <c r="I22" i="42" s="1"/>
  <c r="F22" i="42"/>
  <c r="G22" i="42" s="1"/>
  <c r="D22" i="42"/>
  <c r="E22" i="42" s="1"/>
  <c r="Q20" i="42"/>
  <c r="O20" i="42"/>
  <c r="M20" i="42"/>
  <c r="K20" i="42"/>
  <c r="I20" i="42"/>
  <c r="G20" i="42"/>
  <c r="E20" i="42"/>
  <c r="Q19" i="42"/>
  <c r="O19" i="42"/>
  <c r="M19" i="42"/>
  <c r="K19" i="42"/>
  <c r="I19" i="42"/>
  <c r="G19" i="42"/>
  <c r="E19" i="42"/>
  <c r="Q18" i="42"/>
  <c r="O18" i="42"/>
  <c r="M18" i="42"/>
  <c r="K18" i="42"/>
  <c r="I18" i="42"/>
  <c r="G18" i="42"/>
  <c r="E18" i="42"/>
  <c r="Q17" i="42"/>
  <c r="O17" i="42"/>
  <c r="M17" i="42"/>
  <c r="K17" i="42"/>
  <c r="I17" i="42"/>
  <c r="G17" i="42"/>
  <c r="E17" i="42"/>
  <c r="Q16" i="42"/>
  <c r="O16" i="42"/>
  <c r="M16" i="42"/>
  <c r="K16" i="42"/>
  <c r="I16" i="42"/>
  <c r="G16" i="42"/>
  <c r="E16" i="42"/>
  <c r="Q15" i="42"/>
  <c r="O15" i="42"/>
  <c r="M15" i="42"/>
  <c r="K15" i="42"/>
  <c r="I15" i="42"/>
  <c r="G15" i="42"/>
  <c r="E15" i="42"/>
  <c r="Q14" i="42"/>
  <c r="O14" i="42"/>
  <c r="M14" i="42"/>
  <c r="K14" i="42"/>
  <c r="I14" i="42"/>
  <c r="G14" i="42"/>
  <c r="E14" i="42"/>
  <c r="Q13" i="42"/>
  <c r="O13" i="42"/>
  <c r="M13" i="42"/>
  <c r="K13" i="42"/>
  <c r="I13" i="42"/>
  <c r="G13" i="42"/>
  <c r="E13" i="42"/>
  <c r="Q12" i="42"/>
  <c r="O12" i="42"/>
  <c r="M12" i="42"/>
  <c r="K12" i="42"/>
  <c r="I12" i="42"/>
  <c r="G12" i="42"/>
  <c r="E12" i="42"/>
  <c r="Q11" i="42"/>
  <c r="O11" i="42"/>
  <c r="M11" i="42"/>
  <c r="K11" i="42"/>
  <c r="I11" i="42"/>
  <c r="G11" i="42"/>
  <c r="E11" i="42"/>
  <c r="A11" i="42"/>
  <c r="A12" i="42" s="1"/>
  <c r="A13" i="42" s="1"/>
  <c r="A14" i="42" s="1"/>
  <c r="A15" i="42" s="1"/>
  <c r="A16" i="42" s="1"/>
  <c r="A17" i="42" s="1"/>
  <c r="A18" i="42" s="1"/>
  <c r="A19" i="42" s="1"/>
  <c r="A20" i="42" s="1"/>
  <c r="Q10" i="42"/>
  <c r="O10" i="42"/>
  <c r="M10" i="42"/>
  <c r="K10" i="42"/>
  <c r="I10" i="42"/>
  <c r="G10" i="42"/>
  <c r="E10" i="42"/>
  <c r="P9" i="42"/>
  <c r="Q9" i="42" s="1"/>
  <c r="N9" i="42"/>
  <c r="O9" i="42" s="1"/>
  <c r="L9" i="42"/>
  <c r="M9" i="42" s="1"/>
  <c r="J9" i="42"/>
  <c r="K9" i="42" s="1"/>
  <c r="H9" i="42"/>
  <c r="I9" i="42" s="1"/>
  <c r="F9" i="42"/>
  <c r="G9" i="42" s="1"/>
  <c r="D9" i="42"/>
  <c r="E9" i="42" s="1"/>
  <c r="P7" i="42"/>
  <c r="Q7" i="42" s="1"/>
  <c r="N7" i="42"/>
  <c r="O7" i="42" s="1"/>
  <c r="L7" i="42"/>
  <c r="M7" i="42" s="1"/>
  <c r="J7" i="42"/>
  <c r="K7" i="42" s="1"/>
  <c r="H7" i="42"/>
  <c r="I7" i="42" s="1"/>
  <c r="F7" i="42"/>
  <c r="G7" i="42" s="1"/>
  <c r="D7" i="42"/>
  <c r="E7" i="42" s="1"/>
  <c r="Q5" i="42"/>
  <c r="O5" i="42"/>
  <c r="M5" i="42"/>
  <c r="K5" i="42"/>
  <c r="I5" i="42"/>
  <c r="G5" i="42"/>
  <c r="E5" i="42"/>
  <c r="L37" i="41"/>
  <c r="J37" i="41"/>
  <c r="F37" i="41"/>
  <c r="D37" i="41"/>
  <c r="L36" i="41"/>
  <c r="J36" i="41"/>
  <c r="F36" i="41"/>
  <c r="D36" i="41"/>
  <c r="L35" i="41"/>
  <c r="F35" i="41"/>
  <c r="D35" i="41"/>
  <c r="F34" i="41"/>
  <c r="D34" i="41"/>
  <c r="J33" i="41"/>
  <c r="F33" i="41"/>
  <c r="D33" i="41"/>
  <c r="L32" i="41"/>
  <c r="J32" i="41"/>
  <c r="F32" i="41"/>
  <c r="D32" i="41"/>
  <c r="L31" i="41"/>
  <c r="F31" i="41"/>
  <c r="D31" i="41"/>
  <c r="A31" i="41"/>
  <c r="A32" i="41" s="1"/>
  <c r="A33" i="41" s="1"/>
  <c r="A34" i="41" s="1"/>
  <c r="A35" i="41" s="1"/>
  <c r="A36" i="41" s="1"/>
  <c r="A37" i="41" s="1"/>
  <c r="L30" i="41"/>
  <c r="F30" i="41"/>
  <c r="D30" i="41"/>
  <c r="L29" i="41"/>
  <c r="J29" i="41"/>
  <c r="H29" i="41"/>
  <c r="F29" i="41"/>
  <c r="D29" i="41"/>
  <c r="H26" i="41"/>
  <c r="D25" i="41"/>
  <c r="D24" i="41"/>
  <c r="D23" i="41"/>
  <c r="D22" i="41"/>
  <c r="H21" i="41"/>
  <c r="D21" i="41"/>
  <c r="H20" i="41"/>
  <c r="D20" i="41"/>
  <c r="H19" i="41"/>
  <c r="H18" i="41"/>
  <c r="H17" i="41"/>
  <c r="H16" i="41"/>
  <c r="H15" i="41"/>
  <c r="D15" i="41"/>
  <c r="H14" i="41"/>
  <c r="H13" i="41"/>
  <c r="H12" i="41"/>
  <c r="H11" i="41"/>
  <c r="A11" i="41"/>
  <c r="A12" i="41" s="1"/>
  <c r="A13" i="41" s="1"/>
  <c r="A14" i="41" s="1"/>
  <c r="A15" i="41" s="1"/>
  <c r="A16" i="41" s="1"/>
  <c r="A17" i="41" s="1"/>
  <c r="A18" i="41" s="1"/>
  <c r="A19" i="41" s="1"/>
  <c r="A20" i="41" s="1"/>
  <c r="A21" i="41" s="1"/>
  <c r="A22" i="41" s="1"/>
  <c r="A23" i="41" s="1"/>
  <c r="A24" i="41" s="1"/>
  <c r="A25" i="41" s="1"/>
  <c r="A26" i="41" s="1"/>
  <c r="A27" i="41" s="1"/>
  <c r="H10" i="41"/>
  <c r="L9" i="41"/>
  <c r="J9" i="41"/>
  <c r="H9" i="41"/>
  <c r="F9" i="41"/>
  <c r="D9" i="41"/>
  <c r="L7" i="41"/>
  <c r="J7" i="41"/>
  <c r="H7" i="41"/>
  <c r="F7" i="41"/>
  <c r="D7" i="41"/>
  <c r="L5" i="41"/>
  <c r="J5" i="41"/>
  <c r="H5" i="41"/>
  <c r="F5" i="41"/>
  <c r="D5" i="41"/>
  <c r="A23" i="40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J21" i="40"/>
  <c r="H21" i="40"/>
  <c r="F21" i="40"/>
  <c r="D21" i="40"/>
  <c r="A11" i="40"/>
  <c r="A12" i="40" s="1"/>
  <c r="A13" i="40" s="1"/>
  <c r="A14" i="40" s="1"/>
  <c r="A15" i="40" s="1"/>
  <c r="A16" i="40" s="1"/>
  <c r="A17" i="40" s="1"/>
  <c r="A18" i="40" s="1"/>
  <c r="A19" i="40" s="1"/>
  <c r="J9" i="40"/>
  <c r="H9" i="40"/>
  <c r="F9" i="40"/>
  <c r="D9" i="40"/>
  <c r="J7" i="40"/>
  <c r="H7" i="40"/>
  <c r="F7" i="40"/>
  <c r="D7" i="40"/>
  <c r="J5" i="40"/>
  <c r="H5" i="40"/>
  <c r="F5" i="40"/>
  <c r="D5" i="40"/>
  <c r="G35" i="39"/>
  <c r="E35" i="39"/>
  <c r="G34" i="39"/>
  <c r="E34" i="39"/>
  <c r="G33" i="39"/>
  <c r="E33" i="39"/>
  <c r="G32" i="39"/>
  <c r="E32" i="39"/>
  <c r="G31" i="39"/>
  <c r="E31" i="39"/>
  <c r="G30" i="39"/>
  <c r="E30" i="39"/>
  <c r="G29" i="39"/>
  <c r="E29" i="39"/>
  <c r="G28" i="39"/>
  <c r="E28" i="39"/>
  <c r="G27" i="39"/>
  <c r="E27" i="39"/>
  <c r="G26" i="39"/>
  <c r="E26" i="39"/>
  <c r="G25" i="39"/>
  <c r="E25" i="39"/>
  <c r="G24" i="39"/>
  <c r="E24" i="39"/>
  <c r="G23" i="39"/>
  <c r="E23" i="39"/>
  <c r="A23" i="39"/>
  <c r="A24" i="39" s="1"/>
  <c r="A25" i="39" s="1"/>
  <c r="A26" i="39" s="1"/>
  <c r="A27" i="39" s="1"/>
  <c r="A28" i="39" s="1"/>
  <c r="A29" i="39" s="1"/>
  <c r="A30" i="39" s="1"/>
  <c r="A31" i="39" s="1"/>
  <c r="A32" i="39" s="1"/>
  <c r="A33" i="39" s="1"/>
  <c r="A34" i="39" s="1"/>
  <c r="A35" i="39" s="1"/>
  <c r="G22" i="39"/>
  <c r="E22" i="39"/>
  <c r="F21" i="39"/>
  <c r="G21" i="39" s="1"/>
  <c r="D21" i="39"/>
  <c r="E21" i="39" s="1"/>
  <c r="G19" i="39"/>
  <c r="E19" i="39"/>
  <c r="G18" i="39"/>
  <c r="E18" i="39"/>
  <c r="G17" i="39"/>
  <c r="E17" i="39"/>
  <c r="G16" i="39"/>
  <c r="E16" i="39"/>
  <c r="G15" i="39"/>
  <c r="E15" i="39"/>
  <c r="G14" i="39"/>
  <c r="E14" i="39"/>
  <c r="G13" i="39"/>
  <c r="E13" i="39"/>
  <c r="G12" i="39"/>
  <c r="E12" i="39"/>
  <c r="G11" i="39"/>
  <c r="E11" i="39"/>
  <c r="A11" i="39"/>
  <c r="A12" i="39" s="1"/>
  <c r="A13" i="39" s="1"/>
  <c r="A14" i="39" s="1"/>
  <c r="A15" i="39" s="1"/>
  <c r="A16" i="39" s="1"/>
  <c r="A17" i="39" s="1"/>
  <c r="A18" i="39" s="1"/>
  <c r="A19" i="39" s="1"/>
  <c r="G10" i="39"/>
  <c r="E10" i="39"/>
  <c r="F9" i="39"/>
  <c r="G9" i="39" s="1"/>
  <c r="D9" i="39"/>
  <c r="E9" i="39" s="1"/>
  <c r="F7" i="39"/>
  <c r="G7" i="39" s="1"/>
  <c r="D7" i="39"/>
  <c r="E7" i="39" s="1"/>
  <c r="G5" i="39"/>
  <c r="E5" i="39"/>
  <c r="K34" i="38"/>
  <c r="I34" i="38"/>
  <c r="G34" i="38"/>
  <c r="E34" i="38"/>
  <c r="K33" i="38"/>
  <c r="I33" i="38"/>
  <c r="G33" i="38"/>
  <c r="E33" i="38"/>
  <c r="K32" i="38"/>
  <c r="I32" i="38"/>
  <c r="G32" i="38"/>
  <c r="E32" i="38"/>
  <c r="K31" i="38"/>
  <c r="I31" i="38"/>
  <c r="G31" i="38"/>
  <c r="E31" i="38"/>
  <c r="K30" i="38"/>
  <c r="I30" i="38"/>
  <c r="G30" i="38"/>
  <c r="E30" i="38"/>
  <c r="K29" i="38"/>
  <c r="I29" i="38"/>
  <c r="G29" i="38"/>
  <c r="E29" i="38"/>
  <c r="K28" i="38"/>
  <c r="I28" i="38"/>
  <c r="G28" i="38"/>
  <c r="E28" i="38"/>
  <c r="K27" i="38"/>
  <c r="I27" i="38"/>
  <c r="G27" i="38"/>
  <c r="E27" i="38"/>
  <c r="K26" i="38"/>
  <c r="I26" i="38"/>
  <c r="G26" i="38"/>
  <c r="E26" i="38"/>
  <c r="K25" i="38"/>
  <c r="I25" i="38"/>
  <c r="G25" i="38"/>
  <c r="E25" i="38"/>
  <c r="K24" i="38"/>
  <c r="I24" i="38"/>
  <c r="G24" i="38"/>
  <c r="E24" i="38"/>
  <c r="K23" i="38"/>
  <c r="I23" i="38"/>
  <c r="G23" i="38"/>
  <c r="E23" i="38"/>
  <c r="A23" i="38"/>
  <c r="A24" i="38" s="1"/>
  <c r="A25" i="38" s="1"/>
  <c r="A26" i="38" s="1"/>
  <c r="A27" i="38" s="1"/>
  <c r="A28" i="38" s="1"/>
  <c r="A29" i="38" s="1"/>
  <c r="A30" i="38" s="1"/>
  <c r="A31" i="38" s="1"/>
  <c r="A32" i="38" s="1"/>
  <c r="A33" i="38" s="1"/>
  <c r="A34" i="38" s="1"/>
  <c r="K22" i="38"/>
  <c r="I22" i="38"/>
  <c r="G22" i="38"/>
  <c r="E22" i="38"/>
  <c r="K21" i="38"/>
  <c r="H21" i="38"/>
  <c r="I21" i="38" s="1"/>
  <c r="F21" i="38"/>
  <c r="G21" i="38" s="1"/>
  <c r="D21" i="38"/>
  <c r="E21" i="38" s="1"/>
  <c r="K19" i="38"/>
  <c r="I19" i="38"/>
  <c r="G19" i="38"/>
  <c r="E19" i="38"/>
  <c r="K18" i="38"/>
  <c r="I18" i="38"/>
  <c r="G18" i="38"/>
  <c r="E18" i="38"/>
  <c r="K17" i="38"/>
  <c r="H17" i="38"/>
  <c r="I17" i="38" s="1"/>
  <c r="F17" i="38"/>
  <c r="G17" i="38" s="1"/>
  <c r="D17" i="38"/>
  <c r="E17" i="38" s="1"/>
  <c r="K16" i="38"/>
  <c r="I16" i="38"/>
  <c r="G16" i="38"/>
  <c r="E16" i="38"/>
  <c r="K15" i="38"/>
  <c r="I15" i="38"/>
  <c r="G15" i="38"/>
  <c r="E15" i="38"/>
  <c r="K14" i="38"/>
  <c r="I14" i="38"/>
  <c r="G14" i="38"/>
  <c r="E14" i="38"/>
  <c r="K13" i="38"/>
  <c r="I13" i="38"/>
  <c r="G13" i="38"/>
  <c r="E13" i="38"/>
  <c r="K12" i="38"/>
  <c r="I12" i="38"/>
  <c r="G12" i="38"/>
  <c r="E12" i="38"/>
  <c r="K11" i="38"/>
  <c r="I11" i="38"/>
  <c r="G11" i="38"/>
  <c r="E11" i="38"/>
  <c r="A11" i="38"/>
  <c r="A12" i="38" s="1"/>
  <c r="A13" i="38" s="1"/>
  <c r="A14" i="38" s="1"/>
  <c r="A15" i="38" s="1"/>
  <c r="A16" i="38" s="1"/>
  <c r="A17" i="38" s="1"/>
  <c r="A18" i="38" s="1"/>
  <c r="A19" i="38" s="1"/>
  <c r="K10" i="38"/>
  <c r="I10" i="38"/>
  <c r="G10" i="38"/>
  <c r="E10" i="38"/>
  <c r="J9" i="38"/>
  <c r="K9" i="38" s="1"/>
  <c r="H9" i="38"/>
  <c r="I9" i="38" s="1"/>
  <c r="F9" i="38"/>
  <c r="G9" i="38" s="1"/>
  <c r="D9" i="38"/>
  <c r="E9" i="38" s="1"/>
  <c r="J7" i="38"/>
  <c r="K7" i="38" s="1"/>
  <c r="H7" i="38"/>
  <c r="I7" i="38" s="1"/>
  <c r="F7" i="38"/>
  <c r="G7" i="38" s="1"/>
  <c r="D7" i="38"/>
  <c r="E7" i="38" s="1"/>
  <c r="K5" i="38"/>
  <c r="I5" i="38"/>
  <c r="G5" i="38"/>
  <c r="E5" i="38"/>
  <c r="H33" i="37"/>
  <c r="F33" i="37"/>
  <c r="D33" i="37"/>
  <c r="H32" i="37"/>
  <c r="F32" i="37"/>
  <c r="D32" i="37"/>
  <c r="H31" i="37"/>
  <c r="F31" i="37"/>
  <c r="D31" i="37"/>
  <c r="H30" i="37"/>
  <c r="F30" i="37"/>
  <c r="D30" i="37"/>
  <c r="H29" i="37"/>
  <c r="F29" i="37"/>
  <c r="D29" i="37"/>
  <c r="H28" i="37"/>
  <c r="F28" i="37"/>
  <c r="D28" i="37"/>
  <c r="H27" i="37"/>
  <c r="F27" i="37"/>
  <c r="D27" i="37"/>
  <c r="A27" i="37"/>
  <c r="A28" i="37" s="1"/>
  <c r="A29" i="37" s="1"/>
  <c r="A30" i="37" s="1"/>
  <c r="A31" i="37" s="1"/>
  <c r="A32" i="37" s="1"/>
  <c r="A33" i="37" s="1"/>
  <c r="A34" i="37" s="1"/>
  <c r="A35" i="37" s="1"/>
  <c r="H26" i="37"/>
  <c r="F26" i="37"/>
  <c r="D26" i="37"/>
  <c r="H25" i="37"/>
  <c r="F25" i="37"/>
  <c r="D25" i="37"/>
  <c r="H23" i="37"/>
  <c r="F23" i="37"/>
  <c r="D23" i="37"/>
  <c r="H22" i="37"/>
  <c r="F22" i="37"/>
  <c r="D22" i="37"/>
  <c r="H21" i="37"/>
  <c r="F21" i="37"/>
  <c r="D21" i="37"/>
  <c r="H20" i="37"/>
  <c r="F20" i="37"/>
  <c r="D20" i="37"/>
  <c r="H19" i="37"/>
  <c r="F19" i="37"/>
  <c r="D19" i="37"/>
  <c r="H18" i="37"/>
  <c r="F18" i="37"/>
  <c r="D18" i="37"/>
  <c r="H17" i="37"/>
  <c r="F17" i="37"/>
  <c r="D17" i="37"/>
  <c r="H16" i="37"/>
  <c r="F16" i="37"/>
  <c r="D16" i="37"/>
  <c r="H15" i="37"/>
  <c r="F15" i="37"/>
  <c r="D15" i="37"/>
  <c r="H14" i="37"/>
  <c r="F14" i="37"/>
  <c r="D14" i="37"/>
  <c r="H13" i="37"/>
  <c r="F13" i="37"/>
  <c r="D13" i="37"/>
  <c r="H12" i="37"/>
  <c r="F12" i="37"/>
  <c r="D12" i="37"/>
  <c r="H11" i="37"/>
  <c r="F11" i="37"/>
  <c r="D11" i="37"/>
  <c r="A11" i="37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H10" i="37"/>
  <c r="F10" i="37"/>
  <c r="D10" i="37"/>
  <c r="H9" i="37"/>
  <c r="F9" i="37"/>
  <c r="D9" i="37"/>
  <c r="H7" i="37"/>
  <c r="F7" i="37"/>
  <c r="D7" i="37"/>
  <c r="H5" i="37"/>
  <c r="F5" i="37"/>
  <c r="D5" i="37"/>
  <c r="A19" i="36"/>
  <c r="A20" i="36" s="1"/>
  <c r="A21" i="36" s="1"/>
  <c r="A22" i="36" s="1"/>
  <c r="A23" i="36" s="1"/>
  <c r="A24" i="36" s="1"/>
  <c r="A25" i="36" s="1"/>
  <c r="F17" i="36"/>
  <c r="D17" i="36"/>
  <c r="D15" i="36"/>
  <c r="F14" i="36"/>
  <c r="D14" i="36"/>
  <c r="D13" i="36"/>
  <c r="F12" i="36"/>
  <c r="D12" i="36"/>
  <c r="F11" i="36"/>
  <c r="A11" i="36"/>
  <c r="A12" i="36" s="1"/>
  <c r="A13" i="36" s="1"/>
  <c r="A14" i="36" s="1"/>
  <c r="A15" i="36" s="1"/>
  <c r="F10" i="36"/>
  <c r="D10" i="36"/>
  <c r="F9" i="36"/>
  <c r="D9" i="36"/>
  <c r="F7" i="36"/>
  <c r="D7" i="36"/>
  <c r="F5" i="36"/>
  <c r="D5" i="36"/>
  <c r="I34" i="35"/>
  <c r="G34" i="35"/>
  <c r="E34" i="35"/>
  <c r="I33" i="35"/>
  <c r="G33" i="35"/>
  <c r="E33" i="35"/>
  <c r="I32" i="35"/>
  <c r="G32" i="35"/>
  <c r="E32" i="35"/>
  <c r="I31" i="35"/>
  <c r="G31" i="35"/>
  <c r="E31" i="35"/>
  <c r="I30" i="35"/>
  <c r="G30" i="35"/>
  <c r="E30" i="35"/>
  <c r="I29" i="35"/>
  <c r="G29" i="35"/>
  <c r="E29" i="35"/>
  <c r="I28" i="35"/>
  <c r="G28" i="35"/>
  <c r="E28" i="35"/>
  <c r="I27" i="35"/>
  <c r="G27" i="35"/>
  <c r="E27" i="35"/>
  <c r="I26" i="35"/>
  <c r="G26" i="35"/>
  <c r="E26" i="35"/>
  <c r="I25" i="35"/>
  <c r="G25" i="35"/>
  <c r="E25" i="35"/>
  <c r="I24" i="35"/>
  <c r="G24" i="35"/>
  <c r="E24" i="35"/>
  <c r="I23" i="35"/>
  <c r="G23" i="35"/>
  <c r="E23" i="35"/>
  <c r="A23" i="35"/>
  <c r="A24" i="35" s="1"/>
  <c r="A25" i="35" s="1"/>
  <c r="A26" i="35" s="1"/>
  <c r="A27" i="35" s="1"/>
  <c r="A28" i="35" s="1"/>
  <c r="A29" i="35" s="1"/>
  <c r="A30" i="35" s="1"/>
  <c r="A31" i="35" s="1"/>
  <c r="A32" i="35" s="1"/>
  <c r="A33" i="35" s="1"/>
  <c r="A34" i="35" s="1"/>
  <c r="I22" i="35"/>
  <c r="G22" i="35"/>
  <c r="E22" i="35"/>
  <c r="H21" i="35"/>
  <c r="I21" i="35" s="1"/>
  <c r="F21" i="35"/>
  <c r="G21" i="35" s="1"/>
  <c r="D21" i="35"/>
  <c r="E21" i="35" s="1"/>
  <c r="I19" i="35"/>
  <c r="G19" i="35"/>
  <c r="E19" i="35"/>
  <c r="I18" i="35"/>
  <c r="G18" i="35"/>
  <c r="E18" i="35"/>
  <c r="I17" i="35"/>
  <c r="G17" i="35"/>
  <c r="E17" i="35"/>
  <c r="I16" i="35"/>
  <c r="G16" i="35"/>
  <c r="E16" i="35"/>
  <c r="I15" i="35"/>
  <c r="G15" i="35"/>
  <c r="E15" i="35"/>
  <c r="I14" i="35"/>
  <c r="G14" i="35"/>
  <c r="E14" i="35"/>
  <c r="I13" i="35"/>
  <c r="G13" i="35"/>
  <c r="E13" i="35"/>
  <c r="I12" i="35"/>
  <c r="G12" i="35"/>
  <c r="E12" i="35"/>
  <c r="I11" i="35"/>
  <c r="G11" i="35"/>
  <c r="E11" i="35"/>
  <c r="A11" i="35"/>
  <c r="A12" i="35" s="1"/>
  <c r="A13" i="35" s="1"/>
  <c r="A14" i="35" s="1"/>
  <c r="A15" i="35" s="1"/>
  <c r="A16" i="35" s="1"/>
  <c r="A17" i="35" s="1"/>
  <c r="A18" i="35" s="1"/>
  <c r="A19" i="35" s="1"/>
  <c r="I10" i="35"/>
  <c r="G10" i="35"/>
  <c r="E10" i="35"/>
  <c r="H9" i="35"/>
  <c r="I9" i="35" s="1"/>
  <c r="F9" i="35"/>
  <c r="G9" i="35" s="1"/>
  <c r="D9" i="35"/>
  <c r="E9" i="35" s="1"/>
  <c r="H7" i="35"/>
  <c r="I7" i="35" s="1"/>
  <c r="F7" i="35"/>
  <c r="G7" i="35" s="1"/>
  <c r="D7" i="35"/>
  <c r="E7" i="35" s="1"/>
  <c r="I5" i="35"/>
  <c r="G5" i="35"/>
  <c r="E5" i="35"/>
  <c r="I34" i="34"/>
  <c r="G34" i="34"/>
  <c r="E34" i="34"/>
  <c r="I33" i="34"/>
  <c r="G33" i="34"/>
  <c r="E33" i="34"/>
  <c r="I32" i="34"/>
  <c r="G32" i="34"/>
  <c r="E32" i="34"/>
  <c r="I31" i="34"/>
  <c r="G31" i="34"/>
  <c r="E31" i="34"/>
  <c r="I30" i="34"/>
  <c r="G30" i="34"/>
  <c r="E30" i="34"/>
  <c r="I29" i="34"/>
  <c r="G29" i="34"/>
  <c r="E29" i="34"/>
  <c r="I28" i="34"/>
  <c r="G28" i="34"/>
  <c r="E28" i="34"/>
  <c r="I27" i="34"/>
  <c r="G27" i="34"/>
  <c r="E27" i="34"/>
  <c r="I26" i="34"/>
  <c r="G26" i="34"/>
  <c r="E26" i="34"/>
  <c r="I25" i="34"/>
  <c r="G25" i="34"/>
  <c r="E25" i="34"/>
  <c r="I24" i="34"/>
  <c r="G24" i="34"/>
  <c r="E24" i="34"/>
  <c r="I23" i="34"/>
  <c r="G23" i="34"/>
  <c r="E23" i="34"/>
  <c r="A23" i="34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I22" i="34"/>
  <c r="G22" i="34"/>
  <c r="E22" i="34"/>
  <c r="H21" i="34"/>
  <c r="I21" i="34" s="1"/>
  <c r="F21" i="34"/>
  <c r="G21" i="34" s="1"/>
  <c r="D21" i="34"/>
  <c r="E21" i="34" s="1"/>
  <c r="I19" i="34"/>
  <c r="G19" i="34"/>
  <c r="E19" i="34"/>
  <c r="I18" i="34"/>
  <c r="G18" i="34"/>
  <c r="E18" i="34"/>
  <c r="I17" i="34"/>
  <c r="G17" i="34"/>
  <c r="E17" i="34"/>
  <c r="I16" i="34"/>
  <c r="G16" i="34"/>
  <c r="E16" i="34"/>
  <c r="I15" i="34"/>
  <c r="G15" i="34"/>
  <c r="E15" i="34"/>
  <c r="I14" i="34"/>
  <c r="G14" i="34"/>
  <c r="E14" i="34"/>
  <c r="I13" i="34"/>
  <c r="G13" i="34"/>
  <c r="E13" i="34"/>
  <c r="I12" i="34"/>
  <c r="G12" i="34"/>
  <c r="E12" i="34"/>
  <c r="I11" i="34"/>
  <c r="G11" i="34"/>
  <c r="E11" i="34"/>
  <c r="A11" i="34"/>
  <c r="A12" i="34" s="1"/>
  <c r="A13" i="34" s="1"/>
  <c r="A14" i="34" s="1"/>
  <c r="A15" i="34" s="1"/>
  <c r="A16" i="34" s="1"/>
  <c r="A17" i="34" s="1"/>
  <c r="A18" i="34" s="1"/>
  <c r="A19" i="34" s="1"/>
  <c r="I10" i="34"/>
  <c r="G10" i="34"/>
  <c r="E10" i="34"/>
  <c r="H9" i="34"/>
  <c r="I9" i="34" s="1"/>
  <c r="F9" i="34"/>
  <c r="G9" i="34" s="1"/>
  <c r="D9" i="34"/>
  <c r="E9" i="34" s="1"/>
  <c r="H7" i="34"/>
  <c r="I7" i="34" s="1"/>
  <c r="F7" i="34"/>
  <c r="G7" i="34" s="1"/>
  <c r="D7" i="34"/>
  <c r="E7" i="34" s="1"/>
  <c r="I5" i="34"/>
  <c r="G5" i="34"/>
  <c r="E5" i="34"/>
  <c r="A23" i="33"/>
  <c r="A24" i="33" s="1"/>
  <c r="A25" i="33" s="1"/>
  <c r="A26" i="33" s="1"/>
  <c r="A27" i="33" s="1"/>
  <c r="A28" i="33" s="1"/>
  <c r="A29" i="33" s="1"/>
  <c r="D21" i="33"/>
  <c r="A11" i="33"/>
  <c r="A12" i="33" s="1"/>
  <c r="A13" i="33" s="1"/>
  <c r="A14" i="33" s="1"/>
  <c r="A15" i="33" s="1"/>
  <c r="A16" i="33" s="1"/>
  <c r="A17" i="33" s="1"/>
  <c r="A18" i="33" s="1"/>
  <c r="A19" i="33" s="1"/>
  <c r="D9" i="33"/>
  <c r="D7" i="33"/>
  <c r="D5" i="33"/>
  <c r="O34" i="32"/>
  <c r="M34" i="32"/>
  <c r="K34" i="32"/>
  <c r="I34" i="32"/>
  <c r="G34" i="32"/>
  <c r="E34" i="32"/>
  <c r="O33" i="32"/>
  <c r="M33" i="32"/>
  <c r="K33" i="32"/>
  <c r="I33" i="32"/>
  <c r="G33" i="32"/>
  <c r="E33" i="32"/>
  <c r="O32" i="32"/>
  <c r="M32" i="32"/>
  <c r="K32" i="32"/>
  <c r="I32" i="32"/>
  <c r="G32" i="32"/>
  <c r="E32" i="32"/>
  <c r="O31" i="32"/>
  <c r="M31" i="32"/>
  <c r="K31" i="32"/>
  <c r="I31" i="32"/>
  <c r="G31" i="32"/>
  <c r="E31" i="32"/>
  <c r="O30" i="32"/>
  <c r="M30" i="32"/>
  <c r="K30" i="32"/>
  <c r="I30" i="32"/>
  <c r="G30" i="32"/>
  <c r="E30" i="32"/>
  <c r="O29" i="32"/>
  <c r="M29" i="32"/>
  <c r="K29" i="32"/>
  <c r="I29" i="32"/>
  <c r="G29" i="32"/>
  <c r="E29" i="32"/>
  <c r="O28" i="32"/>
  <c r="M28" i="32"/>
  <c r="K28" i="32"/>
  <c r="I28" i="32"/>
  <c r="G28" i="32"/>
  <c r="E28" i="32"/>
  <c r="O27" i="32"/>
  <c r="M27" i="32"/>
  <c r="K27" i="32"/>
  <c r="I27" i="32"/>
  <c r="G27" i="32"/>
  <c r="E27" i="32"/>
  <c r="O26" i="32"/>
  <c r="M26" i="32"/>
  <c r="K26" i="32"/>
  <c r="I26" i="32"/>
  <c r="G26" i="32"/>
  <c r="E26" i="32"/>
  <c r="O25" i="32"/>
  <c r="M25" i="32"/>
  <c r="K25" i="32"/>
  <c r="I25" i="32"/>
  <c r="G25" i="32"/>
  <c r="E25" i="32"/>
  <c r="O24" i="32"/>
  <c r="M24" i="32"/>
  <c r="K24" i="32"/>
  <c r="I24" i="32"/>
  <c r="G24" i="32"/>
  <c r="E24" i="32"/>
  <c r="O23" i="32"/>
  <c r="M23" i="32"/>
  <c r="K23" i="32"/>
  <c r="I23" i="32"/>
  <c r="G23" i="32"/>
  <c r="E23" i="32"/>
  <c r="A23" i="32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O22" i="32"/>
  <c r="M22" i="32"/>
  <c r="K22" i="32"/>
  <c r="I22" i="32"/>
  <c r="G22" i="32"/>
  <c r="E22" i="32"/>
  <c r="N21" i="32"/>
  <c r="O21" i="32" s="1"/>
  <c r="L21" i="32"/>
  <c r="M21" i="32" s="1"/>
  <c r="J21" i="32"/>
  <c r="K21" i="32" s="1"/>
  <c r="H21" i="32"/>
  <c r="I21" i="32" s="1"/>
  <c r="F21" i="32"/>
  <c r="G21" i="32" s="1"/>
  <c r="D21" i="32"/>
  <c r="E21" i="32" s="1"/>
  <c r="O19" i="32"/>
  <c r="M19" i="32"/>
  <c r="K19" i="32"/>
  <c r="I19" i="32"/>
  <c r="G19" i="32"/>
  <c r="E19" i="32"/>
  <c r="O18" i="32"/>
  <c r="M18" i="32"/>
  <c r="K18" i="32"/>
  <c r="I18" i="32"/>
  <c r="G18" i="32"/>
  <c r="E18" i="32"/>
  <c r="O17" i="32"/>
  <c r="M17" i="32"/>
  <c r="K17" i="32"/>
  <c r="I17" i="32"/>
  <c r="G17" i="32"/>
  <c r="E17" i="32"/>
  <c r="O16" i="32"/>
  <c r="M16" i="32"/>
  <c r="K16" i="32"/>
  <c r="I16" i="32"/>
  <c r="G16" i="32"/>
  <c r="E16" i="32"/>
  <c r="O15" i="32"/>
  <c r="M15" i="32"/>
  <c r="K15" i="32"/>
  <c r="I15" i="32"/>
  <c r="G15" i="32"/>
  <c r="E15" i="32"/>
  <c r="O14" i="32"/>
  <c r="M14" i="32"/>
  <c r="K14" i="32"/>
  <c r="I14" i="32"/>
  <c r="G14" i="32"/>
  <c r="E14" i="32"/>
  <c r="O13" i="32"/>
  <c r="M13" i="32"/>
  <c r="K13" i="32"/>
  <c r="I13" i="32"/>
  <c r="G13" i="32"/>
  <c r="E13" i="32"/>
  <c r="O12" i="32"/>
  <c r="M12" i="32"/>
  <c r="K12" i="32"/>
  <c r="I12" i="32"/>
  <c r="G12" i="32"/>
  <c r="E12" i="32"/>
  <c r="O11" i="32"/>
  <c r="M11" i="32"/>
  <c r="K11" i="32"/>
  <c r="I11" i="32"/>
  <c r="G11" i="32"/>
  <c r="E11" i="32"/>
  <c r="A11" i="32"/>
  <c r="A12" i="32" s="1"/>
  <c r="A13" i="32" s="1"/>
  <c r="A14" i="32" s="1"/>
  <c r="A15" i="32" s="1"/>
  <c r="A16" i="32" s="1"/>
  <c r="A17" i="32" s="1"/>
  <c r="A18" i="32" s="1"/>
  <c r="A19" i="32" s="1"/>
  <c r="O10" i="32"/>
  <c r="M10" i="32"/>
  <c r="K10" i="32"/>
  <c r="I10" i="32"/>
  <c r="G10" i="32"/>
  <c r="E10" i="32"/>
  <c r="N9" i="32"/>
  <c r="O9" i="32" s="1"/>
  <c r="L9" i="32"/>
  <c r="M9" i="32" s="1"/>
  <c r="J9" i="32"/>
  <c r="K9" i="32" s="1"/>
  <c r="H9" i="32"/>
  <c r="I9" i="32" s="1"/>
  <c r="F9" i="32"/>
  <c r="G9" i="32" s="1"/>
  <c r="D9" i="32"/>
  <c r="E9" i="32" s="1"/>
  <c r="N7" i="32"/>
  <c r="O7" i="32" s="1"/>
  <c r="L7" i="32"/>
  <c r="M7" i="32" s="1"/>
  <c r="J7" i="32"/>
  <c r="K7" i="32" s="1"/>
  <c r="H7" i="32"/>
  <c r="I7" i="32" s="1"/>
  <c r="F7" i="32"/>
  <c r="G7" i="32" s="1"/>
  <c r="D7" i="32"/>
  <c r="E7" i="32" s="1"/>
  <c r="O5" i="32"/>
  <c r="M5" i="32"/>
  <c r="K5" i="32"/>
  <c r="I5" i="32"/>
  <c r="G5" i="32"/>
  <c r="E5" i="32"/>
  <c r="M36" i="31"/>
  <c r="K36" i="31"/>
  <c r="I36" i="31"/>
  <c r="G36" i="31"/>
  <c r="E36" i="31"/>
  <c r="M35" i="31"/>
  <c r="K35" i="31"/>
  <c r="I35" i="31"/>
  <c r="G35" i="31"/>
  <c r="E35" i="31"/>
  <c r="M34" i="31"/>
  <c r="K34" i="31"/>
  <c r="I34" i="31"/>
  <c r="G34" i="31"/>
  <c r="E34" i="31"/>
  <c r="M33" i="31"/>
  <c r="K33" i="31"/>
  <c r="I33" i="31"/>
  <c r="G33" i="31"/>
  <c r="E33" i="31"/>
  <c r="M32" i="31"/>
  <c r="K32" i="31"/>
  <c r="I32" i="31"/>
  <c r="G32" i="31"/>
  <c r="E32" i="31"/>
  <c r="M31" i="31"/>
  <c r="K31" i="31"/>
  <c r="I31" i="31"/>
  <c r="G31" i="31"/>
  <c r="E31" i="31"/>
  <c r="M30" i="31"/>
  <c r="K30" i="31"/>
  <c r="I30" i="31"/>
  <c r="G30" i="31"/>
  <c r="E30" i="31"/>
  <c r="M29" i="31"/>
  <c r="K29" i="31"/>
  <c r="I29" i="31"/>
  <c r="G29" i="31"/>
  <c r="E29" i="31"/>
  <c r="M28" i="31"/>
  <c r="K28" i="31"/>
  <c r="I28" i="31"/>
  <c r="G28" i="31"/>
  <c r="E28" i="31"/>
  <c r="M27" i="31"/>
  <c r="K27" i="31"/>
  <c r="I27" i="31"/>
  <c r="G27" i="31"/>
  <c r="E27" i="31"/>
  <c r="M26" i="31"/>
  <c r="K26" i="31"/>
  <c r="I26" i="31"/>
  <c r="G26" i="31"/>
  <c r="E26" i="31"/>
  <c r="M25" i="31"/>
  <c r="K25" i="31"/>
  <c r="I25" i="31"/>
  <c r="G25" i="31"/>
  <c r="E25" i="31"/>
  <c r="A25" i="3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M24" i="31"/>
  <c r="K24" i="31"/>
  <c r="I24" i="31"/>
  <c r="G24" i="31"/>
  <c r="E24" i="31"/>
  <c r="L23" i="31"/>
  <c r="M23" i="31" s="1"/>
  <c r="J23" i="31"/>
  <c r="K23" i="31" s="1"/>
  <c r="H23" i="31"/>
  <c r="I23" i="31" s="1"/>
  <c r="F23" i="31"/>
  <c r="G23" i="31" s="1"/>
  <c r="D23" i="31"/>
  <c r="E23" i="31" s="1"/>
  <c r="M21" i="31"/>
  <c r="K21" i="31"/>
  <c r="I21" i="31"/>
  <c r="G21" i="31"/>
  <c r="E21" i="31"/>
  <c r="M20" i="31"/>
  <c r="K20" i="31"/>
  <c r="I20" i="31"/>
  <c r="G20" i="31"/>
  <c r="E20" i="31"/>
  <c r="M19" i="31"/>
  <c r="K19" i="31"/>
  <c r="I19" i="31"/>
  <c r="G19" i="31"/>
  <c r="E19" i="31"/>
  <c r="M18" i="31"/>
  <c r="K18" i="31"/>
  <c r="I18" i="31"/>
  <c r="G18" i="31"/>
  <c r="E18" i="31"/>
  <c r="M17" i="31"/>
  <c r="K17" i="31"/>
  <c r="I17" i="31"/>
  <c r="G17" i="31"/>
  <c r="E17" i="31"/>
  <c r="M16" i="31"/>
  <c r="K16" i="31"/>
  <c r="I16" i="31"/>
  <c r="G16" i="31"/>
  <c r="E16" i="31"/>
  <c r="M15" i="31"/>
  <c r="K15" i="31"/>
  <c r="I15" i="31"/>
  <c r="G15" i="31"/>
  <c r="E15" i="31"/>
  <c r="M14" i="31"/>
  <c r="K14" i="31"/>
  <c r="I14" i="31"/>
  <c r="G14" i="31"/>
  <c r="E14" i="31"/>
  <c r="M13" i="31"/>
  <c r="K13" i="31"/>
  <c r="I13" i="31"/>
  <c r="G13" i="31"/>
  <c r="E13" i="31"/>
  <c r="M12" i="31"/>
  <c r="K12" i="31"/>
  <c r="I12" i="31"/>
  <c r="G12" i="31"/>
  <c r="E12" i="31"/>
  <c r="M11" i="31"/>
  <c r="K11" i="31"/>
  <c r="I11" i="31"/>
  <c r="G11" i="31"/>
  <c r="E11" i="31"/>
  <c r="A11" i="3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M10" i="31"/>
  <c r="K10" i="31"/>
  <c r="I10" i="31"/>
  <c r="G10" i="31"/>
  <c r="E10" i="31"/>
  <c r="L9" i="31"/>
  <c r="M9" i="31" s="1"/>
  <c r="J9" i="31"/>
  <c r="K9" i="31" s="1"/>
  <c r="H9" i="31"/>
  <c r="I9" i="31" s="1"/>
  <c r="F9" i="31"/>
  <c r="G9" i="31" s="1"/>
  <c r="D9" i="31"/>
  <c r="E9" i="31" s="1"/>
  <c r="L7" i="31"/>
  <c r="M7" i="31" s="1"/>
  <c r="J7" i="31"/>
  <c r="K7" i="31" s="1"/>
  <c r="H7" i="31"/>
  <c r="I7" i="31" s="1"/>
  <c r="F7" i="31"/>
  <c r="G7" i="31" s="1"/>
  <c r="D7" i="31"/>
  <c r="E7" i="31" s="1"/>
  <c r="M5" i="31"/>
  <c r="K5" i="31"/>
  <c r="I5" i="31"/>
  <c r="G5" i="31"/>
  <c r="E5" i="31"/>
  <c r="O34" i="30"/>
  <c r="M34" i="30"/>
  <c r="K34" i="30"/>
  <c r="I34" i="30"/>
  <c r="G34" i="30"/>
  <c r="E34" i="30"/>
  <c r="O33" i="30"/>
  <c r="M33" i="30"/>
  <c r="K33" i="30"/>
  <c r="I33" i="30"/>
  <c r="G33" i="30"/>
  <c r="E33" i="30"/>
  <c r="O32" i="30"/>
  <c r="M32" i="30"/>
  <c r="K32" i="30"/>
  <c r="I32" i="30"/>
  <c r="G32" i="30"/>
  <c r="E32" i="30"/>
  <c r="O31" i="30"/>
  <c r="M31" i="30"/>
  <c r="K31" i="30"/>
  <c r="I31" i="30"/>
  <c r="G31" i="30"/>
  <c r="E31" i="30"/>
  <c r="O30" i="30"/>
  <c r="M30" i="30"/>
  <c r="K30" i="30"/>
  <c r="I30" i="30"/>
  <c r="G30" i="30"/>
  <c r="E30" i="30"/>
  <c r="O29" i="30"/>
  <c r="M29" i="30"/>
  <c r="K29" i="30"/>
  <c r="I29" i="30"/>
  <c r="G29" i="30"/>
  <c r="E29" i="30"/>
  <c r="O28" i="30"/>
  <c r="M28" i="30"/>
  <c r="K28" i="30"/>
  <c r="I28" i="30"/>
  <c r="G28" i="30"/>
  <c r="E28" i="30"/>
  <c r="O27" i="30"/>
  <c r="M27" i="30"/>
  <c r="K27" i="30"/>
  <c r="I27" i="30"/>
  <c r="G27" i="30"/>
  <c r="E27" i="30"/>
  <c r="O26" i="30"/>
  <c r="M26" i="30"/>
  <c r="K26" i="30"/>
  <c r="I26" i="30"/>
  <c r="G26" i="30"/>
  <c r="E26" i="30"/>
  <c r="O25" i="30"/>
  <c r="M25" i="30"/>
  <c r="K25" i="30"/>
  <c r="I25" i="30"/>
  <c r="G25" i="30"/>
  <c r="E25" i="30"/>
  <c r="O24" i="30"/>
  <c r="M24" i="30"/>
  <c r="K24" i="30"/>
  <c r="I24" i="30"/>
  <c r="G24" i="30"/>
  <c r="E24" i="30"/>
  <c r="O23" i="30"/>
  <c r="M23" i="30"/>
  <c r="K23" i="30"/>
  <c r="I23" i="30"/>
  <c r="G23" i="30"/>
  <c r="E23" i="30"/>
  <c r="A23" i="30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O22" i="30"/>
  <c r="M22" i="30"/>
  <c r="K22" i="30"/>
  <c r="I22" i="30"/>
  <c r="G22" i="30"/>
  <c r="E22" i="30"/>
  <c r="N21" i="30"/>
  <c r="O21" i="30" s="1"/>
  <c r="L21" i="30"/>
  <c r="M21" i="30" s="1"/>
  <c r="J21" i="30"/>
  <c r="K21" i="30" s="1"/>
  <c r="H21" i="30"/>
  <c r="I21" i="30" s="1"/>
  <c r="F21" i="30"/>
  <c r="G21" i="30" s="1"/>
  <c r="D21" i="30"/>
  <c r="E21" i="30" s="1"/>
  <c r="O19" i="30"/>
  <c r="M19" i="30"/>
  <c r="K19" i="30"/>
  <c r="I19" i="30"/>
  <c r="G19" i="30"/>
  <c r="E19" i="30"/>
  <c r="O18" i="30"/>
  <c r="M18" i="30"/>
  <c r="K18" i="30"/>
  <c r="I18" i="30"/>
  <c r="G18" i="30"/>
  <c r="E18" i="30"/>
  <c r="O17" i="30"/>
  <c r="M17" i="30"/>
  <c r="K17" i="30"/>
  <c r="I17" i="30"/>
  <c r="G17" i="30"/>
  <c r="E17" i="30"/>
  <c r="O16" i="30"/>
  <c r="M16" i="30"/>
  <c r="K16" i="30"/>
  <c r="I16" i="30"/>
  <c r="G16" i="30"/>
  <c r="E16" i="30"/>
  <c r="O15" i="30"/>
  <c r="M15" i="30"/>
  <c r="K15" i="30"/>
  <c r="I15" i="30"/>
  <c r="G15" i="30"/>
  <c r="E15" i="30"/>
  <c r="O14" i="30"/>
  <c r="M14" i="30"/>
  <c r="K14" i="30"/>
  <c r="I14" i="30"/>
  <c r="G14" i="30"/>
  <c r="E14" i="30"/>
  <c r="O13" i="30"/>
  <c r="M13" i="30"/>
  <c r="K13" i="30"/>
  <c r="I13" i="30"/>
  <c r="G13" i="30"/>
  <c r="E13" i="30"/>
  <c r="O12" i="30"/>
  <c r="M12" i="30"/>
  <c r="K12" i="30"/>
  <c r="I12" i="30"/>
  <c r="G12" i="30"/>
  <c r="E12" i="30"/>
  <c r="O11" i="30"/>
  <c r="M11" i="30"/>
  <c r="K11" i="30"/>
  <c r="I11" i="30"/>
  <c r="G11" i="30"/>
  <c r="E11" i="30"/>
  <c r="A11" i="30"/>
  <c r="A12" i="30" s="1"/>
  <c r="A13" i="30" s="1"/>
  <c r="A14" i="30" s="1"/>
  <c r="A15" i="30" s="1"/>
  <c r="A16" i="30" s="1"/>
  <c r="A17" i="30" s="1"/>
  <c r="A18" i="30" s="1"/>
  <c r="A19" i="30" s="1"/>
  <c r="O10" i="30"/>
  <c r="M10" i="30"/>
  <c r="K10" i="30"/>
  <c r="I10" i="30"/>
  <c r="G10" i="30"/>
  <c r="E10" i="30"/>
  <c r="N9" i="30"/>
  <c r="O9" i="30" s="1"/>
  <c r="L9" i="30"/>
  <c r="M9" i="30" s="1"/>
  <c r="J9" i="30"/>
  <c r="K9" i="30" s="1"/>
  <c r="H9" i="30"/>
  <c r="I9" i="30" s="1"/>
  <c r="F9" i="30"/>
  <c r="G9" i="30" s="1"/>
  <c r="D9" i="30"/>
  <c r="E9" i="30" s="1"/>
  <c r="N7" i="30"/>
  <c r="O7" i="30" s="1"/>
  <c r="L7" i="30"/>
  <c r="M7" i="30" s="1"/>
  <c r="J7" i="30"/>
  <c r="K7" i="30" s="1"/>
  <c r="H7" i="30"/>
  <c r="I7" i="30" s="1"/>
  <c r="F7" i="30"/>
  <c r="G7" i="30" s="1"/>
  <c r="D7" i="30"/>
  <c r="E7" i="30" s="1"/>
  <c r="O5" i="30"/>
  <c r="M5" i="30"/>
  <c r="K5" i="30"/>
  <c r="I5" i="30"/>
  <c r="G5" i="30"/>
  <c r="E5" i="30"/>
  <c r="A25" i="29"/>
  <c r="A26" i="29" s="1"/>
  <c r="A27" i="29" s="1"/>
  <c r="A28" i="29" s="1"/>
  <c r="A29" i="29" s="1"/>
  <c r="A30" i="29" s="1"/>
  <c r="A31" i="29" s="1"/>
  <c r="A32" i="29" s="1"/>
  <c r="R23" i="29"/>
  <c r="P23" i="29"/>
  <c r="N23" i="29"/>
  <c r="L23" i="29"/>
  <c r="J23" i="29"/>
  <c r="H23" i="29"/>
  <c r="F23" i="29"/>
  <c r="D23" i="29"/>
  <c r="A11" i="29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R9" i="29"/>
  <c r="P9" i="29"/>
  <c r="N9" i="29"/>
  <c r="L9" i="29"/>
  <c r="J9" i="29"/>
  <c r="H9" i="29"/>
  <c r="F9" i="29"/>
  <c r="D9" i="29"/>
  <c r="R7" i="29"/>
  <c r="P7" i="29"/>
  <c r="N7" i="29"/>
  <c r="L7" i="29"/>
  <c r="J7" i="29"/>
  <c r="H7" i="29"/>
  <c r="F7" i="29"/>
  <c r="D7" i="29"/>
  <c r="R5" i="29"/>
  <c r="P5" i="29"/>
  <c r="N5" i="29"/>
  <c r="L5" i="29"/>
  <c r="J5" i="29"/>
  <c r="H5" i="29"/>
  <c r="F5" i="29"/>
  <c r="D5" i="29"/>
  <c r="M34" i="28"/>
  <c r="K34" i="28"/>
  <c r="I34" i="28"/>
  <c r="G34" i="28"/>
  <c r="E34" i="28"/>
  <c r="M33" i="28"/>
  <c r="K33" i="28"/>
  <c r="I33" i="28"/>
  <c r="G33" i="28"/>
  <c r="E33" i="28"/>
  <c r="M32" i="28"/>
  <c r="K32" i="28"/>
  <c r="I32" i="28"/>
  <c r="G32" i="28"/>
  <c r="E32" i="28"/>
  <c r="M31" i="28"/>
  <c r="K31" i="28"/>
  <c r="I31" i="28"/>
  <c r="G31" i="28"/>
  <c r="E31" i="28"/>
  <c r="M30" i="28"/>
  <c r="K30" i="28"/>
  <c r="I30" i="28"/>
  <c r="G30" i="28"/>
  <c r="E30" i="28"/>
  <c r="M29" i="28"/>
  <c r="K29" i="28"/>
  <c r="I29" i="28"/>
  <c r="G29" i="28"/>
  <c r="E29" i="28"/>
  <c r="M28" i="28"/>
  <c r="K28" i="28"/>
  <c r="I28" i="28"/>
  <c r="G28" i="28"/>
  <c r="E28" i="28"/>
  <c r="M27" i="28"/>
  <c r="K27" i="28"/>
  <c r="I27" i="28"/>
  <c r="G27" i="28"/>
  <c r="E27" i="28"/>
  <c r="M26" i="28"/>
  <c r="K26" i="28"/>
  <c r="I26" i="28"/>
  <c r="G26" i="28"/>
  <c r="E26" i="28"/>
  <c r="M25" i="28"/>
  <c r="K25" i="28"/>
  <c r="I25" i="28"/>
  <c r="G25" i="28"/>
  <c r="E25" i="28"/>
  <c r="M24" i="28"/>
  <c r="K24" i="28"/>
  <c r="I24" i="28"/>
  <c r="G24" i="28"/>
  <c r="E24" i="28"/>
  <c r="M23" i="28"/>
  <c r="K23" i="28"/>
  <c r="I23" i="28"/>
  <c r="G23" i="28"/>
  <c r="E23" i="28"/>
  <c r="A23" i="28"/>
  <c r="A24" i="28" s="1"/>
  <c r="A25" i="28" s="1"/>
  <c r="A26" i="28" s="1"/>
  <c r="A27" i="28" s="1"/>
  <c r="A28" i="28" s="1"/>
  <c r="A29" i="28" s="1"/>
  <c r="A30" i="28" s="1"/>
  <c r="A31" i="28" s="1"/>
  <c r="A32" i="28" s="1"/>
  <c r="A33" i="28" s="1"/>
  <c r="A34" i="28" s="1"/>
  <c r="M22" i="28"/>
  <c r="K22" i="28"/>
  <c r="I22" i="28"/>
  <c r="G22" i="28"/>
  <c r="E22" i="28"/>
  <c r="L21" i="28"/>
  <c r="M21" i="28" s="1"/>
  <c r="J21" i="28"/>
  <c r="K21" i="28" s="1"/>
  <c r="H21" i="28"/>
  <c r="I21" i="28" s="1"/>
  <c r="F21" i="28"/>
  <c r="G21" i="28" s="1"/>
  <c r="D21" i="28"/>
  <c r="E21" i="28" s="1"/>
  <c r="M19" i="28"/>
  <c r="K19" i="28"/>
  <c r="I19" i="28"/>
  <c r="G19" i="28"/>
  <c r="E19" i="28"/>
  <c r="M18" i="28"/>
  <c r="K18" i="28"/>
  <c r="I18" i="28"/>
  <c r="G18" i="28"/>
  <c r="E18" i="28"/>
  <c r="M17" i="28"/>
  <c r="K17" i="28"/>
  <c r="I17" i="28"/>
  <c r="G17" i="28"/>
  <c r="E17" i="28"/>
  <c r="M16" i="28"/>
  <c r="K16" i="28"/>
  <c r="I16" i="28"/>
  <c r="G16" i="28"/>
  <c r="E16" i="28"/>
  <c r="M15" i="28"/>
  <c r="K15" i="28"/>
  <c r="I15" i="28"/>
  <c r="G15" i="28"/>
  <c r="E15" i="28"/>
  <c r="M14" i="28"/>
  <c r="K14" i="28"/>
  <c r="I14" i="28"/>
  <c r="G14" i="28"/>
  <c r="E14" i="28"/>
  <c r="M13" i="28"/>
  <c r="K13" i="28"/>
  <c r="I13" i="28"/>
  <c r="G13" i="28"/>
  <c r="E13" i="28"/>
  <c r="M12" i="28"/>
  <c r="K12" i="28"/>
  <c r="I12" i="28"/>
  <c r="G12" i="28"/>
  <c r="E12" i="28"/>
  <c r="M11" i="28"/>
  <c r="K11" i="28"/>
  <c r="I11" i="28"/>
  <c r="G11" i="28"/>
  <c r="E11" i="28"/>
  <c r="A11" i="28"/>
  <c r="A12" i="28" s="1"/>
  <c r="A13" i="28" s="1"/>
  <c r="A14" i="28" s="1"/>
  <c r="A15" i="28" s="1"/>
  <c r="A16" i="28" s="1"/>
  <c r="A17" i="28" s="1"/>
  <c r="A18" i="28" s="1"/>
  <c r="A19" i="28" s="1"/>
  <c r="M10" i="28"/>
  <c r="K10" i="28"/>
  <c r="I10" i="28"/>
  <c r="G10" i="28"/>
  <c r="E10" i="28"/>
  <c r="L9" i="28"/>
  <c r="M9" i="28" s="1"/>
  <c r="J9" i="28"/>
  <c r="K9" i="28" s="1"/>
  <c r="H9" i="28"/>
  <c r="I9" i="28" s="1"/>
  <c r="F9" i="28"/>
  <c r="G9" i="28" s="1"/>
  <c r="D9" i="28"/>
  <c r="E9" i="28" s="1"/>
  <c r="L7" i="28"/>
  <c r="M7" i="28" s="1"/>
  <c r="J7" i="28"/>
  <c r="K7" i="28" s="1"/>
  <c r="H7" i="28"/>
  <c r="I7" i="28" s="1"/>
  <c r="F7" i="28"/>
  <c r="G7" i="28" s="1"/>
  <c r="D7" i="28"/>
  <c r="E7" i="28" s="1"/>
  <c r="M5" i="28"/>
  <c r="K5" i="28"/>
  <c r="I5" i="28"/>
  <c r="G5" i="28"/>
  <c r="E5" i="28"/>
  <c r="J31" i="27"/>
  <c r="H31" i="27"/>
  <c r="F31" i="27"/>
  <c r="H30" i="27"/>
  <c r="F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A27" i="27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J26" i="27"/>
  <c r="H26" i="27"/>
  <c r="F26" i="27"/>
  <c r="D26" i="27"/>
  <c r="L25" i="27"/>
  <c r="J25" i="27"/>
  <c r="H25" i="27"/>
  <c r="F25" i="27"/>
  <c r="D25" i="27"/>
  <c r="F22" i="27"/>
  <c r="H21" i="27"/>
  <c r="F21" i="27"/>
  <c r="D21" i="27"/>
  <c r="D20" i="27"/>
  <c r="D19" i="27"/>
  <c r="H18" i="27"/>
  <c r="D18" i="27"/>
  <c r="D17" i="27"/>
  <c r="J16" i="27"/>
  <c r="D16" i="27"/>
  <c r="J15" i="27"/>
  <c r="D15" i="27"/>
  <c r="J14" i="27"/>
  <c r="H14" i="27"/>
  <c r="F14" i="27"/>
  <c r="D14" i="27"/>
  <c r="J13" i="27"/>
  <c r="F13" i="27"/>
  <c r="D13" i="27"/>
  <c r="J12" i="27"/>
  <c r="F12" i="27"/>
  <c r="D12" i="27"/>
  <c r="J11" i="27"/>
  <c r="F11" i="27"/>
  <c r="D11" i="27"/>
  <c r="A11" i="27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J10" i="27"/>
  <c r="L9" i="27"/>
  <c r="J9" i="27"/>
  <c r="H9" i="27"/>
  <c r="F9" i="27"/>
  <c r="D9" i="27"/>
  <c r="L7" i="27"/>
  <c r="J7" i="27"/>
  <c r="H7" i="27"/>
  <c r="F7" i="27"/>
  <c r="D7" i="27"/>
  <c r="L5" i="27"/>
  <c r="J5" i="27"/>
  <c r="H5" i="27"/>
  <c r="F5" i="27"/>
  <c r="D5" i="27"/>
  <c r="I34" i="26"/>
  <c r="G34" i="26"/>
  <c r="E34" i="26"/>
  <c r="I33" i="26"/>
  <c r="G33" i="26"/>
  <c r="E33" i="26"/>
  <c r="I32" i="26"/>
  <c r="G32" i="26"/>
  <c r="E32" i="26"/>
  <c r="I31" i="26"/>
  <c r="G31" i="26"/>
  <c r="E31" i="26"/>
  <c r="I30" i="26"/>
  <c r="G30" i="26"/>
  <c r="E30" i="26"/>
  <c r="I29" i="26"/>
  <c r="G29" i="26"/>
  <c r="E29" i="26"/>
  <c r="I28" i="26"/>
  <c r="G28" i="26"/>
  <c r="D28" i="26"/>
  <c r="E28" i="26" s="1"/>
  <c r="I27" i="26"/>
  <c r="G27" i="26"/>
  <c r="E27" i="26"/>
  <c r="I26" i="26"/>
  <c r="G26" i="26"/>
  <c r="D26" i="26"/>
  <c r="E26" i="26" s="1"/>
  <c r="I25" i="26"/>
  <c r="G25" i="26"/>
  <c r="E25" i="26"/>
  <c r="I24" i="26"/>
  <c r="G24" i="26"/>
  <c r="E24" i="26"/>
  <c r="I23" i="26"/>
  <c r="G23" i="26"/>
  <c r="E23" i="26"/>
  <c r="A23" i="26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I22" i="26"/>
  <c r="G22" i="26"/>
  <c r="E22" i="26"/>
  <c r="H21" i="26"/>
  <c r="I21" i="26" s="1"/>
  <c r="F21" i="26"/>
  <c r="G21" i="26" s="1"/>
  <c r="D21" i="26"/>
  <c r="E21" i="26" s="1"/>
  <c r="I19" i="26"/>
  <c r="G19" i="26"/>
  <c r="E19" i="26"/>
  <c r="I18" i="26"/>
  <c r="G18" i="26"/>
  <c r="E18" i="26"/>
  <c r="I17" i="26"/>
  <c r="G17" i="26"/>
  <c r="E17" i="26"/>
  <c r="I16" i="26"/>
  <c r="G16" i="26"/>
  <c r="E16" i="26"/>
  <c r="I15" i="26"/>
  <c r="G15" i="26"/>
  <c r="E15" i="26"/>
  <c r="I14" i="26"/>
  <c r="G14" i="26"/>
  <c r="E14" i="26"/>
  <c r="I13" i="26"/>
  <c r="G13" i="26"/>
  <c r="E13" i="26"/>
  <c r="I12" i="26"/>
  <c r="G12" i="26"/>
  <c r="E12" i="26"/>
  <c r="I11" i="26"/>
  <c r="G11" i="26"/>
  <c r="E11" i="26"/>
  <c r="A11" i="26"/>
  <c r="A12" i="26" s="1"/>
  <c r="A13" i="26" s="1"/>
  <c r="A14" i="26" s="1"/>
  <c r="A15" i="26" s="1"/>
  <c r="A16" i="26" s="1"/>
  <c r="A17" i="26" s="1"/>
  <c r="A18" i="26" s="1"/>
  <c r="A19" i="26" s="1"/>
  <c r="I10" i="26"/>
  <c r="G10" i="26"/>
  <c r="E10" i="26"/>
  <c r="H9" i="26"/>
  <c r="I9" i="26" s="1"/>
  <c r="F9" i="26"/>
  <c r="G9" i="26" s="1"/>
  <c r="D9" i="26"/>
  <c r="E9" i="26" s="1"/>
  <c r="H7" i="26"/>
  <c r="I7" i="26" s="1"/>
  <c r="F7" i="26"/>
  <c r="G7" i="26" s="1"/>
  <c r="D7" i="26"/>
  <c r="E7" i="26" s="1"/>
  <c r="I5" i="26"/>
  <c r="G5" i="26"/>
  <c r="E5" i="26"/>
  <c r="C7" i="25"/>
  <c r="C6" i="25"/>
  <c r="I34" i="24"/>
  <c r="G34" i="24"/>
  <c r="I33" i="24"/>
  <c r="G33" i="24"/>
  <c r="I32" i="24"/>
  <c r="G32" i="24"/>
  <c r="I31" i="24"/>
  <c r="G31" i="24"/>
  <c r="I30" i="24"/>
  <c r="G30" i="24"/>
  <c r="I29" i="24"/>
  <c r="G29" i="24"/>
  <c r="I28" i="24"/>
  <c r="G28" i="24"/>
  <c r="I27" i="24"/>
  <c r="G27" i="24"/>
  <c r="I26" i="24"/>
  <c r="G26" i="24"/>
  <c r="I25" i="24"/>
  <c r="G25" i="24"/>
  <c r="I24" i="24"/>
  <c r="G24" i="24"/>
  <c r="I23" i="24"/>
  <c r="G23" i="24"/>
  <c r="A23" i="24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I22" i="24"/>
  <c r="G22" i="24"/>
  <c r="H21" i="24"/>
  <c r="I21" i="24" s="1"/>
  <c r="F21" i="24"/>
  <c r="G21" i="24" s="1"/>
  <c r="D21" i="24"/>
  <c r="I19" i="24"/>
  <c r="G19" i="24"/>
  <c r="I18" i="24"/>
  <c r="G18" i="24"/>
  <c r="I17" i="24"/>
  <c r="G17" i="24"/>
  <c r="I16" i="24"/>
  <c r="G16" i="24"/>
  <c r="I15" i="24"/>
  <c r="G15" i="24"/>
  <c r="I14" i="24"/>
  <c r="G14" i="24"/>
  <c r="I13" i="24"/>
  <c r="G13" i="24"/>
  <c r="I12" i="24"/>
  <c r="G12" i="24"/>
  <c r="I11" i="24"/>
  <c r="G11" i="24"/>
  <c r="A11" i="24"/>
  <c r="A12" i="24" s="1"/>
  <c r="A13" i="24" s="1"/>
  <c r="A14" i="24" s="1"/>
  <c r="A15" i="24" s="1"/>
  <c r="A16" i="24" s="1"/>
  <c r="A17" i="24" s="1"/>
  <c r="A18" i="24" s="1"/>
  <c r="A19" i="24" s="1"/>
  <c r="I10" i="24"/>
  <c r="G10" i="24"/>
  <c r="H9" i="24"/>
  <c r="I9" i="24" s="1"/>
  <c r="F9" i="24"/>
  <c r="G9" i="24" s="1"/>
  <c r="D9" i="24"/>
  <c r="H7" i="24"/>
  <c r="I7" i="24" s="1"/>
  <c r="F7" i="24"/>
  <c r="G7" i="24" s="1"/>
  <c r="D7" i="24"/>
  <c r="I5" i="24"/>
  <c r="G5" i="24"/>
  <c r="D5" i="24"/>
  <c r="C8" i="23"/>
  <c r="C7" i="23"/>
  <c r="C6" i="23"/>
  <c r="B18" i="22"/>
  <c r="B4" i="22"/>
  <c r="B3" i="22"/>
  <c r="Q36" i="21"/>
  <c r="O36" i="21"/>
  <c r="M36" i="21"/>
  <c r="K36" i="21"/>
  <c r="E36" i="21"/>
  <c r="Q35" i="21"/>
  <c r="O35" i="21"/>
  <c r="M35" i="21"/>
  <c r="K35" i="21"/>
  <c r="E35" i="21"/>
  <c r="Q34" i="21"/>
  <c r="O34" i="21"/>
  <c r="M34" i="21"/>
  <c r="K34" i="21"/>
  <c r="E34" i="21"/>
  <c r="Q33" i="21"/>
  <c r="O33" i="21"/>
  <c r="M33" i="21"/>
  <c r="K33" i="21"/>
  <c r="E33" i="21"/>
  <c r="Q32" i="21"/>
  <c r="O32" i="21"/>
  <c r="M32" i="21"/>
  <c r="K32" i="21"/>
  <c r="E32" i="21"/>
  <c r="Q31" i="21"/>
  <c r="O31" i="21"/>
  <c r="M31" i="21"/>
  <c r="K31" i="21"/>
  <c r="E31" i="21"/>
  <c r="Q30" i="21"/>
  <c r="O30" i="21"/>
  <c r="M30" i="21"/>
  <c r="K30" i="21"/>
  <c r="E30" i="21"/>
  <c r="Q29" i="21"/>
  <c r="O29" i="21"/>
  <c r="M29" i="21"/>
  <c r="K29" i="21"/>
  <c r="E29" i="21"/>
  <c r="Q28" i="21"/>
  <c r="O28" i="21"/>
  <c r="M28" i="21"/>
  <c r="K28" i="21"/>
  <c r="E28" i="21"/>
  <c r="Q27" i="21"/>
  <c r="O27" i="21"/>
  <c r="M27" i="21"/>
  <c r="K27" i="21"/>
  <c r="E27" i="21"/>
  <c r="Q26" i="21"/>
  <c r="O26" i="21"/>
  <c r="M26" i="21"/>
  <c r="K26" i="21"/>
  <c r="E26" i="21"/>
  <c r="Q25" i="21"/>
  <c r="O25" i="21"/>
  <c r="M25" i="21"/>
  <c r="K25" i="21"/>
  <c r="E25" i="21"/>
  <c r="Q24" i="21"/>
  <c r="O24" i="21"/>
  <c r="M24" i="21"/>
  <c r="K24" i="21"/>
  <c r="E24" i="21"/>
  <c r="A24" i="2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Q23" i="21"/>
  <c r="O23" i="21"/>
  <c r="M23" i="21"/>
  <c r="K23" i="21"/>
  <c r="E23" i="21"/>
  <c r="P22" i="21"/>
  <c r="Q22" i="21" s="1"/>
  <c r="N22" i="21"/>
  <c r="O22" i="21" s="1"/>
  <c r="L22" i="21"/>
  <c r="M22" i="21" s="1"/>
  <c r="J22" i="21"/>
  <c r="K22" i="21" s="1"/>
  <c r="H22" i="21"/>
  <c r="F22" i="21"/>
  <c r="D22" i="21"/>
  <c r="E22" i="21" s="1"/>
  <c r="Q20" i="21"/>
  <c r="O20" i="21"/>
  <c r="M20" i="21"/>
  <c r="K20" i="21"/>
  <c r="E20" i="21"/>
  <c r="Q19" i="21"/>
  <c r="O19" i="21"/>
  <c r="M19" i="21"/>
  <c r="K19" i="21"/>
  <c r="E19" i="21"/>
  <c r="Q18" i="21"/>
  <c r="O18" i="21"/>
  <c r="M18" i="21"/>
  <c r="K18" i="21"/>
  <c r="E18" i="21"/>
  <c r="Q17" i="21"/>
  <c r="O17" i="21"/>
  <c r="M17" i="21"/>
  <c r="K17" i="21"/>
  <c r="E17" i="21"/>
  <c r="Q16" i="21"/>
  <c r="O16" i="21"/>
  <c r="M16" i="21"/>
  <c r="K16" i="21"/>
  <c r="E16" i="21"/>
  <c r="Q15" i="21"/>
  <c r="O15" i="21"/>
  <c r="M15" i="21"/>
  <c r="K15" i="21"/>
  <c r="E15" i="21"/>
  <c r="Q14" i="21"/>
  <c r="O14" i="21"/>
  <c r="M14" i="21"/>
  <c r="K14" i="21"/>
  <c r="E14" i="21"/>
  <c r="Q13" i="21"/>
  <c r="O13" i="21"/>
  <c r="M13" i="21"/>
  <c r="K13" i="21"/>
  <c r="E13" i="21"/>
  <c r="Q12" i="21"/>
  <c r="O12" i="21"/>
  <c r="M12" i="21"/>
  <c r="K12" i="21"/>
  <c r="E12" i="21"/>
  <c r="Q11" i="21"/>
  <c r="O11" i="21"/>
  <c r="M11" i="21"/>
  <c r="K11" i="21"/>
  <c r="E11" i="21"/>
  <c r="A11" i="21"/>
  <c r="A12" i="21" s="1"/>
  <c r="A13" i="21" s="1"/>
  <c r="A14" i="21" s="1"/>
  <c r="A15" i="21" s="1"/>
  <c r="A16" i="21" s="1"/>
  <c r="A17" i="21" s="1"/>
  <c r="A18" i="21" s="1"/>
  <c r="A19" i="21" s="1"/>
  <c r="A20" i="21" s="1"/>
  <c r="Q10" i="21"/>
  <c r="O10" i="21"/>
  <c r="M10" i="21"/>
  <c r="K10" i="21"/>
  <c r="E10" i="21"/>
  <c r="P9" i="21"/>
  <c r="Q9" i="21" s="1"/>
  <c r="N9" i="21"/>
  <c r="O9" i="21" s="1"/>
  <c r="L9" i="21"/>
  <c r="M9" i="21" s="1"/>
  <c r="J9" i="21"/>
  <c r="K9" i="21" s="1"/>
  <c r="H9" i="21"/>
  <c r="F9" i="21"/>
  <c r="D9" i="21"/>
  <c r="E9" i="21" s="1"/>
  <c r="P7" i="21"/>
  <c r="Q7" i="21" s="1"/>
  <c r="N7" i="21"/>
  <c r="O7" i="21" s="1"/>
  <c r="L7" i="21"/>
  <c r="M7" i="21" s="1"/>
  <c r="J7" i="21"/>
  <c r="K7" i="21" s="1"/>
  <c r="H7" i="21"/>
  <c r="F7" i="21"/>
  <c r="D7" i="21"/>
  <c r="E7" i="21" s="1"/>
  <c r="Q5" i="21"/>
  <c r="O5" i="21"/>
  <c r="M5" i="21"/>
  <c r="K5" i="21"/>
  <c r="H5" i="21"/>
  <c r="F5" i="21"/>
  <c r="E5" i="21"/>
  <c r="K36" i="20"/>
  <c r="I36" i="20"/>
  <c r="G36" i="20"/>
  <c r="E36" i="20"/>
  <c r="K35" i="20"/>
  <c r="I35" i="20"/>
  <c r="G35" i="20"/>
  <c r="E35" i="20"/>
  <c r="K34" i="20"/>
  <c r="I34" i="20"/>
  <c r="G34" i="20"/>
  <c r="E34" i="20"/>
  <c r="K33" i="20"/>
  <c r="I33" i="20"/>
  <c r="G33" i="20"/>
  <c r="E33" i="20"/>
  <c r="K32" i="20"/>
  <c r="I32" i="20"/>
  <c r="G32" i="20"/>
  <c r="E32" i="20"/>
  <c r="K31" i="20"/>
  <c r="I31" i="20"/>
  <c r="G31" i="20"/>
  <c r="E31" i="20"/>
  <c r="K30" i="20"/>
  <c r="I30" i="20"/>
  <c r="G30" i="20"/>
  <c r="E30" i="20"/>
  <c r="K29" i="20"/>
  <c r="I29" i="20"/>
  <c r="G29" i="20"/>
  <c r="E29" i="20"/>
  <c r="K28" i="20"/>
  <c r="I28" i="20"/>
  <c r="G28" i="20"/>
  <c r="E28" i="20"/>
  <c r="K27" i="20"/>
  <c r="I27" i="20"/>
  <c r="G27" i="20"/>
  <c r="E27" i="20"/>
  <c r="K26" i="20"/>
  <c r="I26" i="20"/>
  <c r="G26" i="20"/>
  <c r="E26" i="20"/>
  <c r="K25" i="20"/>
  <c r="I25" i="20"/>
  <c r="G25" i="20"/>
  <c r="E25" i="20"/>
  <c r="K24" i="20"/>
  <c r="I24" i="20"/>
  <c r="G24" i="20"/>
  <c r="E24" i="20"/>
  <c r="A24" i="20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K23" i="20"/>
  <c r="I23" i="20"/>
  <c r="G23" i="20"/>
  <c r="E23" i="20"/>
  <c r="J22" i="20"/>
  <c r="K22" i="20" s="1"/>
  <c r="H22" i="20"/>
  <c r="I22" i="20" s="1"/>
  <c r="F22" i="20"/>
  <c r="G22" i="20" s="1"/>
  <c r="D22" i="20"/>
  <c r="E22" i="20" s="1"/>
  <c r="K20" i="20"/>
  <c r="I20" i="20"/>
  <c r="G20" i="20"/>
  <c r="E20" i="20"/>
  <c r="K19" i="20"/>
  <c r="I19" i="20"/>
  <c r="G19" i="20"/>
  <c r="E19" i="20"/>
  <c r="K18" i="20"/>
  <c r="I18" i="20"/>
  <c r="G18" i="20"/>
  <c r="E18" i="20"/>
  <c r="K17" i="20"/>
  <c r="I17" i="20"/>
  <c r="G17" i="20"/>
  <c r="E17" i="20"/>
  <c r="K16" i="20"/>
  <c r="I16" i="20"/>
  <c r="G16" i="20"/>
  <c r="E16" i="20"/>
  <c r="K15" i="20"/>
  <c r="I15" i="20"/>
  <c r="G15" i="20"/>
  <c r="E15" i="20"/>
  <c r="K14" i="20"/>
  <c r="I14" i="20"/>
  <c r="G14" i="20"/>
  <c r="E14" i="20"/>
  <c r="K13" i="20"/>
  <c r="I13" i="20"/>
  <c r="G13" i="20"/>
  <c r="E13" i="20"/>
  <c r="K12" i="20"/>
  <c r="I12" i="20"/>
  <c r="G12" i="20"/>
  <c r="E12" i="20"/>
  <c r="K11" i="20"/>
  <c r="I11" i="20"/>
  <c r="G11" i="20"/>
  <c r="E11" i="20"/>
  <c r="A11" i="20"/>
  <c r="A12" i="20" s="1"/>
  <c r="A13" i="20" s="1"/>
  <c r="A14" i="20" s="1"/>
  <c r="A15" i="20" s="1"/>
  <c r="A16" i="20" s="1"/>
  <c r="A17" i="20" s="1"/>
  <c r="A18" i="20" s="1"/>
  <c r="A19" i="20" s="1"/>
  <c r="A20" i="20" s="1"/>
  <c r="K10" i="20"/>
  <c r="I10" i="20"/>
  <c r="G10" i="20"/>
  <c r="E10" i="20"/>
  <c r="J9" i="20"/>
  <c r="K9" i="20" s="1"/>
  <c r="H9" i="20"/>
  <c r="I9" i="20" s="1"/>
  <c r="F9" i="20"/>
  <c r="G9" i="20" s="1"/>
  <c r="D9" i="20"/>
  <c r="E9" i="20" s="1"/>
  <c r="J7" i="20"/>
  <c r="K7" i="20" s="1"/>
  <c r="H7" i="20"/>
  <c r="I7" i="20" s="1"/>
  <c r="F7" i="20"/>
  <c r="G7" i="20" s="1"/>
  <c r="D7" i="20"/>
  <c r="E7" i="20" s="1"/>
  <c r="K5" i="20"/>
  <c r="I5" i="20"/>
  <c r="G5" i="20"/>
  <c r="E5" i="20"/>
  <c r="H24" i="19"/>
  <c r="F24" i="19"/>
  <c r="D24" i="19"/>
  <c r="H23" i="19"/>
  <c r="F23" i="19"/>
  <c r="D23" i="19"/>
  <c r="A23" i="19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H22" i="19"/>
  <c r="F22" i="19"/>
  <c r="D22" i="19"/>
  <c r="H21" i="19"/>
  <c r="F21" i="19"/>
  <c r="D21" i="19"/>
  <c r="H11" i="19"/>
  <c r="F11" i="19"/>
  <c r="A11" i="19"/>
  <c r="A12" i="19" s="1"/>
  <c r="A13" i="19" s="1"/>
  <c r="A14" i="19" s="1"/>
  <c r="A15" i="19" s="1"/>
  <c r="A16" i="19" s="1"/>
  <c r="A17" i="19" s="1"/>
  <c r="A18" i="19" s="1"/>
  <c r="A19" i="19" s="1"/>
  <c r="H10" i="19"/>
  <c r="F10" i="19"/>
  <c r="D10" i="19"/>
  <c r="H9" i="19"/>
  <c r="F9" i="19"/>
  <c r="D9" i="19"/>
  <c r="H7" i="19"/>
  <c r="F7" i="19"/>
  <c r="D7" i="19"/>
  <c r="H5" i="19"/>
  <c r="F5" i="19"/>
  <c r="D5" i="19"/>
  <c r="K41" i="18"/>
  <c r="I41" i="18"/>
  <c r="G41" i="18"/>
  <c r="E41" i="18"/>
  <c r="K40" i="18"/>
  <c r="I40" i="18"/>
  <c r="G40" i="18"/>
  <c r="E40" i="18"/>
  <c r="K39" i="18"/>
  <c r="I39" i="18"/>
  <c r="G39" i="18"/>
  <c r="E39" i="18"/>
  <c r="K38" i="18"/>
  <c r="I38" i="18"/>
  <c r="G38" i="18"/>
  <c r="E38" i="18"/>
  <c r="K37" i="18"/>
  <c r="I37" i="18"/>
  <c r="G37" i="18"/>
  <c r="E37" i="18"/>
  <c r="K36" i="18"/>
  <c r="I36" i="18"/>
  <c r="G36" i="18"/>
  <c r="E36" i="18"/>
  <c r="K35" i="18"/>
  <c r="I35" i="18"/>
  <c r="G35" i="18"/>
  <c r="E35" i="18"/>
  <c r="K34" i="18"/>
  <c r="I34" i="18"/>
  <c r="G34" i="18"/>
  <c r="E34" i="18"/>
  <c r="K33" i="18"/>
  <c r="I33" i="18"/>
  <c r="G33" i="18"/>
  <c r="E33" i="18"/>
  <c r="K32" i="18"/>
  <c r="I32" i="18"/>
  <c r="G32" i="18"/>
  <c r="E32" i="18"/>
  <c r="K31" i="18"/>
  <c r="I31" i="18"/>
  <c r="G31" i="18"/>
  <c r="E31" i="18"/>
  <c r="K30" i="18"/>
  <c r="I30" i="18"/>
  <c r="G30" i="18"/>
  <c r="E30" i="18"/>
  <c r="A30" i="18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K29" i="18"/>
  <c r="I29" i="18"/>
  <c r="G29" i="18"/>
  <c r="E29" i="18"/>
  <c r="J28" i="18"/>
  <c r="K28" i="18" s="1"/>
  <c r="H28" i="18"/>
  <c r="I28" i="18" s="1"/>
  <c r="F28" i="18"/>
  <c r="G28" i="18" s="1"/>
  <c r="D28" i="18"/>
  <c r="E28" i="18" s="1"/>
  <c r="K26" i="18"/>
  <c r="I26" i="18"/>
  <c r="G26" i="18"/>
  <c r="E26" i="18"/>
  <c r="K25" i="18"/>
  <c r="I25" i="18"/>
  <c r="G25" i="18"/>
  <c r="E25" i="18"/>
  <c r="K24" i="18"/>
  <c r="I24" i="18"/>
  <c r="G24" i="18"/>
  <c r="E24" i="18"/>
  <c r="K23" i="18"/>
  <c r="I23" i="18"/>
  <c r="G23" i="18"/>
  <c r="E23" i="18"/>
  <c r="K22" i="18"/>
  <c r="I22" i="18"/>
  <c r="G22" i="18"/>
  <c r="E22" i="18"/>
  <c r="K21" i="18"/>
  <c r="I21" i="18"/>
  <c r="G21" i="18"/>
  <c r="E21" i="18"/>
  <c r="K20" i="18"/>
  <c r="I20" i="18"/>
  <c r="G20" i="18"/>
  <c r="E20" i="18"/>
  <c r="K19" i="18"/>
  <c r="I19" i="18"/>
  <c r="G19" i="18"/>
  <c r="E19" i="18"/>
  <c r="K18" i="18"/>
  <c r="I18" i="18"/>
  <c r="G18" i="18"/>
  <c r="E18" i="18"/>
  <c r="K17" i="18"/>
  <c r="I17" i="18"/>
  <c r="G17" i="18"/>
  <c r="E17" i="18"/>
  <c r="K16" i="18"/>
  <c r="I16" i="18"/>
  <c r="G16" i="18"/>
  <c r="E16" i="18"/>
  <c r="K15" i="18"/>
  <c r="I15" i="18"/>
  <c r="G15" i="18"/>
  <c r="E15" i="18"/>
  <c r="K14" i="18"/>
  <c r="I14" i="18"/>
  <c r="G14" i="18"/>
  <c r="E14" i="18"/>
  <c r="K13" i="18"/>
  <c r="I13" i="18"/>
  <c r="G13" i="18"/>
  <c r="E13" i="18"/>
  <c r="K12" i="18"/>
  <c r="I12" i="18"/>
  <c r="G12" i="18"/>
  <c r="E12" i="18"/>
  <c r="K11" i="18"/>
  <c r="I11" i="18"/>
  <c r="G11" i="18"/>
  <c r="E11" i="18"/>
  <c r="A11" i="18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K10" i="18"/>
  <c r="I10" i="18"/>
  <c r="G10" i="18"/>
  <c r="E10" i="18"/>
  <c r="J9" i="18"/>
  <c r="K9" i="18" s="1"/>
  <c r="H9" i="18"/>
  <c r="I9" i="18" s="1"/>
  <c r="F9" i="18"/>
  <c r="G9" i="18" s="1"/>
  <c r="D9" i="18"/>
  <c r="E9" i="18" s="1"/>
  <c r="J7" i="18"/>
  <c r="K7" i="18" s="1"/>
  <c r="H7" i="18"/>
  <c r="I7" i="18" s="1"/>
  <c r="F7" i="18"/>
  <c r="G7" i="18" s="1"/>
  <c r="D7" i="18"/>
  <c r="E7" i="18" s="1"/>
  <c r="K5" i="18"/>
  <c r="I5" i="18"/>
  <c r="G5" i="18"/>
  <c r="E5" i="18"/>
  <c r="H32" i="17"/>
  <c r="F32" i="17"/>
  <c r="D32" i="17"/>
  <c r="H31" i="17"/>
  <c r="F31" i="17"/>
  <c r="D31" i="17"/>
  <c r="H30" i="17"/>
  <c r="F30" i="17"/>
  <c r="D30" i="17"/>
  <c r="H29" i="17"/>
  <c r="F29" i="17"/>
  <c r="D29" i="17"/>
  <c r="H28" i="17"/>
  <c r="F28" i="17"/>
  <c r="D28" i="17"/>
  <c r="H27" i="17"/>
  <c r="F27" i="17"/>
  <c r="D27" i="17"/>
  <c r="H26" i="17"/>
  <c r="F26" i="17"/>
  <c r="D26" i="17"/>
  <c r="H25" i="17"/>
  <c r="F25" i="17"/>
  <c r="D25" i="17"/>
  <c r="H24" i="17"/>
  <c r="F24" i="17"/>
  <c r="D24" i="17"/>
  <c r="H23" i="17"/>
  <c r="F23" i="17"/>
  <c r="D23" i="17"/>
  <c r="A23" i="17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H22" i="17"/>
  <c r="F22" i="17"/>
  <c r="D22" i="17"/>
  <c r="H21" i="17"/>
  <c r="F21" i="17"/>
  <c r="D21" i="17"/>
  <c r="F19" i="17"/>
  <c r="F18" i="17"/>
  <c r="D18" i="17"/>
  <c r="F17" i="17"/>
  <c r="D17" i="17"/>
  <c r="F16" i="17"/>
  <c r="D16" i="17"/>
  <c r="F15" i="17"/>
  <c r="D15" i="17"/>
  <c r="F14" i="17"/>
  <c r="D14" i="17"/>
  <c r="F13" i="17"/>
  <c r="D13" i="17"/>
  <c r="F12" i="17"/>
  <c r="D12" i="17"/>
  <c r="F11" i="17"/>
  <c r="D11" i="17"/>
  <c r="A11" i="17"/>
  <c r="A12" i="17" s="1"/>
  <c r="A13" i="17" s="1"/>
  <c r="A14" i="17" s="1"/>
  <c r="A15" i="17" s="1"/>
  <c r="A16" i="17" s="1"/>
  <c r="A17" i="17" s="1"/>
  <c r="A18" i="17" s="1"/>
  <c r="A19" i="17" s="1"/>
  <c r="F10" i="17"/>
  <c r="D10" i="17"/>
  <c r="H9" i="17"/>
  <c r="F9" i="17"/>
  <c r="D9" i="17"/>
  <c r="H7" i="17"/>
  <c r="F7" i="17"/>
  <c r="D7" i="17"/>
  <c r="H5" i="17"/>
  <c r="F5" i="17"/>
  <c r="D5" i="17"/>
  <c r="C32" i="15"/>
  <c r="C31" i="15"/>
  <c r="C30" i="15"/>
  <c r="C29" i="15"/>
  <c r="C28" i="15"/>
  <c r="AG23" i="15"/>
  <c r="AE23" i="15"/>
  <c r="AC23" i="15"/>
  <c r="Y23" i="15"/>
  <c r="W23" i="15"/>
  <c r="U23" i="15"/>
  <c r="S23" i="15"/>
  <c r="Q23" i="15"/>
  <c r="O23" i="15"/>
  <c r="K23" i="15"/>
  <c r="I23" i="15"/>
  <c r="G23" i="15"/>
  <c r="E23" i="15"/>
  <c r="AG22" i="15"/>
  <c r="AE22" i="15"/>
  <c r="AC22" i="15"/>
  <c r="Y22" i="15"/>
  <c r="W22" i="15"/>
  <c r="U22" i="15"/>
  <c r="S22" i="15"/>
  <c r="Q22" i="15"/>
  <c r="O22" i="15"/>
  <c r="K22" i="15"/>
  <c r="I22" i="15"/>
  <c r="G22" i="15"/>
  <c r="E22" i="15"/>
  <c r="AG21" i="15"/>
  <c r="AE21" i="15"/>
  <c r="AC21" i="15"/>
  <c r="Y21" i="15"/>
  <c r="W21" i="15"/>
  <c r="U21" i="15"/>
  <c r="S21" i="15"/>
  <c r="Q21" i="15"/>
  <c r="O21" i="15"/>
  <c r="K21" i="15"/>
  <c r="I21" i="15"/>
  <c r="G21" i="15"/>
  <c r="E21" i="15"/>
  <c r="AG20" i="15"/>
  <c r="AE20" i="15"/>
  <c r="AC20" i="15"/>
  <c r="Y20" i="15"/>
  <c r="W20" i="15"/>
  <c r="U20" i="15"/>
  <c r="S20" i="15"/>
  <c r="Q20" i="15"/>
  <c r="O20" i="15"/>
  <c r="K20" i="15"/>
  <c r="I20" i="15"/>
  <c r="G20" i="15"/>
  <c r="E20" i="15"/>
  <c r="AG19" i="15"/>
  <c r="AE19" i="15"/>
  <c r="AC19" i="15"/>
  <c r="Y19" i="15"/>
  <c r="W19" i="15"/>
  <c r="U19" i="15"/>
  <c r="S19" i="15"/>
  <c r="Q19" i="15"/>
  <c r="O19" i="15"/>
  <c r="K19" i="15"/>
  <c r="I19" i="15"/>
  <c r="G19" i="15"/>
  <c r="E19" i="15"/>
  <c r="AG18" i="15"/>
  <c r="AC18" i="15"/>
  <c r="AA18" i="15"/>
  <c r="W18" i="15"/>
  <c r="S18" i="15"/>
  <c r="O18" i="15"/>
  <c r="K18" i="15"/>
  <c r="E18" i="15"/>
  <c r="AG17" i="15"/>
  <c r="AE17" i="15"/>
  <c r="AC17" i="15"/>
  <c r="AA17" i="15"/>
  <c r="Y17" i="15"/>
  <c r="W17" i="15"/>
  <c r="U17" i="15"/>
  <c r="S17" i="15"/>
  <c r="O17" i="15"/>
  <c r="K17" i="15"/>
  <c r="I17" i="15"/>
  <c r="G17" i="15"/>
  <c r="E17" i="15"/>
  <c r="AG16" i="15"/>
  <c r="AC16" i="15"/>
  <c r="AA16" i="15"/>
  <c r="W16" i="15"/>
  <c r="S16" i="15"/>
  <c r="O16" i="15"/>
  <c r="K16" i="15"/>
  <c r="E16" i="15"/>
  <c r="AG15" i="15"/>
  <c r="AC15" i="15"/>
  <c r="AA15" i="15"/>
  <c r="W15" i="15"/>
  <c r="S15" i="15"/>
  <c r="O15" i="15"/>
  <c r="K15" i="15"/>
  <c r="E15" i="15"/>
  <c r="AG13" i="15"/>
  <c r="AC13" i="15"/>
  <c r="AA13" i="15"/>
  <c r="W13" i="15"/>
  <c r="S13" i="15"/>
  <c r="O13" i="15"/>
  <c r="K13" i="15"/>
  <c r="E13" i="15"/>
  <c r="AG12" i="15"/>
  <c r="AC12" i="15"/>
  <c r="AA12" i="15"/>
  <c r="W12" i="15"/>
  <c r="S12" i="15"/>
  <c r="O12" i="15"/>
  <c r="K12" i="15"/>
  <c r="E12" i="15"/>
  <c r="AG11" i="15"/>
  <c r="AE11" i="15"/>
  <c r="AC11" i="15"/>
  <c r="AA11" i="15"/>
  <c r="Y11" i="15"/>
  <c r="W11" i="15"/>
  <c r="U11" i="15"/>
  <c r="S11" i="15"/>
  <c r="O11" i="15"/>
  <c r="K11" i="15"/>
  <c r="I11" i="15"/>
  <c r="G11" i="15"/>
  <c r="E11" i="15"/>
  <c r="AG10" i="15"/>
  <c r="AE10" i="15"/>
  <c r="AC10" i="15"/>
  <c r="AA10" i="15"/>
  <c r="Y10" i="15"/>
  <c r="W10" i="15"/>
  <c r="U10" i="15"/>
  <c r="S10" i="15"/>
  <c r="O10" i="15"/>
  <c r="K10" i="15"/>
  <c r="I10" i="15"/>
  <c r="G10" i="15"/>
  <c r="E10" i="15"/>
  <c r="AG8" i="15"/>
  <c r="AE8" i="15"/>
  <c r="AC8" i="15"/>
  <c r="AA8" i="15"/>
  <c r="Y8" i="15"/>
  <c r="W8" i="15"/>
  <c r="U8" i="15"/>
  <c r="S8" i="15"/>
  <c r="O8" i="15"/>
  <c r="K8" i="15"/>
  <c r="I8" i="15"/>
  <c r="G8" i="15"/>
  <c r="E8" i="15"/>
  <c r="AG6" i="15"/>
  <c r="AC6" i="15"/>
  <c r="AA6" i="15"/>
  <c r="W6" i="15"/>
  <c r="S6" i="15"/>
  <c r="O6" i="15"/>
  <c r="K6" i="15"/>
  <c r="E6" i="15"/>
  <c r="O4" i="15"/>
  <c r="I34" i="14"/>
  <c r="G34" i="14"/>
  <c r="E34" i="14"/>
  <c r="I33" i="14"/>
  <c r="G33" i="14"/>
  <c r="E33" i="14"/>
  <c r="I32" i="14"/>
  <c r="G32" i="14"/>
  <c r="E32" i="14"/>
  <c r="I31" i="14"/>
  <c r="G31" i="14"/>
  <c r="E31" i="14"/>
  <c r="I30" i="14"/>
  <c r="G30" i="14"/>
  <c r="E30" i="14"/>
  <c r="I29" i="14"/>
  <c r="G29" i="14"/>
  <c r="E29" i="14"/>
  <c r="I28" i="14"/>
  <c r="G28" i="14"/>
  <c r="E28" i="14"/>
  <c r="I27" i="14"/>
  <c r="G27" i="14"/>
  <c r="E27" i="14"/>
  <c r="I26" i="14"/>
  <c r="G26" i="14"/>
  <c r="E26" i="14"/>
  <c r="I25" i="14"/>
  <c r="G25" i="14"/>
  <c r="E25" i="14"/>
  <c r="I24" i="14"/>
  <c r="G24" i="14"/>
  <c r="E24" i="14"/>
  <c r="I23" i="14"/>
  <c r="G23" i="14"/>
  <c r="E23" i="14"/>
  <c r="A23" i="14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I22" i="14"/>
  <c r="G22" i="14"/>
  <c r="E22" i="14"/>
  <c r="H21" i="14"/>
  <c r="I21" i="14" s="1"/>
  <c r="F21" i="14"/>
  <c r="G21" i="14" s="1"/>
  <c r="D21" i="14"/>
  <c r="E21" i="14" s="1"/>
  <c r="I19" i="14"/>
  <c r="G19" i="14"/>
  <c r="E19" i="14"/>
  <c r="I18" i="14"/>
  <c r="G18" i="14"/>
  <c r="E18" i="14"/>
  <c r="I17" i="14"/>
  <c r="G17" i="14"/>
  <c r="E17" i="14"/>
  <c r="I16" i="14"/>
  <c r="G16" i="14"/>
  <c r="E16" i="14"/>
  <c r="I15" i="14"/>
  <c r="G15" i="14"/>
  <c r="E15" i="14"/>
  <c r="I14" i="14"/>
  <c r="G14" i="14"/>
  <c r="E14" i="14"/>
  <c r="I13" i="14"/>
  <c r="G13" i="14"/>
  <c r="E13" i="14"/>
  <c r="I12" i="14"/>
  <c r="G12" i="14"/>
  <c r="E12" i="14"/>
  <c r="I11" i="14"/>
  <c r="G11" i="14"/>
  <c r="E11" i="14"/>
  <c r="A11" i="14"/>
  <c r="A12" i="14" s="1"/>
  <c r="A13" i="14" s="1"/>
  <c r="A14" i="14" s="1"/>
  <c r="A15" i="14" s="1"/>
  <c r="A16" i="14" s="1"/>
  <c r="A17" i="14" s="1"/>
  <c r="A18" i="14" s="1"/>
  <c r="A19" i="14" s="1"/>
  <c r="I10" i="14"/>
  <c r="G10" i="14"/>
  <c r="E10" i="14"/>
  <c r="H9" i="14"/>
  <c r="I9" i="14" s="1"/>
  <c r="F9" i="14"/>
  <c r="G9" i="14" s="1"/>
  <c r="D9" i="14"/>
  <c r="E9" i="14" s="1"/>
  <c r="H7" i="14"/>
  <c r="I7" i="14" s="1"/>
  <c r="F7" i="14"/>
  <c r="G7" i="14" s="1"/>
  <c r="D7" i="14"/>
  <c r="E7" i="14" s="1"/>
  <c r="I5" i="14"/>
  <c r="G5" i="14"/>
  <c r="E5" i="14"/>
  <c r="I34" i="13"/>
  <c r="G34" i="13"/>
  <c r="E34" i="13"/>
  <c r="I33" i="13"/>
  <c r="G33" i="13"/>
  <c r="E33" i="13"/>
  <c r="I32" i="13"/>
  <c r="G32" i="13"/>
  <c r="E32" i="13"/>
  <c r="I31" i="13"/>
  <c r="G31" i="13"/>
  <c r="E31" i="13"/>
  <c r="I30" i="13"/>
  <c r="G30" i="13"/>
  <c r="E30" i="13"/>
  <c r="I29" i="13"/>
  <c r="G29" i="13"/>
  <c r="E29" i="13"/>
  <c r="I28" i="13"/>
  <c r="G28" i="13"/>
  <c r="E28" i="13"/>
  <c r="I27" i="13"/>
  <c r="G27" i="13"/>
  <c r="E27" i="13"/>
  <c r="I26" i="13"/>
  <c r="G26" i="13"/>
  <c r="E26" i="13"/>
  <c r="I25" i="13"/>
  <c r="G25" i="13"/>
  <c r="E25" i="13"/>
  <c r="I24" i="13"/>
  <c r="G24" i="13"/>
  <c r="E24" i="13"/>
  <c r="I23" i="13"/>
  <c r="G23" i="13"/>
  <c r="E23" i="13"/>
  <c r="A23" i="13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I22" i="13"/>
  <c r="G22" i="13"/>
  <c r="E22" i="13"/>
  <c r="H21" i="13"/>
  <c r="I21" i="13" s="1"/>
  <c r="F21" i="13"/>
  <c r="G21" i="13" s="1"/>
  <c r="D21" i="13"/>
  <c r="E21" i="13" s="1"/>
  <c r="I19" i="13"/>
  <c r="G19" i="13"/>
  <c r="E19" i="13"/>
  <c r="I18" i="13"/>
  <c r="G18" i="13"/>
  <c r="E18" i="13"/>
  <c r="I17" i="13"/>
  <c r="G17" i="13"/>
  <c r="E17" i="13"/>
  <c r="I16" i="13"/>
  <c r="G16" i="13"/>
  <c r="E16" i="13"/>
  <c r="I15" i="13"/>
  <c r="G15" i="13"/>
  <c r="E15" i="13"/>
  <c r="I14" i="13"/>
  <c r="G14" i="13"/>
  <c r="E14" i="13"/>
  <c r="I13" i="13"/>
  <c r="G13" i="13"/>
  <c r="E13" i="13"/>
  <c r="I12" i="13"/>
  <c r="G12" i="13"/>
  <c r="E12" i="13"/>
  <c r="I11" i="13"/>
  <c r="G11" i="13"/>
  <c r="E11" i="13"/>
  <c r="A11" i="13"/>
  <c r="A12" i="13" s="1"/>
  <c r="A13" i="13" s="1"/>
  <c r="A14" i="13" s="1"/>
  <c r="A15" i="13" s="1"/>
  <c r="A16" i="13" s="1"/>
  <c r="A17" i="13" s="1"/>
  <c r="A18" i="13" s="1"/>
  <c r="A19" i="13" s="1"/>
  <c r="I10" i="13"/>
  <c r="G10" i="13"/>
  <c r="E10" i="13"/>
  <c r="H9" i="13"/>
  <c r="I9" i="13" s="1"/>
  <c r="F9" i="13"/>
  <c r="G9" i="13" s="1"/>
  <c r="D9" i="13"/>
  <c r="E9" i="13" s="1"/>
  <c r="H7" i="13"/>
  <c r="I7" i="13" s="1"/>
  <c r="F7" i="13"/>
  <c r="G7" i="13" s="1"/>
  <c r="D7" i="13"/>
  <c r="E7" i="13" s="1"/>
  <c r="I5" i="13"/>
  <c r="G5" i="13"/>
  <c r="E5" i="13"/>
  <c r="I34" i="12"/>
  <c r="G34" i="12"/>
  <c r="E34" i="12"/>
  <c r="I33" i="12"/>
  <c r="G33" i="12"/>
  <c r="E33" i="12"/>
  <c r="I32" i="12"/>
  <c r="G32" i="12"/>
  <c r="E32" i="12"/>
  <c r="I31" i="12"/>
  <c r="G31" i="12"/>
  <c r="E31" i="12"/>
  <c r="I30" i="12"/>
  <c r="G30" i="12"/>
  <c r="E30" i="12"/>
  <c r="I29" i="12"/>
  <c r="G29" i="12"/>
  <c r="E29" i="12"/>
  <c r="I28" i="12"/>
  <c r="G28" i="12"/>
  <c r="E28" i="12"/>
  <c r="I27" i="12"/>
  <c r="G27" i="12"/>
  <c r="E27" i="12"/>
  <c r="I26" i="12"/>
  <c r="G26" i="12"/>
  <c r="E26" i="12"/>
  <c r="I25" i="12"/>
  <c r="G25" i="12"/>
  <c r="E25" i="12"/>
  <c r="I24" i="12"/>
  <c r="G24" i="12"/>
  <c r="E24" i="12"/>
  <c r="I23" i="12"/>
  <c r="G23" i="12"/>
  <c r="E23" i="12"/>
  <c r="A23" i="12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I22" i="12"/>
  <c r="G22" i="12"/>
  <c r="E22" i="12"/>
  <c r="H21" i="12"/>
  <c r="I21" i="12" s="1"/>
  <c r="F21" i="12"/>
  <c r="G21" i="12" s="1"/>
  <c r="D21" i="12"/>
  <c r="E21" i="12" s="1"/>
  <c r="I19" i="12"/>
  <c r="G19" i="12"/>
  <c r="E19" i="12"/>
  <c r="I18" i="12"/>
  <c r="G18" i="12"/>
  <c r="E18" i="12"/>
  <c r="I17" i="12"/>
  <c r="G17" i="12"/>
  <c r="E17" i="12"/>
  <c r="I16" i="12"/>
  <c r="G16" i="12"/>
  <c r="E16" i="12"/>
  <c r="I15" i="12"/>
  <c r="G15" i="12"/>
  <c r="E15" i="12"/>
  <c r="I14" i="12"/>
  <c r="G14" i="12"/>
  <c r="E14" i="12"/>
  <c r="I13" i="12"/>
  <c r="G13" i="12"/>
  <c r="E13" i="12"/>
  <c r="I12" i="12"/>
  <c r="G12" i="12"/>
  <c r="E12" i="12"/>
  <c r="I11" i="12"/>
  <c r="G11" i="12"/>
  <c r="E11" i="12"/>
  <c r="A11" i="12"/>
  <c r="A12" i="12" s="1"/>
  <c r="A13" i="12" s="1"/>
  <c r="A14" i="12" s="1"/>
  <c r="A15" i="12" s="1"/>
  <c r="A16" i="12" s="1"/>
  <c r="A17" i="12" s="1"/>
  <c r="A18" i="12" s="1"/>
  <c r="A19" i="12" s="1"/>
  <c r="I10" i="12"/>
  <c r="G10" i="12"/>
  <c r="E10" i="12"/>
  <c r="H9" i="12"/>
  <c r="I9" i="12" s="1"/>
  <c r="F9" i="12"/>
  <c r="G9" i="12" s="1"/>
  <c r="D9" i="12"/>
  <c r="E9" i="12" s="1"/>
  <c r="H7" i="12"/>
  <c r="I7" i="12" s="1"/>
  <c r="F7" i="12"/>
  <c r="G7" i="12" s="1"/>
  <c r="D7" i="12"/>
  <c r="E7" i="12" s="1"/>
  <c r="I5" i="12"/>
  <c r="G5" i="12"/>
  <c r="E5" i="12"/>
  <c r="I34" i="11"/>
  <c r="G34" i="11"/>
  <c r="E34" i="11"/>
  <c r="I33" i="11"/>
  <c r="G33" i="11"/>
  <c r="E33" i="11"/>
  <c r="I32" i="11"/>
  <c r="G32" i="11"/>
  <c r="E32" i="11"/>
  <c r="I31" i="11"/>
  <c r="G31" i="11"/>
  <c r="E31" i="11"/>
  <c r="I30" i="11"/>
  <c r="G30" i="11"/>
  <c r="E30" i="11"/>
  <c r="I29" i="11"/>
  <c r="G29" i="11"/>
  <c r="E29" i="11"/>
  <c r="I28" i="11"/>
  <c r="G28" i="11"/>
  <c r="E28" i="11"/>
  <c r="I27" i="11"/>
  <c r="G27" i="11"/>
  <c r="E27" i="11"/>
  <c r="I26" i="11"/>
  <c r="G26" i="11"/>
  <c r="E26" i="11"/>
  <c r="I25" i="11"/>
  <c r="G25" i="11"/>
  <c r="E25" i="11"/>
  <c r="I24" i="11"/>
  <c r="G24" i="11"/>
  <c r="E24" i="11"/>
  <c r="I23" i="11"/>
  <c r="G23" i="11"/>
  <c r="E23" i="11"/>
  <c r="A23" i="1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I22" i="11"/>
  <c r="G22" i="11"/>
  <c r="E22" i="11"/>
  <c r="H21" i="11"/>
  <c r="I21" i="11" s="1"/>
  <c r="F21" i="11"/>
  <c r="G21" i="11" s="1"/>
  <c r="D21" i="11"/>
  <c r="E21" i="11" s="1"/>
  <c r="I19" i="11"/>
  <c r="G19" i="11"/>
  <c r="E19" i="11"/>
  <c r="I18" i="11"/>
  <c r="G18" i="11"/>
  <c r="E18" i="11"/>
  <c r="I17" i="11"/>
  <c r="G17" i="11"/>
  <c r="E17" i="11"/>
  <c r="I16" i="11"/>
  <c r="G16" i="11"/>
  <c r="E16" i="11"/>
  <c r="I15" i="11"/>
  <c r="G15" i="11"/>
  <c r="E15" i="11"/>
  <c r="I14" i="11"/>
  <c r="G14" i="11"/>
  <c r="E14" i="11"/>
  <c r="I13" i="11"/>
  <c r="G13" i="11"/>
  <c r="E13" i="11"/>
  <c r="I12" i="11"/>
  <c r="G12" i="11"/>
  <c r="E12" i="11"/>
  <c r="I11" i="11"/>
  <c r="G11" i="11"/>
  <c r="E11" i="11"/>
  <c r="A11" i="11"/>
  <c r="A12" i="11" s="1"/>
  <c r="A13" i="11" s="1"/>
  <c r="A14" i="11" s="1"/>
  <c r="A15" i="11" s="1"/>
  <c r="A16" i="11" s="1"/>
  <c r="A17" i="11" s="1"/>
  <c r="A18" i="11" s="1"/>
  <c r="A19" i="11" s="1"/>
  <c r="I10" i="11"/>
  <c r="G10" i="11"/>
  <c r="E10" i="11"/>
  <c r="H9" i="11"/>
  <c r="I9" i="11" s="1"/>
  <c r="F9" i="11"/>
  <c r="G9" i="11" s="1"/>
  <c r="D9" i="11"/>
  <c r="E9" i="11" s="1"/>
  <c r="H7" i="11"/>
  <c r="I7" i="11" s="1"/>
  <c r="F7" i="11"/>
  <c r="G7" i="11" s="1"/>
  <c r="D7" i="11"/>
  <c r="E7" i="11" s="1"/>
  <c r="I5" i="11"/>
  <c r="G5" i="11"/>
  <c r="E5" i="11"/>
  <c r="I34" i="10"/>
  <c r="G34" i="10"/>
  <c r="I33" i="10"/>
  <c r="G33" i="10"/>
  <c r="I32" i="10"/>
  <c r="G32" i="10"/>
  <c r="I31" i="10"/>
  <c r="G31" i="10"/>
  <c r="I30" i="10"/>
  <c r="G30" i="10"/>
  <c r="I29" i="10"/>
  <c r="G29" i="10"/>
  <c r="I28" i="10"/>
  <c r="G28" i="10"/>
  <c r="I27" i="10"/>
  <c r="G27" i="10"/>
  <c r="I26" i="10"/>
  <c r="G26" i="10"/>
  <c r="I25" i="10"/>
  <c r="G25" i="10"/>
  <c r="I24" i="10"/>
  <c r="G24" i="10"/>
  <c r="I23" i="10"/>
  <c r="G23" i="10"/>
  <c r="A23" i="10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I22" i="10"/>
  <c r="G22" i="10"/>
  <c r="I21" i="10"/>
  <c r="G21" i="10"/>
  <c r="D21" i="10"/>
  <c r="I19" i="10"/>
  <c r="G19" i="10"/>
  <c r="I18" i="10"/>
  <c r="G18" i="10"/>
  <c r="I17" i="10"/>
  <c r="G17" i="10"/>
  <c r="I16" i="10"/>
  <c r="G16" i="10"/>
  <c r="I15" i="10"/>
  <c r="G15" i="10"/>
  <c r="I14" i="10"/>
  <c r="G14" i="10"/>
  <c r="I13" i="10"/>
  <c r="G13" i="10"/>
  <c r="I12" i="10"/>
  <c r="G12" i="10"/>
  <c r="I11" i="10"/>
  <c r="G11" i="10"/>
  <c r="A11" i="10"/>
  <c r="A12" i="10" s="1"/>
  <c r="A13" i="10" s="1"/>
  <c r="A14" i="10" s="1"/>
  <c r="A15" i="10" s="1"/>
  <c r="A16" i="10" s="1"/>
  <c r="A17" i="10" s="1"/>
  <c r="A18" i="10" s="1"/>
  <c r="A19" i="10" s="1"/>
  <c r="I10" i="10"/>
  <c r="G10" i="10"/>
  <c r="I9" i="10"/>
  <c r="G9" i="10"/>
  <c r="D9" i="10"/>
  <c r="I7" i="10"/>
  <c r="G7" i="10"/>
  <c r="D7" i="10"/>
  <c r="I5" i="10"/>
  <c r="G5" i="10"/>
  <c r="D5" i="10"/>
  <c r="M34" i="9"/>
  <c r="K34" i="9"/>
  <c r="I34" i="9"/>
  <c r="G34" i="9"/>
  <c r="E34" i="9"/>
  <c r="M33" i="9"/>
  <c r="K33" i="9"/>
  <c r="I33" i="9"/>
  <c r="G33" i="9"/>
  <c r="E33" i="9"/>
  <c r="M32" i="9"/>
  <c r="K32" i="9"/>
  <c r="I32" i="9"/>
  <c r="G32" i="9"/>
  <c r="E32" i="9"/>
  <c r="M31" i="9"/>
  <c r="K31" i="9"/>
  <c r="I31" i="9"/>
  <c r="G31" i="9"/>
  <c r="E31" i="9"/>
  <c r="M30" i="9"/>
  <c r="K30" i="9"/>
  <c r="I30" i="9"/>
  <c r="G30" i="9"/>
  <c r="E30" i="9"/>
  <c r="M29" i="9"/>
  <c r="K29" i="9"/>
  <c r="I29" i="9"/>
  <c r="G29" i="9"/>
  <c r="E29" i="9"/>
  <c r="M28" i="9"/>
  <c r="K28" i="9"/>
  <c r="I28" i="9"/>
  <c r="G28" i="9"/>
  <c r="E28" i="9"/>
  <c r="M27" i="9"/>
  <c r="K27" i="9"/>
  <c r="I27" i="9"/>
  <c r="G27" i="9"/>
  <c r="E27" i="9"/>
  <c r="M26" i="9"/>
  <c r="K26" i="9"/>
  <c r="I26" i="9"/>
  <c r="G26" i="9"/>
  <c r="E26" i="9"/>
  <c r="M25" i="9"/>
  <c r="K25" i="9"/>
  <c r="I25" i="9"/>
  <c r="G25" i="9"/>
  <c r="E25" i="9"/>
  <c r="M24" i="9"/>
  <c r="K24" i="9"/>
  <c r="I24" i="9"/>
  <c r="G24" i="9"/>
  <c r="E24" i="9"/>
  <c r="M23" i="9"/>
  <c r="K23" i="9"/>
  <c r="I23" i="9"/>
  <c r="G23" i="9"/>
  <c r="E23" i="9"/>
  <c r="A23" i="9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M22" i="9"/>
  <c r="K22" i="9"/>
  <c r="I22" i="9"/>
  <c r="G22" i="9"/>
  <c r="E22" i="9"/>
  <c r="L21" i="9"/>
  <c r="M21" i="9" s="1"/>
  <c r="J21" i="9"/>
  <c r="K21" i="9" s="1"/>
  <c r="H21" i="9"/>
  <c r="I21" i="9" s="1"/>
  <c r="F21" i="9"/>
  <c r="G21" i="9" s="1"/>
  <c r="D21" i="9"/>
  <c r="E21" i="9" s="1"/>
  <c r="M19" i="9"/>
  <c r="K19" i="9"/>
  <c r="I19" i="9"/>
  <c r="G19" i="9"/>
  <c r="E19" i="9"/>
  <c r="M18" i="9"/>
  <c r="K18" i="9"/>
  <c r="I18" i="9"/>
  <c r="G18" i="9"/>
  <c r="E18" i="9"/>
  <c r="M17" i="9"/>
  <c r="K17" i="9"/>
  <c r="I17" i="9"/>
  <c r="G17" i="9"/>
  <c r="E17" i="9"/>
  <c r="M16" i="9"/>
  <c r="K16" i="9"/>
  <c r="I16" i="9"/>
  <c r="G16" i="9"/>
  <c r="E16" i="9"/>
  <c r="M15" i="9"/>
  <c r="K15" i="9"/>
  <c r="I15" i="9"/>
  <c r="G15" i="9"/>
  <c r="E15" i="9"/>
  <c r="M14" i="9"/>
  <c r="K14" i="9"/>
  <c r="I14" i="9"/>
  <c r="G14" i="9"/>
  <c r="E14" i="9"/>
  <c r="M13" i="9"/>
  <c r="K13" i="9"/>
  <c r="I13" i="9"/>
  <c r="G13" i="9"/>
  <c r="E13" i="9"/>
  <c r="M12" i="9"/>
  <c r="K12" i="9"/>
  <c r="I12" i="9"/>
  <c r="G12" i="9"/>
  <c r="E12" i="9"/>
  <c r="M11" i="9"/>
  <c r="K11" i="9"/>
  <c r="I11" i="9"/>
  <c r="G11" i="9"/>
  <c r="E11" i="9"/>
  <c r="A11" i="9"/>
  <c r="A12" i="9" s="1"/>
  <c r="A13" i="9" s="1"/>
  <c r="A14" i="9" s="1"/>
  <c r="A15" i="9" s="1"/>
  <c r="A16" i="9" s="1"/>
  <c r="A17" i="9" s="1"/>
  <c r="A18" i="9" s="1"/>
  <c r="A19" i="9" s="1"/>
  <c r="M10" i="9"/>
  <c r="K10" i="9"/>
  <c r="I10" i="9"/>
  <c r="G10" i="9"/>
  <c r="E10" i="9"/>
  <c r="L9" i="9"/>
  <c r="M9" i="9" s="1"/>
  <c r="J9" i="9"/>
  <c r="K9" i="9" s="1"/>
  <c r="H9" i="9"/>
  <c r="I9" i="9" s="1"/>
  <c r="F9" i="9"/>
  <c r="G9" i="9" s="1"/>
  <c r="D9" i="9"/>
  <c r="E9" i="9" s="1"/>
  <c r="L7" i="9"/>
  <c r="M7" i="9" s="1"/>
  <c r="J7" i="9"/>
  <c r="K7" i="9" s="1"/>
  <c r="H7" i="9"/>
  <c r="I7" i="9" s="1"/>
  <c r="F7" i="9"/>
  <c r="G7" i="9" s="1"/>
  <c r="D7" i="9"/>
  <c r="E7" i="9" s="1"/>
  <c r="M5" i="9"/>
  <c r="K5" i="9"/>
  <c r="I5" i="9"/>
  <c r="G5" i="9"/>
  <c r="E5" i="9"/>
  <c r="I34" i="8"/>
  <c r="G34" i="8"/>
  <c r="I33" i="8"/>
  <c r="G33" i="8"/>
  <c r="I32" i="8"/>
  <c r="G32" i="8"/>
  <c r="I31" i="8"/>
  <c r="G31" i="8"/>
  <c r="I30" i="8"/>
  <c r="G30" i="8"/>
  <c r="I29" i="8"/>
  <c r="G29" i="8"/>
  <c r="I28" i="8"/>
  <c r="G28" i="8"/>
  <c r="I27" i="8"/>
  <c r="G27" i="8"/>
  <c r="I26" i="8"/>
  <c r="G26" i="8"/>
  <c r="I25" i="8"/>
  <c r="G25" i="8"/>
  <c r="I24" i="8"/>
  <c r="G24" i="8"/>
  <c r="I23" i="8"/>
  <c r="G23" i="8"/>
  <c r="A23" i="8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I22" i="8"/>
  <c r="G22" i="8"/>
  <c r="I21" i="8"/>
  <c r="G21" i="8"/>
  <c r="D21" i="8"/>
  <c r="I19" i="8"/>
  <c r="G19" i="8"/>
  <c r="I18" i="8"/>
  <c r="G18" i="8"/>
  <c r="I17" i="8"/>
  <c r="G17" i="8"/>
  <c r="I16" i="8"/>
  <c r="G16" i="8"/>
  <c r="I15" i="8"/>
  <c r="G15" i="8"/>
  <c r="I14" i="8"/>
  <c r="G14" i="8"/>
  <c r="I13" i="8"/>
  <c r="G13" i="8"/>
  <c r="I12" i="8"/>
  <c r="G12" i="8"/>
  <c r="I11" i="8"/>
  <c r="G11" i="8"/>
  <c r="A11" i="8"/>
  <c r="A12" i="8" s="1"/>
  <c r="A13" i="8" s="1"/>
  <c r="A14" i="8" s="1"/>
  <c r="A15" i="8" s="1"/>
  <c r="A16" i="8" s="1"/>
  <c r="A17" i="8" s="1"/>
  <c r="A18" i="8" s="1"/>
  <c r="A19" i="8" s="1"/>
  <c r="I10" i="8"/>
  <c r="G10" i="8"/>
  <c r="I9" i="8"/>
  <c r="G9" i="8"/>
  <c r="D9" i="8"/>
  <c r="I7" i="8"/>
  <c r="G7" i="8"/>
  <c r="D7" i="8"/>
  <c r="I5" i="8"/>
  <c r="G5" i="8"/>
  <c r="D5" i="8"/>
  <c r="F4" i="7"/>
  <c r="D4" i="7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A23" i="5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K22" i="5"/>
  <c r="J21" i="5"/>
  <c r="K21" i="5" s="1"/>
  <c r="H21" i="5"/>
  <c r="F21" i="5"/>
  <c r="D21" i="5"/>
  <c r="K19" i="5"/>
  <c r="K18" i="5"/>
  <c r="K17" i="5"/>
  <c r="K16" i="5"/>
  <c r="K15" i="5"/>
  <c r="K14" i="5"/>
  <c r="K13" i="5"/>
  <c r="K12" i="5"/>
  <c r="K11" i="5"/>
  <c r="A11" i="5"/>
  <c r="A12" i="5" s="1"/>
  <c r="A13" i="5" s="1"/>
  <c r="A14" i="5" s="1"/>
  <c r="A15" i="5" s="1"/>
  <c r="A16" i="5" s="1"/>
  <c r="A17" i="5" s="1"/>
  <c r="A18" i="5" s="1"/>
  <c r="A19" i="5" s="1"/>
  <c r="K10" i="5"/>
  <c r="J9" i="5"/>
  <c r="K9" i="5" s="1"/>
  <c r="H9" i="5"/>
  <c r="F9" i="5"/>
  <c r="D9" i="5"/>
  <c r="J7" i="5"/>
  <c r="K7" i="5" s="1"/>
  <c r="H7" i="5"/>
  <c r="F7" i="5"/>
  <c r="D7" i="5"/>
  <c r="K5" i="5"/>
  <c r="H5" i="5"/>
  <c r="F5" i="5"/>
  <c r="D5" i="5"/>
  <c r="I34" i="4"/>
  <c r="G34" i="4"/>
  <c r="I33" i="4"/>
  <c r="G33" i="4"/>
  <c r="I32" i="4"/>
  <c r="G32" i="4"/>
  <c r="I31" i="4"/>
  <c r="G31" i="4"/>
  <c r="I30" i="4"/>
  <c r="G30" i="4"/>
  <c r="I29" i="4"/>
  <c r="G29" i="4"/>
  <c r="I28" i="4"/>
  <c r="G28" i="4"/>
  <c r="I27" i="4"/>
  <c r="G27" i="4"/>
  <c r="I26" i="4"/>
  <c r="G26" i="4"/>
  <c r="I25" i="4"/>
  <c r="G25" i="4"/>
  <c r="I24" i="4"/>
  <c r="G24" i="4"/>
  <c r="I23" i="4"/>
  <c r="G23" i="4"/>
  <c r="A23" i="4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I22" i="4"/>
  <c r="G22" i="4"/>
  <c r="I21" i="4"/>
  <c r="G21" i="4"/>
  <c r="D21" i="4"/>
  <c r="I19" i="4"/>
  <c r="G19" i="4"/>
  <c r="I18" i="4"/>
  <c r="G18" i="4"/>
  <c r="I17" i="4"/>
  <c r="G17" i="4"/>
  <c r="I16" i="4"/>
  <c r="G16" i="4"/>
  <c r="I15" i="4"/>
  <c r="G15" i="4"/>
  <c r="I14" i="4"/>
  <c r="G14" i="4"/>
  <c r="I13" i="4"/>
  <c r="G13" i="4"/>
  <c r="I12" i="4"/>
  <c r="G12" i="4"/>
  <c r="I11" i="4"/>
  <c r="G11" i="4"/>
  <c r="A11" i="4"/>
  <c r="A12" i="4" s="1"/>
  <c r="A13" i="4" s="1"/>
  <c r="A14" i="4" s="1"/>
  <c r="A15" i="4" s="1"/>
  <c r="A16" i="4" s="1"/>
  <c r="A17" i="4" s="1"/>
  <c r="A18" i="4" s="1"/>
  <c r="A19" i="4" s="1"/>
  <c r="I10" i="4"/>
  <c r="G10" i="4"/>
  <c r="I9" i="4"/>
  <c r="G9" i="4"/>
  <c r="D9" i="4"/>
  <c r="I7" i="4"/>
  <c r="G7" i="4"/>
  <c r="D7" i="4"/>
  <c r="I5" i="4"/>
  <c r="G5" i="4"/>
  <c r="D5" i="4"/>
  <c r="G28" i="3"/>
  <c r="E28" i="3"/>
  <c r="G27" i="3"/>
  <c r="E27" i="3"/>
  <c r="G26" i="3"/>
  <c r="E26" i="3"/>
  <c r="G25" i="3"/>
  <c r="E25" i="3"/>
  <c r="A25" i="3"/>
  <c r="A26" i="3" s="1"/>
  <c r="A27" i="3" s="1"/>
  <c r="A28" i="3" s="1"/>
  <c r="G24" i="3"/>
  <c r="E24" i="3"/>
  <c r="F23" i="3"/>
  <c r="G23" i="3" s="1"/>
  <c r="D23" i="3"/>
  <c r="E23" i="3" s="1"/>
  <c r="G21" i="3"/>
  <c r="E21" i="3"/>
  <c r="G20" i="3"/>
  <c r="E20" i="3"/>
  <c r="G19" i="3"/>
  <c r="E19" i="3"/>
  <c r="G18" i="3"/>
  <c r="E18" i="3"/>
  <c r="G17" i="3"/>
  <c r="E17" i="3"/>
  <c r="G16" i="3"/>
  <c r="E16" i="3"/>
  <c r="G15" i="3"/>
  <c r="E15" i="3"/>
  <c r="G14" i="3"/>
  <c r="E14" i="3"/>
  <c r="G13" i="3"/>
  <c r="E13" i="3"/>
  <c r="G12" i="3"/>
  <c r="E12" i="3"/>
  <c r="G11" i="3"/>
  <c r="E11" i="3"/>
  <c r="A11" i="3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G10" i="3"/>
  <c r="E10" i="3"/>
  <c r="F9" i="3"/>
  <c r="G9" i="3" s="1"/>
  <c r="D9" i="3"/>
  <c r="E9" i="3" s="1"/>
  <c r="F7" i="3"/>
  <c r="G7" i="3" s="1"/>
  <c r="D7" i="3"/>
  <c r="E7" i="3" s="1"/>
  <c r="G5" i="3"/>
  <c r="E5" i="3"/>
  <c r="I224" i="2"/>
  <c r="I219" i="2"/>
  <c r="I73" i="2"/>
  <c r="I66" i="2"/>
  <c r="A66" i="2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E34" i="4" l="1"/>
  <c r="E33" i="4"/>
  <c r="E32" i="4"/>
  <c r="E31" i="4"/>
  <c r="E30" i="4"/>
  <c r="E29" i="4"/>
  <c r="E28" i="4"/>
  <c r="E27" i="4"/>
  <c r="E26" i="4"/>
  <c r="E25" i="4"/>
  <c r="E24" i="4"/>
  <c r="E23" i="4"/>
  <c r="E22" i="4"/>
  <c r="E19" i="4"/>
  <c r="E18" i="4"/>
  <c r="E17" i="4"/>
  <c r="E16" i="4"/>
  <c r="E15" i="4"/>
  <c r="E14" i="4"/>
  <c r="E13" i="4"/>
  <c r="E12" i="4"/>
  <c r="E11" i="4"/>
  <c r="E10" i="4"/>
  <c r="E5" i="4"/>
  <c r="E7" i="4"/>
  <c r="E9" i="4"/>
  <c r="E21" i="4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19" i="5"/>
  <c r="E18" i="5"/>
  <c r="E17" i="5"/>
  <c r="E16" i="5"/>
  <c r="E15" i="5"/>
  <c r="E14" i="5"/>
  <c r="E13" i="5"/>
  <c r="E12" i="5"/>
  <c r="E11" i="5"/>
  <c r="E10" i="5"/>
  <c r="E5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19" i="5"/>
  <c r="G18" i="5"/>
  <c r="G17" i="5"/>
  <c r="G16" i="5"/>
  <c r="G15" i="5"/>
  <c r="G14" i="5"/>
  <c r="G13" i="5"/>
  <c r="G12" i="5"/>
  <c r="G11" i="5"/>
  <c r="G10" i="5"/>
  <c r="G5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19" i="5"/>
  <c r="I18" i="5"/>
  <c r="I17" i="5"/>
  <c r="I16" i="5"/>
  <c r="I15" i="5"/>
  <c r="I14" i="5"/>
  <c r="I13" i="5"/>
  <c r="I12" i="5"/>
  <c r="I11" i="5"/>
  <c r="I10" i="5"/>
  <c r="I5" i="5"/>
  <c r="E7" i="5"/>
  <c r="G7" i="5"/>
  <c r="I7" i="5"/>
  <c r="E9" i="5"/>
  <c r="G9" i="5"/>
  <c r="I9" i="5"/>
  <c r="E21" i="5"/>
  <c r="G21" i="5"/>
  <c r="I21" i="5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19" i="8"/>
  <c r="E18" i="8"/>
  <c r="E17" i="8"/>
  <c r="E16" i="8"/>
  <c r="E15" i="8"/>
  <c r="E14" i="8"/>
  <c r="E13" i="8"/>
  <c r="E12" i="8"/>
  <c r="E11" i="8"/>
  <c r="E10" i="8"/>
  <c r="E5" i="8"/>
  <c r="E7" i="8"/>
  <c r="E9" i="8"/>
  <c r="E21" i="8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19" i="10"/>
  <c r="E18" i="10"/>
  <c r="E17" i="10"/>
  <c r="E16" i="10"/>
  <c r="E15" i="10"/>
  <c r="E14" i="10"/>
  <c r="E13" i="10"/>
  <c r="E12" i="10"/>
  <c r="E11" i="10"/>
  <c r="E10" i="10"/>
  <c r="E5" i="10"/>
  <c r="E7" i="10"/>
  <c r="E9" i="10"/>
  <c r="E21" i="10"/>
  <c r="E34" i="17"/>
  <c r="E33" i="17"/>
  <c r="E19" i="17"/>
  <c r="E5" i="17"/>
  <c r="G34" i="17"/>
  <c r="G33" i="17"/>
  <c r="G5" i="17"/>
  <c r="I34" i="17"/>
  <c r="I33" i="17"/>
  <c r="I19" i="17"/>
  <c r="I18" i="17"/>
  <c r="I17" i="17"/>
  <c r="I16" i="17"/>
  <c r="I15" i="17"/>
  <c r="I14" i="17"/>
  <c r="I13" i="17"/>
  <c r="I12" i="17"/>
  <c r="I11" i="17"/>
  <c r="I10" i="17"/>
  <c r="I5" i="17"/>
  <c r="E7" i="17"/>
  <c r="G7" i="17"/>
  <c r="I7" i="17"/>
  <c r="E9" i="17"/>
  <c r="G9" i="17"/>
  <c r="I9" i="17"/>
  <c r="E10" i="17"/>
  <c r="G10" i="17"/>
  <c r="E11" i="17"/>
  <c r="G11" i="17"/>
  <c r="E12" i="17"/>
  <c r="G12" i="17"/>
  <c r="E13" i="17"/>
  <c r="G13" i="17"/>
  <c r="E14" i="17"/>
  <c r="G14" i="17"/>
  <c r="E15" i="17"/>
  <c r="G15" i="17"/>
  <c r="E16" i="17"/>
  <c r="G16" i="17"/>
  <c r="E17" i="17"/>
  <c r="G17" i="17"/>
  <c r="E18" i="17"/>
  <c r="G18" i="17"/>
  <c r="G19" i="17"/>
  <c r="E21" i="17"/>
  <c r="G21" i="17"/>
  <c r="I21" i="17"/>
  <c r="E22" i="17"/>
  <c r="G22" i="17"/>
  <c r="I22" i="17"/>
  <c r="E23" i="17"/>
  <c r="G23" i="17"/>
  <c r="I23" i="17"/>
  <c r="E24" i="17"/>
  <c r="G24" i="17"/>
  <c r="I24" i="17"/>
  <c r="E25" i="17"/>
  <c r="G25" i="17"/>
  <c r="I25" i="17"/>
  <c r="E26" i="17"/>
  <c r="G26" i="17"/>
  <c r="I26" i="17"/>
  <c r="E27" i="17"/>
  <c r="G27" i="17"/>
  <c r="I27" i="17"/>
  <c r="E28" i="17"/>
  <c r="G28" i="17"/>
  <c r="I28" i="17"/>
  <c r="E29" i="17"/>
  <c r="G29" i="17"/>
  <c r="I29" i="17"/>
  <c r="E30" i="17"/>
  <c r="G30" i="17"/>
  <c r="I30" i="17"/>
  <c r="E31" i="17"/>
  <c r="G31" i="17"/>
  <c r="I31" i="17"/>
  <c r="E32" i="17"/>
  <c r="G32" i="17"/>
  <c r="I32" i="17"/>
  <c r="E34" i="19"/>
  <c r="E33" i="19"/>
  <c r="E32" i="19"/>
  <c r="E31" i="19"/>
  <c r="E30" i="19"/>
  <c r="E29" i="19"/>
  <c r="E28" i="19"/>
  <c r="E27" i="19"/>
  <c r="E26" i="19"/>
  <c r="E25" i="19"/>
  <c r="E19" i="19"/>
  <c r="E18" i="19"/>
  <c r="E17" i="19"/>
  <c r="E16" i="19"/>
  <c r="E15" i="19"/>
  <c r="E14" i="19"/>
  <c r="E13" i="19"/>
  <c r="E12" i="19"/>
  <c r="E11" i="19"/>
  <c r="E5" i="19"/>
  <c r="G34" i="19"/>
  <c r="G33" i="19"/>
  <c r="G32" i="19"/>
  <c r="G31" i="19"/>
  <c r="G30" i="19"/>
  <c r="G29" i="19"/>
  <c r="G28" i="19"/>
  <c r="G27" i="19"/>
  <c r="G26" i="19"/>
  <c r="G25" i="19"/>
  <c r="G19" i="19"/>
  <c r="G18" i="19"/>
  <c r="G17" i="19"/>
  <c r="G16" i="19"/>
  <c r="G15" i="19"/>
  <c r="G14" i="19"/>
  <c r="G13" i="19"/>
  <c r="G12" i="19"/>
  <c r="G5" i="19"/>
  <c r="I34" i="19"/>
  <c r="I33" i="19"/>
  <c r="I32" i="19"/>
  <c r="I31" i="19"/>
  <c r="I30" i="19"/>
  <c r="I29" i="19"/>
  <c r="I28" i="19"/>
  <c r="I27" i="19"/>
  <c r="I26" i="19"/>
  <c r="I25" i="19"/>
  <c r="I19" i="19"/>
  <c r="I18" i="19"/>
  <c r="I17" i="19"/>
  <c r="I16" i="19"/>
  <c r="I15" i="19"/>
  <c r="I14" i="19"/>
  <c r="I13" i="19"/>
  <c r="I12" i="19"/>
  <c r="I5" i="19"/>
  <c r="E7" i="19"/>
  <c r="G7" i="19"/>
  <c r="I7" i="19"/>
  <c r="E9" i="19"/>
  <c r="G9" i="19"/>
  <c r="I9" i="19"/>
  <c r="E10" i="19"/>
  <c r="G10" i="19"/>
  <c r="I10" i="19"/>
  <c r="G11" i="19"/>
  <c r="I11" i="19"/>
  <c r="E21" i="19"/>
  <c r="G21" i="19"/>
  <c r="I21" i="19"/>
  <c r="E22" i="19"/>
  <c r="G22" i="19"/>
  <c r="I22" i="19"/>
  <c r="E23" i="19"/>
  <c r="G23" i="19"/>
  <c r="I23" i="19"/>
  <c r="E24" i="19"/>
  <c r="G24" i="19"/>
  <c r="I24" i="19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0" i="21"/>
  <c r="G19" i="21"/>
  <c r="G18" i="21"/>
  <c r="G17" i="21"/>
  <c r="G16" i="21"/>
  <c r="G15" i="21"/>
  <c r="G14" i="21"/>
  <c r="G13" i="21"/>
  <c r="G12" i="21"/>
  <c r="G11" i="21"/>
  <c r="G10" i="21"/>
  <c r="G5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0" i="21"/>
  <c r="I19" i="21"/>
  <c r="I18" i="21"/>
  <c r="I17" i="21"/>
  <c r="I16" i="21"/>
  <c r="I15" i="21"/>
  <c r="I14" i="21"/>
  <c r="I13" i="21"/>
  <c r="I12" i="21"/>
  <c r="I11" i="21"/>
  <c r="I10" i="21"/>
  <c r="I5" i="21"/>
  <c r="G7" i="21"/>
  <c r="I7" i="21"/>
  <c r="G9" i="21"/>
  <c r="I9" i="21"/>
  <c r="G22" i="21"/>
  <c r="I22" i="21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19" i="24"/>
  <c r="E18" i="24"/>
  <c r="E17" i="24"/>
  <c r="E16" i="24"/>
  <c r="E15" i="24"/>
  <c r="E14" i="24"/>
  <c r="E13" i="24"/>
  <c r="E12" i="24"/>
  <c r="E11" i="24"/>
  <c r="E10" i="24"/>
  <c r="E5" i="24"/>
  <c r="E7" i="24"/>
  <c r="E9" i="24"/>
  <c r="E21" i="24"/>
  <c r="E38" i="27"/>
  <c r="E37" i="27"/>
  <c r="E36" i="27"/>
  <c r="E35" i="27"/>
  <c r="E34" i="27"/>
  <c r="E33" i="27"/>
  <c r="E32" i="27"/>
  <c r="E31" i="27"/>
  <c r="E30" i="27"/>
  <c r="E23" i="27"/>
  <c r="E22" i="27"/>
  <c r="E10" i="27"/>
  <c r="E5" i="27"/>
  <c r="G38" i="27"/>
  <c r="G37" i="27"/>
  <c r="G36" i="27"/>
  <c r="G35" i="27"/>
  <c r="G34" i="27"/>
  <c r="G33" i="27"/>
  <c r="G32" i="27"/>
  <c r="G23" i="27"/>
  <c r="G20" i="27"/>
  <c r="G19" i="27"/>
  <c r="G18" i="27"/>
  <c r="G17" i="27"/>
  <c r="G16" i="27"/>
  <c r="G15" i="27"/>
  <c r="G10" i="27"/>
  <c r="G5" i="27"/>
  <c r="I38" i="27"/>
  <c r="I37" i="27"/>
  <c r="I36" i="27"/>
  <c r="I35" i="27"/>
  <c r="I34" i="27"/>
  <c r="I33" i="27"/>
  <c r="I32" i="27"/>
  <c r="I23" i="27"/>
  <c r="I22" i="27"/>
  <c r="I20" i="27"/>
  <c r="I19" i="27"/>
  <c r="I17" i="27"/>
  <c r="I16" i="27"/>
  <c r="I15" i="27"/>
  <c r="I13" i="27"/>
  <c r="I12" i="27"/>
  <c r="I11" i="27"/>
  <c r="I10" i="27"/>
  <c r="I5" i="27"/>
  <c r="K38" i="27"/>
  <c r="K37" i="27"/>
  <c r="K36" i="27"/>
  <c r="K35" i="27"/>
  <c r="K34" i="27"/>
  <c r="K33" i="27"/>
  <c r="K32" i="27"/>
  <c r="K30" i="27"/>
  <c r="K23" i="27"/>
  <c r="K22" i="27"/>
  <c r="K21" i="27"/>
  <c r="K20" i="27"/>
  <c r="K19" i="27"/>
  <c r="K18" i="27"/>
  <c r="K17" i="27"/>
  <c r="K5" i="27"/>
  <c r="M38" i="27"/>
  <c r="M37" i="27"/>
  <c r="M36" i="27"/>
  <c r="M35" i="27"/>
  <c r="M34" i="27"/>
  <c r="M33" i="27"/>
  <c r="M32" i="27"/>
  <c r="M31" i="27"/>
  <c r="M30" i="27"/>
  <c r="M29" i="27"/>
  <c r="M28" i="27"/>
  <c r="M27" i="27"/>
  <c r="M26" i="27"/>
  <c r="M23" i="27"/>
  <c r="M22" i="27"/>
  <c r="M21" i="27"/>
  <c r="M20" i="27"/>
  <c r="M19" i="27"/>
  <c r="M18" i="27"/>
  <c r="M17" i="27"/>
  <c r="M16" i="27"/>
  <c r="M15" i="27"/>
  <c r="M14" i="27"/>
  <c r="M13" i="27"/>
  <c r="M12" i="27"/>
  <c r="M11" i="27"/>
  <c r="M10" i="27"/>
  <c r="M5" i="27"/>
  <c r="E7" i="27"/>
  <c r="G7" i="27"/>
  <c r="I7" i="27"/>
  <c r="K7" i="27"/>
  <c r="M7" i="27"/>
  <c r="E9" i="27"/>
  <c r="G9" i="27"/>
  <c r="I9" i="27"/>
  <c r="K9" i="27"/>
  <c r="M9" i="27"/>
  <c r="K10" i="27"/>
  <c r="E11" i="27"/>
  <c r="G11" i="27"/>
  <c r="K11" i="27"/>
  <c r="E12" i="27"/>
  <c r="G12" i="27"/>
  <c r="K12" i="27"/>
  <c r="E13" i="27"/>
  <c r="G13" i="27"/>
  <c r="K13" i="27"/>
  <c r="E14" i="27"/>
  <c r="G14" i="27"/>
  <c r="I14" i="27"/>
  <c r="K14" i="27"/>
  <c r="E15" i="27"/>
  <c r="K15" i="27"/>
  <c r="E16" i="27"/>
  <c r="K16" i="27"/>
  <c r="E17" i="27"/>
  <c r="E18" i="27"/>
  <c r="I18" i="27"/>
  <c r="E19" i="27"/>
  <c r="E20" i="27"/>
  <c r="E21" i="27"/>
  <c r="G21" i="27"/>
  <c r="I21" i="27"/>
  <c r="G22" i="27"/>
  <c r="E25" i="27"/>
  <c r="G25" i="27"/>
  <c r="I25" i="27"/>
  <c r="K25" i="27"/>
  <c r="M25" i="27"/>
  <c r="E26" i="27"/>
  <c r="G26" i="27"/>
  <c r="I26" i="27"/>
  <c r="K26" i="27"/>
  <c r="E27" i="27"/>
  <c r="G27" i="27"/>
  <c r="I27" i="27"/>
  <c r="K27" i="27"/>
  <c r="E28" i="27"/>
  <c r="G28" i="27"/>
  <c r="I28" i="27"/>
  <c r="K28" i="27"/>
  <c r="E29" i="27"/>
  <c r="G29" i="27"/>
  <c r="I29" i="27"/>
  <c r="K29" i="27"/>
  <c r="G30" i="27"/>
  <c r="I30" i="27"/>
  <c r="G31" i="27"/>
  <c r="I31" i="27"/>
  <c r="K31" i="27"/>
  <c r="E32" i="29"/>
  <c r="E31" i="29"/>
  <c r="E30" i="29"/>
  <c r="E29" i="29"/>
  <c r="E28" i="29"/>
  <c r="E27" i="29"/>
  <c r="E26" i="29"/>
  <c r="E25" i="29"/>
  <c r="E24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5" i="29"/>
  <c r="G32" i="29"/>
  <c r="G31" i="29"/>
  <c r="G30" i="29"/>
  <c r="G29" i="29"/>
  <c r="G28" i="29"/>
  <c r="G27" i="29"/>
  <c r="G26" i="29"/>
  <c r="G25" i="29"/>
  <c r="G24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5" i="29"/>
  <c r="I32" i="29"/>
  <c r="I31" i="29"/>
  <c r="I30" i="29"/>
  <c r="I29" i="29"/>
  <c r="I28" i="29"/>
  <c r="I27" i="29"/>
  <c r="I26" i="29"/>
  <c r="I25" i="29"/>
  <c r="I24" i="29"/>
  <c r="I21" i="29"/>
  <c r="I20" i="29"/>
  <c r="I19" i="29"/>
  <c r="I18" i="29"/>
  <c r="I17" i="29"/>
  <c r="I16" i="29"/>
  <c r="I15" i="29"/>
  <c r="I14" i="29"/>
  <c r="I13" i="29"/>
  <c r="I12" i="29"/>
  <c r="I11" i="29"/>
  <c r="I10" i="29"/>
  <c r="I5" i="29"/>
  <c r="K32" i="29"/>
  <c r="K31" i="29"/>
  <c r="K30" i="29"/>
  <c r="K29" i="29"/>
  <c r="K28" i="29"/>
  <c r="K27" i="29"/>
  <c r="K26" i="29"/>
  <c r="K25" i="29"/>
  <c r="K24" i="29"/>
  <c r="K21" i="29"/>
  <c r="K20" i="29"/>
  <c r="K19" i="29"/>
  <c r="K18" i="29"/>
  <c r="K17" i="29"/>
  <c r="K16" i="29"/>
  <c r="K15" i="29"/>
  <c r="K14" i="29"/>
  <c r="K13" i="29"/>
  <c r="K12" i="29"/>
  <c r="K11" i="29"/>
  <c r="K10" i="29"/>
  <c r="K5" i="29"/>
  <c r="M32" i="29"/>
  <c r="M31" i="29"/>
  <c r="M30" i="29"/>
  <c r="M29" i="29"/>
  <c r="M28" i="29"/>
  <c r="M27" i="29"/>
  <c r="M26" i="29"/>
  <c r="M25" i="29"/>
  <c r="M24" i="29"/>
  <c r="M21" i="29"/>
  <c r="M20" i="29"/>
  <c r="M19" i="29"/>
  <c r="M18" i="29"/>
  <c r="M17" i="29"/>
  <c r="M16" i="29"/>
  <c r="M15" i="29"/>
  <c r="M14" i="29"/>
  <c r="M13" i="29"/>
  <c r="M12" i="29"/>
  <c r="M11" i="29"/>
  <c r="M10" i="29"/>
  <c r="M5" i="29"/>
  <c r="O32" i="29"/>
  <c r="O31" i="29"/>
  <c r="O30" i="29"/>
  <c r="O29" i="29"/>
  <c r="O28" i="29"/>
  <c r="O27" i="29"/>
  <c r="O26" i="29"/>
  <c r="O25" i="29"/>
  <c r="O24" i="29"/>
  <c r="O21" i="29"/>
  <c r="O20" i="29"/>
  <c r="O19" i="29"/>
  <c r="O18" i="29"/>
  <c r="O17" i="29"/>
  <c r="O16" i="29"/>
  <c r="O15" i="29"/>
  <c r="O14" i="29"/>
  <c r="O13" i="29"/>
  <c r="O12" i="29"/>
  <c r="O11" i="29"/>
  <c r="O10" i="29"/>
  <c r="O5" i="29"/>
  <c r="Q32" i="29"/>
  <c r="Q31" i="29"/>
  <c r="Q30" i="29"/>
  <c r="Q29" i="29"/>
  <c r="Q28" i="29"/>
  <c r="Q27" i="29"/>
  <c r="Q26" i="29"/>
  <c r="Q25" i="29"/>
  <c r="Q24" i="29"/>
  <c r="Q21" i="29"/>
  <c r="Q20" i="29"/>
  <c r="Q19" i="29"/>
  <c r="Q18" i="29"/>
  <c r="Q17" i="29"/>
  <c r="Q16" i="29"/>
  <c r="Q15" i="29"/>
  <c r="Q14" i="29"/>
  <c r="Q13" i="29"/>
  <c r="Q12" i="29"/>
  <c r="Q11" i="29"/>
  <c r="Q10" i="29"/>
  <c r="Q5" i="29"/>
  <c r="S32" i="29"/>
  <c r="S31" i="29"/>
  <c r="S30" i="29"/>
  <c r="S29" i="29"/>
  <c r="S28" i="29"/>
  <c r="S27" i="29"/>
  <c r="S26" i="29"/>
  <c r="S25" i="29"/>
  <c r="S24" i="29"/>
  <c r="S21" i="29"/>
  <c r="S20" i="29"/>
  <c r="S19" i="29"/>
  <c r="S18" i="29"/>
  <c r="S17" i="29"/>
  <c r="S16" i="29"/>
  <c r="S15" i="29"/>
  <c r="S14" i="29"/>
  <c r="S13" i="29"/>
  <c r="S12" i="29"/>
  <c r="S11" i="29"/>
  <c r="S10" i="29"/>
  <c r="S5" i="29"/>
  <c r="E7" i="29"/>
  <c r="G7" i="29"/>
  <c r="I7" i="29"/>
  <c r="K7" i="29"/>
  <c r="M7" i="29"/>
  <c r="O7" i="29"/>
  <c r="Q7" i="29"/>
  <c r="S7" i="29"/>
  <c r="E9" i="29"/>
  <c r="G9" i="29"/>
  <c r="I9" i="29"/>
  <c r="K9" i="29"/>
  <c r="M9" i="29"/>
  <c r="O9" i="29"/>
  <c r="Q9" i="29"/>
  <c r="S9" i="29"/>
  <c r="E23" i="29"/>
  <c r="G23" i="29"/>
  <c r="I23" i="29"/>
  <c r="K23" i="29"/>
  <c r="M23" i="29"/>
  <c r="O23" i="29"/>
  <c r="Q23" i="29"/>
  <c r="S23" i="29"/>
  <c r="E29" i="33"/>
  <c r="E28" i="33"/>
  <c r="E27" i="33"/>
  <c r="E26" i="33"/>
  <c r="E25" i="33"/>
  <c r="E24" i="33"/>
  <c r="E23" i="33"/>
  <c r="E22" i="33"/>
  <c r="E19" i="33"/>
  <c r="E18" i="33"/>
  <c r="E17" i="33"/>
  <c r="E16" i="33"/>
  <c r="E15" i="33"/>
  <c r="E14" i="33"/>
  <c r="E13" i="33"/>
  <c r="E12" i="33"/>
  <c r="E11" i="33"/>
  <c r="E10" i="33"/>
  <c r="E5" i="33"/>
  <c r="E7" i="33"/>
  <c r="E9" i="33"/>
  <c r="E21" i="33"/>
  <c r="E25" i="36"/>
  <c r="E24" i="36"/>
  <c r="E23" i="36"/>
  <c r="E22" i="36"/>
  <c r="E21" i="36"/>
  <c r="E20" i="36"/>
  <c r="E19" i="36"/>
  <c r="E18" i="36"/>
  <c r="E11" i="36"/>
  <c r="E5" i="36"/>
  <c r="G25" i="36"/>
  <c r="G24" i="36"/>
  <c r="G23" i="36"/>
  <c r="G22" i="36"/>
  <c r="G21" i="36"/>
  <c r="G20" i="36"/>
  <c r="G19" i="36"/>
  <c r="G18" i="36"/>
  <c r="G15" i="36"/>
  <c r="G13" i="36"/>
  <c r="G5" i="36"/>
  <c r="E7" i="36"/>
  <c r="G7" i="36"/>
  <c r="E9" i="36"/>
  <c r="G9" i="36"/>
  <c r="E10" i="36"/>
  <c r="G10" i="36"/>
  <c r="G11" i="36"/>
  <c r="E12" i="36"/>
  <c r="G12" i="36"/>
  <c r="E13" i="36"/>
  <c r="E14" i="36"/>
  <c r="G14" i="36"/>
  <c r="E15" i="36"/>
  <c r="E17" i="36"/>
  <c r="G17" i="36"/>
  <c r="E35" i="37"/>
  <c r="E34" i="37"/>
  <c r="E5" i="37"/>
  <c r="G35" i="37"/>
  <c r="G34" i="37"/>
  <c r="G5" i="37"/>
  <c r="I35" i="37"/>
  <c r="I34" i="37"/>
  <c r="I5" i="37"/>
  <c r="E7" i="37"/>
  <c r="G7" i="37"/>
  <c r="I7" i="37"/>
  <c r="E9" i="37"/>
  <c r="G9" i="37"/>
  <c r="I9" i="37"/>
  <c r="E10" i="37"/>
  <c r="G10" i="37"/>
  <c r="I10" i="37"/>
  <c r="E11" i="37"/>
  <c r="G11" i="37"/>
  <c r="I11" i="37"/>
  <c r="E12" i="37"/>
  <c r="G12" i="37"/>
  <c r="I12" i="37"/>
  <c r="E13" i="37"/>
  <c r="G13" i="37"/>
  <c r="I13" i="37"/>
  <c r="E14" i="37"/>
  <c r="G14" i="37"/>
  <c r="I14" i="37"/>
  <c r="E15" i="37"/>
  <c r="G15" i="37"/>
  <c r="I15" i="37"/>
  <c r="E16" i="37"/>
  <c r="G16" i="37"/>
  <c r="I16" i="37"/>
  <c r="E17" i="37"/>
  <c r="G17" i="37"/>
  <c r="I17" i="37"/>
  <c r="E18" i="37"/>
  <c r="G18" i="37"/>
  <c r="I18" i="37"/>
  <c r="E19" i="37"/>
  <c r="G19" i="37"/>
  <c r="I19" i="37"/>
  <c r="E20" i="37"/>
  <c r="G20" i="37"/>
  <c r="I20" i="37"/>
  <c r="E21" i="37"/>
  <c r="G21" i="37"/>
  <c r="I21" i="37"/>
  <c r="E22" i="37"/>
  <c r="G22" i="37"/>
  <c r="I22" i="37"/>
  <c r="E23" i="37"/>
  <c r="G23" i="37"/>
  <c r="I23" i="37"/>
  <c r="E25" i="37"/>
  <c r="G25" i="37"/>
  <c r="I25" i="37"/>
  <c r="E26" i="37"/>
  <c r="G26" i="37"/>
  <c r="I26" i="37"/>
  <c r="E27" i="37"/>
  <c r="G27" i="37"/>
  <c r="I27" i="37"/>
  <c r="E28" i="37"/>
  <c r="G28" i="37"/>
  <c r="I28" i="37"/>
  <c r="E29" i="37"/>
  <c r="G29" i="37"/>
  <c r="I29" i="37"/>
  <c r="E30" i="37"/>
  <c r="G30" i="37"/>
  <c r="I30" i="37"/>
  <c r="E31" i="37"/>
  <c r="G31" i="37"/>
  <c r="I31" i="37"/>
  <c r="E32" i="37"/>
  <c r="G32" i="37"/>
  <c r="I32" i="37"/>
  <c r="E33" i="37"/>
  <c r="G33" i="37"/>
  <c r="I33" i="37"/>
  <c r="E35" i="40"/>
  <c r="E34" i="40"/>
  <c r="E33" i="40"/>
  <c r="E32" i="40"/>
  <c r="E31" i="40"/>
  <c r="E30" i="40"/>
  <c r="E29" i="40"/>
  <c r="E28" i="40"/>
  <c r="E27" i="40"/>
  <c r="E26" i="40"/>
  <c r="E25" i="40"/>
  <c r="E24" i="40"/>
  <c r="E23" i="40"/>
  <c r="E22" i="40"/>
  <c r="E19" i="40"/>
  <c r="E18" i="40"/>
  <c r="E17" i="40"/>
  <c r="E16" i="40"/>
  <c r="E15" i="40"/>
  <c r="E14" i="40"/>
  <c r="E13" i="40"/>
  <c r="E12" i="40"/>
  <c r="E11" i="40"/>
  <c r="E10" i="40"/>
  <c r="E5" i="40"/>
  <c r="G35" i="40"/>
  <c r="G34" i="40"/>
  <c r="G33" i="40"/>
  <c r="G32" i="40"/>
  <c r="G31" i="40"/>
  <c r="G30" i="40"/>
  <c r="G29" i="40"/>
  <c r="G28" i="40"/>
  <c r="G27" i="40"/>
  <c r="G26" i="40"/>
  <c r="G25" i="40"/>
  <c r="G24" i="40"/>
  <c r="G23" i="40"/>
  <c r="G22" i="40"/>
  <c r="G19" i="40"/>
  <c r="G18" i="40"/>
  <c r="G17" i="40"/>
  <c r="G16" i="40"/>
  <c r="G15" i="40"/>
  <c r="G14" i="40"/>
  <c r="G13" i="40"/>
  <c r="G12" i="40"/>
  <c r="G11" i="40"/>
  <c r="G10" i="40"/>
  <c r="G5" i="40"/>
  <c r="I35" i="40"/>
  <c r="I34" i="40"/>
  <c r="I33" i="40"/>
  <c r="I32" i="40"/>
  <c r="I31" i="40"/>
  <c r="I30" i="40"/>
  <c r="I29" i="40"/>
  <c r="I28" i="40"/>
  <c r="I27" i="40"/>
  <c r="I26" i="40"/>
  <c r="I25" i="40"/>
  <c r="I24" i="40"/>
  <c r="I23" i="40"/>
  <c r="I22" i="40"/>
  <c r="I19" i="40"/>
  <c r="I18" i="40"/>
  <c r="I17" i="40"/>
  <c r="I16" i="40"/>
  <c r="I15" i="40"/>
  <c r="I14" i="40"/>
  <c r="I13" i="40"/>
  <c r="I12" i="40"/>
  <c r="I11" i="40"/>
  <c r="I10" i="40"/>
  <c r="I5" i="40"/>
  <c r="K35" i="40"/>
  <c r="K34" i="40"/>
  <c r="K33" i="40"/>
  <c r="K32" i="40"/>
  <c r="K31" i="40"/>
  <c r="K30" i="40"/>
  <c r="K29" i="40"/>
  <c r="K28" i="40"/>
  <c r="K27" i="40"/>
  <c r="K26" i="40"/>
  <c r="K25" i="40"/>
  <c r="K24" i="40"/>
  <c r="K23" i="40"/>
  <c r="K22" i="40"/>
  <c r="K19" i="40"/>
  <c r="K18" i="40"/>
  <c r="K17" i="40"/>
  <c r="K16" i="40"/>
  <c r="K15" i="40"/>
  <c r="K14" i="40"/>
  <c r="K13" i="40"/>
  <c r="K12" i="40"/>
  <c r="K11" i="40"/>
  <c r="K10" i="40"/>
  <c r="K5" i="40"/>
  <c r="E7" i="40"/>
  <c r="G7" i="40"/>
  <c r="I7" i="40"/>
  <c r="K7" i="40"/>
  <c r="E9" i="40"/>
  <c r="G9" i="40"/>
  <c r="I9" i="40"/>
  <c r="K9" i="40"/>
  <c r="E21" i="40"/>
  <c r="G21" i="40"/>
  <c r="I21" i="40"/>
  <c r="K21" i="40"/>
  <c r="E27" i="41"/>
  <c r="E26" i="41"/>
  <c r="E19" i="41"/>
  <c r="E18" i="41"/>
  <c r="E17" i="41"/>
  <c r="E16" i="41"/>
  <c r="E14" i="41"/>
  <c r="E13" i="41"/>
  <c r="E12" i="41"/>
  <c r="E11" i="41"/>
  <c r="E10" i="41"/>
  <c r="E5" i="41"/>
  <c r="G27" i="41"/>
  <c r="G26" i="41"/>
  <c r="G25" i="41"/>
  <c r="G24" i="41"/>
  <c r="G23" i="41"/>
  <c r="G22" i="41"/>
  <c r="G21" i="41"/>
  <c r="G20" i="41"/>
  <c r="G19" i="41"/>
  <c r="G18" i="41"/>
  <c r="G17" i="41"/>
  <c r="G16" i="41"/>
  <c r="G15" i="41"/>
  <c r="G14" i="41"/>
  <c r="G13" i="41"/>
  <c r="G12" i="41"/>
  <c r="G11" i="41"/>
  <c r="G10" i="41"/>
  <c r="G5" i="41"/>
  <c r="I37" i="41"/>
  <c r="I36" i="41"/>
  <c r="I35" i="41"/>
  <c r="I34" i="41"/>
  <c r="I33" i="41"/>
  <c r="I32" i="41"/>
  <c r="I31" i="41"/>
  <c r="I30" i="41"/>
  <c r="I27" i="41"/>
  <c r="I25" i="41"/>
  <c r="I24" i="41"/>
  <c r="I23" i="41"/>
  <c r="I22" i="41"/>
  <c r="I5" i="41"/>
  <c r="K35" i="41"/>
  <c r="K34" i="41"/>
  <c r="K31" i="41"/>
  <c r="K30" i="41"/>
  <c r="K27" i="41"/>
  <c r="K26" i="41"/>
  <c r="K25" i="41"/>
  <c r="K24" i="41"/>
  <c r="K23" i="41"/>
  <c r="K22" i="41"/>
  <c r="K21" i="41"/>
  <c r="K20" i="41"/>
  <c r="K19" i="41"/>
  <c r="K18" i="41"/>
  <c r="K17" i="41"/>
  <c r="K16" i="41"/>
  <c r="K15" i="41"/>
  <c r="K14" i="41"/>
  <c r="K13" i="41"/>
  <c r="K12" i="41"/>
  <c r="K11" i="41"/>
  <c r="K10" i="41"/>
  <c r="K5" i="41"/>
  <c r="M34" i="41"/>
  <c r="M33" i="41"/>
  <c r="M27" i="41"/>
  <c r="M26" i="41"/>
  <c r="M25" i="41"/>
  <c r="M24" i="41"/>
  <c r="M23" i="41"/>
  <c r="M22" i="41"/>
  <c r="M21" i="41"/>
  <c r="M20" i="41"/>
  <c r="M19" i="41"/>
  <c r="M18" i="41"/>
  <c r="M17" i="41"/>
  <c r="M16" i="41"/>
  <c r="M15" i="41"/>
  <c r="M14" i="41"/>
  <c r="M13" i="41"/>
  <c r="M12" i="41"/>
  <c r="M11" i="41"/>
  <c r="M10" i="41"/>
  <c r="M5" i="41"/>
  <c r="E7" i="41"/>
  <c r="G7" i="41"/>
  <c r="I7" i="41"/>
  <c r="K7" i="41"/>
  <c r="M7" i="41"/>
  <c r="E9" i="41"/>
  <c r="G9" i="41"/>
  <c r="I9" i="41"/>
  <c r="K9" i="41"/>
  <c r="M9" i="41"/>
  <c r="I10" i="41"/>
  <c r="I11" i="41"/>
  <c r="I12" i="41"/>
  <c r="I13" i="41"/>
  <c r="I14" i="41"/>
  <c r="E15" i="41"/>
  <c r="I15" i="41"/>
  <c r="I16" i="41"/>
  <c r="I17" i="41"/>
  <c r="I18" i="41"/>
  <c r="I19" i="41"/>
  <c r="E20" i="41"/>
  <c r="I20" i="41"/>
  <c r="E21" i="41"/>
  <c r="I21" i="41"/>
  <c r="E22" i="41"/>
  <c r="E23" i="41"/>
  <c r="E24" i="41"/>
  <c r="E25" i="41"/>
  <c r="I26" i="41"/>
  <c r="E29" i="41"/>
  <c r="G29" i="41"/>
  <c r="I29" i="41"/>
  <c r="K29" i="41"/>
  <c r="M29" i="41"/>
  <c r="E30" i="41"/>
  <c r="G30" i="41"/>
  <c r="M30" i="41"/>
  <c r="E31" i="41"/>
  <c r="G31" i="41"/>
  <c r="M31" i="41"/>
  <c r="E32" i="41"/>
  <c r="G32" i="41"/>
  <c r="K32" i="41"/>
  <c r="M32" i="41"/>
  <c r="E33" i="41"/>
  <c r="G33" i="41"/>
  <c r="K33" i="41"/>
  <c r="E34" i="41"/>
  <c r="G34" i="41"/>
  <c r="E35" i="41"/>
  <c r="G35" i="41"/>
  <c r="M35" i="41"/>
  <c r="E36" i="41"/>
  <c r="G36" i="41"/>
  <c r="K36" i="41"/>
  <c r="M36" i="41"/>
  <c r="E37" i="41"/>
  <c r="G37" i="41"/>
  <c r="K37" i="41"/>
  <c r="M37" i="41"/>
  <c r="E31" i="43"/>
  <c r="E30" i="43"/>
  <c r="E29" i="43"/>
  <c r="E28" i="43"/>
  <c r="E19" i="43"/>
  <c r="E18" i="43"/>
  <c r="E17" i="43"/>
  <c r="E16" i="43"/>
  <c r="E15" i="43"/>
  <c r="E14" i="43"/>
  <c r="E13" i="43"/>
  <c r="E12" i="43"/>
  <c r="E11" i="43"/>
  <c r="E10" i="43"/>
  <c r="E5" i="43"/>
  <c r="G31" i="43"/>
  <c r="G30" i="43"/>
  <c r="G29" i="43"/>
  <c r="G28" i="43"/>
  <c r="G19" i="43"/>
  <c r="G18" i="43"/>
  <c r="G17" i="43"/>
  <c r="G16" i="43"/>
  <c r="G15" i="43"/>
  <c r="G14" i="43"/>
  <c r="G13" i="43"/>
  <c r="G12" i="43"/>
  <c r="G11" i="43"/>
  <c r="G10" i="43"/>
  <c r="G5" i="43"/>
  <c r="I31" i="43"/>
  <c r="I30" i="43"/>
  <c r="I29" i="43"/>
  <c r="I28" i="43"/>
  <c r="I19" i="43"/>
  <c r="I18" i="43"/>
  <c r="I17" i="43"/>
  <c r="I16" i="43"/>
  <c r="I15" i="43"/>
  <c r="I14" i="43"/>
  <c r="I13" i="43"/>
  <c r="I12" i="43"/>
  <c r="I11" i="43"/>
  <c r="I10" i="43"/>
  <c r="I5" i="43"/>
  <c r="K31" i="43"/>
  <c r="K30" i="43"/>
  <c r="K29" i="43"/>
  <c r="K28" i="43"/>
  <c r="K19" i="43"/>
  <c r="K18" i="43"/>
  <c r="K17" i="43"/>
  <c r="K16" i="43"/>
  <c r="K15" i="43"/>
  <c r="K14" i="43"/>
  <c r="K13" i="43"/>
  <c r="K12" i="43"/>
  <c r="K11" i="43"/>
  <c r="K10" i="43"/>
  <c r="K5" i="43"/>
  <c r="M31" i="43"/>
  <c r="M30" i="43"/>
  <c r="M29" i="43"/>
  <c r="M28" i="43"/>
  <c r="M19" i="43"/>
  <c r="M18" i="43"/>
  <c r="M17" i="43"/>
  <c r="M16" i="43"/>
  <c r="M15" i="43"/>
  <c r="M14" i="43"/>
  <c r="M13" i="43"/>
  <c r="M12" i="43"/>
  <c r="M11" i="43"/>
  <c r="M10" i="43"/>
  <c r="M5" i="43"/>
  <c r="O31" i="43"/>
  <c r="O30" i="43"/>
  <c r="O29" i="43"/>
  <c r="O28" i="43"/>
  <c r="O19" i="43"/>
  <c r="O18" i="43"/>
  <c r="O17" i="43"/>
  <c r="O16" i="43"/>
  <c r="O15" i="43"/>
  <c r="O14" i="43"/>
  <c r="O13" i="43"/>
  <c r="O12" i="43"/>
  <c r="O11" i="43"/>
  <c r="O10" i="43"/>
  <c r="O5" i="43"/>
  <c r="Q31" i="43"/>
  <c r="Q30" i="43"/>
  <c r="Q29" i="43"/>
  <c r="Q28" i="43"/>
  <c r="Q19" i="43"/>
  <c r="Q18" i="43"/>
  <c r="Q17" i="43"/>
  <c r="Q16" i="43"/>
  <c r="Q15" i="43"/>
  <c r="Q14" i="43"/>
  <c r="Q13" i="43"/>
  <c r="Q12" i="43"/>
  <c r="Q11" i="43"/>
  <c r="Q10" i="43"/>
  <c r="Q5" i="43"/>
  <c r="S31" i="43"/>
  <c r="S30" i="43"/>
  <c r="S29" i="43"/>
  <c r="S28" i="43"/>
  <c r="S19" i="43"/>
  <c r="S18" i="43"/>
  <c r="S17" i="43"/>
  <c r="S16" i="43"/>
  <c r="S15" i="43"/>
  <c r="S14" i="43"/>
  <c r="S13" i="43"/>
  <c r="S12" i="43"/>
  <c r="S11" i="43"/>
  <c r="S10" i="43"/>
  <c r="S5" i="43"/>
  <c r="U31" i="43"/>
  <c r="U30" i="43"/>
  <c r="U29" i="43"/>
  <c r="U28" i="43"/>
  <c r="U19" i="43"/>
  <c r="U18" i="43"/>
  <c r="U17" i="43"/>
  <c r="U16" i="43"/>
  <c r="U15" i="43"/>
  <c r="U14" i="43"/>
  <c r="U13" i="43"/>
  <c r="U12" i="43"/>
  <c r="U11" i="43"/>
  <c r="U10" i="43"/>
  <c r="U5" i="43"/>
  <c r="W31" i="43"/>
  <c r="W30" i="43"/>
  <c r="W29" i="43"/>
  <c r="W28" i="43"/>
  <c r="W19" i="43"/>
  <c r="W18" i="43"/>
  <c r="W17" i="43"/>
  <c r="W16" i="43"/>
  <c r="W15" i="43"/>
  <c r="W14" i="43"/>
  <c r="W13" i="43"/>
  <c r="W12" i="43"/>
  <c r="W11" i="43"/>
  <c r="W10" i="43"/>
  <c r="W5" i="43"/>
  <c r="E7" i="43"/>
  <c r="G7" i="43"/>
  <c r="I7" i="43"/>
  <c r="K7" i="43"/>
  <c r="M7" i="43"/>
  <c r="O7" i="43"/>
  <c r="Q7" i="43"/>
  <c r="S7" i="43"/>
  <c r="U7" i="43"/>
  <c r="W7" i="43"/>
  <c r="E9" i="43"/>
  <c r="G9" i="43"/>
  <c r="I9" i="43"/>
  <c r="K9" i="43"/>
  <c r="M9" i="43"/>
  <c r="O9" i="43"/>
  <c r="Q9" i="43"/>
  <c r="S9" i="43"/>
  <c r="U9" i="43"/>
  <c r="W9" i="43"/>
  <c r="E21" i="43"/>
  <c r="G21" i="43"/>
  <c r="I21" i="43"/>
  <c r="K21" i="43"/>
  <c r="M21" i="43"/>
  <c r="O21" i="43"/>
  <c r="Q21" i="43"/>
  <c r="S21" i="43"/>
  <c r="U21" i="43"/>
  <c r="W21" i="43"/>
  <c r="E22" i="43"/>
  <c r="G22" i="43"/>
  <c r="I22" i="43"/>
  <c r="K22" i="43"/>
  <c r="M22" i="43"/>
  <c r="O22" i="43"/>
  <c r="Q22" i="43"/>
  <c r="S22" i="43"/>
  <c r="U22" i="43"/>
  <c r="W22" i="43"/>
  <c r="E23" i="43"/>
  <c r="G23" i="43"/>
  <c r="I23" i="43"/>
  <c r="K23" i="43"/>
  <c r="M23" i="43"/>
  <c r="O23" i="43"/>
  <c r="Q23" i="43"/>
  <c r="S23" i="43"/>
  <c r="U23" i="43"/>
  <c r="W23" i="43"/>
  <c r="E24" i="43"/>
  <c r="G24" i="43"/>
  <c r="I24" i="43"/>
  <c r="K24" i="43"/>
  <c r="M24" i="43"/>
  <c r="O24" i="43"/>
  <c r="Q24" i="43"/>
  <c r="S24" i="43"/>
  <c r="U24" i="43"/>
  <c r="W24" i="43"/>
  <c r="E25" i="43"/>
  <c r="G25" i="43"/>
  <c r="I25" i="43"/>
  <c r="K25" i="43"/>
  <c r="M25" i="43"/>
  <c r="O25" i="43"/>
  <c r="Q25" i="43"/>
  <c r="S25" i="43"/>
  <c r="U25" i="43"/>
  <c r="W25" i="43"/>
  <c r="E26" i="43"/>
  <c r="G26" i="43"/>
  <c r="I26" i="43"/>
  <c r="K26" i="43"/>
  <c r="M26" i="43"/>
  <c r="O26" i="43"/>
  <c r="Q26" i="43"/>
  <c r="S26" i="43"/>
  <c r="U26" i="43"/>
  <c r="W26" i="43"/>
  <c r="E27" i="43"/>
  <c r="G27" i="43"/>
  <c r="I27" i="43"/>
  <c r="K27" i="43"/>
  <c r="M27" i="43"/>
  <c r="O27" i="43"/>
  <c r="Q27" i="43"/>
  <c r="S27" i="43"/>
  <c r="U27" i="43"/>
  <c r="W27" i="4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2" authorId="0" shapeId="0" xr:uid="{00000000-0006-0000-0A00-000001000000}">
      <text>
        <r>
          <rPr>
            <sz val="11"/>
            <color theme="1"/>
            <rFont val="Arial"/>
          </rPr>
          <t>======
ID#AAAAOp-S5Bg
tc={1D5E5D3D-759D-46D2-A25C-2D1D8B4D370A}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19.837.544/0001-30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z7OeW9trPW9LJmjbgVdLtnLrqAQ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0" authorId="0" shapeId="0" xr:uid="{00000000-0006-0000-2800-00000C000000}">
      <text>
        <r>
          <rPr>
            <sz val="11"/>
            <color theme="1"/>
            <rFont val="Arial"/>
          </rPr>
          <t>======
ID#AAAAOp-S5Bc
tc={94189424-0D2F-4F2F-ABB3-82FEFEF6C43F}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014.596.766/0001-95</t>
        </r>
      </text>
    </comment>
    <comment ref="C11" authorId="0" shapeId="0" xr:uid="{00000000-0006-0000-2800-000005000000}">
      <text>
        <r>
          <rPr>
            <sz val="11"/>
            <color theme="1"/>
            <rFont val="Arial"/>
          </rPr>
          <t>======
ID#AAAAOp-S5B8
tc={C2D14CCE-C6FD-44A7-BAC7-8943861D6380}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009.277.006/0001-85</t>
        </r>
      </text>
    </comment>
    <comment ref="C12" authorId="0" shapeId="0" xr:uid="{00000000-0006-0000-2800-00000A000000}">
      <text>
        <r>
          <rPr>
            <sz val="11"/>
            <color theme="1"/>
            <rFont val="Arial"/>
          </rPr>
          <t>======
ID#AAAAOp-S5Bo
tc={04A8495A-6BB8-4DA0-83D1-BDDAD27EA3D3}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014.737.553/0001-36</t>
        </r>
      </text>
    </comment>
    <comment ref="C13" authorId="0" shapeId="0" xr:uid="{00000000-0006-0000-2800-000012000000}">
      <text>
        <r>
          <rPr>
            <sz val="11"/>
            <color theme="1"/>
            <rFont val="Arial"/>
          </rPr>
          <t>======
ID#AAAAOp-S5BE
tc={9536FC51-51D5-42BA-A57D-2B84E9AF18F4}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009.482.532/0001-87</t>
        </r>
      </text>
    </comment>
    <comment ref="C14" authorId="0" shapeId="0" xr:uid="{00000000-0006-0000-2800-000003000000}">
      <text>
        <r>
          <rPr>
            <sz val="11"/>
            <color theme="1"/>
            <rFont val="Arial"/>
          </rPr>
          <t>======
ID#AAAAOp-S5CE
tc={DDD09F10-1EEB-4E70-B0FA-36B82FFCEDF0}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011.411.095/0001-52</t>
        </r>
      </text>
    </comment>
    <comment ref="C15" authorId="0" shapeId="0" xr:uid="{00000000-0006-0000-2800-000010000000}">
      <text>
        <r>
          <rPr>
            <sz val="11"/>
            <color theme="1"/>
            <rFont val="Arial"/>
          </rPr>
          <t>======
ID#AAAAOp-S5BM
tc={57C9A209-7CB0-4250-9DEF-0606FCDB4873}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016.465.532/0001-34</t>
        </r>
      </text>
    </comment>
    <comment ref="C16" authorId="0" shapeId="0" xr:uid="{00000000-0006-0000-2800-000004000000}">
      <text>
        <r>
          <rPr>
            <sz val="11"/>
            <color theme="1"/>
            <rFont val="Arial"/>
          </rPr>
          <t>======
ID#AAAAOp-S5CA
tc={05B8222E-D933-4E83-B103-02617D522B48}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019.230.524/0001-05</t>
        </r>
      </text>
    </comment>
    <comment ref="C17" authorId="0" shapeId="0" xr:uid="{00000000-0006-0000-2800-000007000000}">
      <text>
        <r>
          <rPr>
            <sz val="11"/>
            <color theme="1"/>
            <rFont val="Arial"/>
          </rPr>
          <t>======
ID#AAAAOp-S5B0
tc={BE17AAFB-EAF5-45DB-BB32-2475D24919EA}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011.760.191/0001-06</t>
        </r>
      </text>
    </comment>
    <comment ref="C18" authorId="0" shapeId="0" xr:uid="{00000000-0006-0000-2800-000008000000}">
      <text>
        <r>
          <rPr>
            <sz val="11"/>
            <color theme="1"/>
            <rFont val="Arial"/>
          </rPr>
          <t>======
ID#AAAAOp-S5Bw
tc={9FBA2DC4-4B3E-473C-B553-77615F9F8200}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019.837.544/0001-30</t>
        </r>
      </text>
    </comment>
    <comment ref="C19" authorId="0" shapeId="0" xr:uid="{00000000-0006-0000-2800-00000F000000}">
      <text>
        <r>
          <rPr>
            <sz val="11"/>
            <color theme="1"/>
            <rFont val="Arial"/>
          </rPr>
          <t>======
ID#AAAAOp-S5BQ
tc={FD9BDAE8-F617-421E-B1EC-C038618F34DC}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015.039.162/0001-00</t>
        </r>
      </text>
    </comment>
    <comment ref="C20" authorId="0" shapeId="0" xr:uid="{00000000-0006-0000-2800-000001000000}">
      <text>
        <r>
          <rPr>
            <sz val="11"/>
            <color theme="1"/>
            <rFont val="Arial"/>
          </rPr>
          <t>======
ID#AAAAOp-S5CM
tc={C527CFBD-55D5-4BAC-943F-D39B10F0DD72}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014.240.738/0001-30</t>
        </r>
      </text>
    </comment>
    <comment ref="C21" authorId="0" shapeId="0" xr:uid="{00000000-0006-0000-2800-00000B000000}">
      <text>
        <r>
          <rPr>
            <sz val="11"/>
            <color theme="1"/>
            <rFont val="Arial"/>
          </rPr>
          <t>======
ID#AAAAOp-S5Bk
tc={F55FC9E9-D139-471B-86ED-163D8B9EB168}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016.465.811/0001-06</t>
        </r>
      </text>
    </comment>
    <comment ref="C22" authorId="0" shapeId="0" xr:uid="{00000000-0006-0000-2800-000006000000}">
      <text>
        <r>
          <rPr>
            <sz val="11"/>
            <color theme="1"/>
            <rFont val="Arial"/>
          </rPr>
          <t>======
ID#AAAAOp-S5B4
tc={9AB0BEA4-8586-409A-BB31-597623998B9E}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009.064.476/0001-60</t>
        </r>
      </text>
    </comment>
    <comment ref="C23" authorId="0" shapeId="0" xr:uid="{00000000-0006-0000-2800-000002000000}">
      <text>
        <r>
          <rPr>
            <sz val="11"/>
            <color theme="1"/>
            <rFont val="Arial"/>
          </rPr>
          <t>======
ID#AAAAOp-S5CI
tc={9B463823-21EF-4ED2-A7D8-36BCC9566971}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001.909.558/0001-57</t>
        </r>
      </text>
    </comment>
    <comment ref="C24" authorId="0" shapeId="0" xr:uid="{00000000-0006-0000-2800-000009000000}">
      <text>
        <r>
          <rPr>
            <sz val="11"/>
            <color theme="1"/>
            <rFont val="Arial"/>
          </rPr>
          <t>======
ID#AAAAOp-S5Bs
tc={E66C0819-ACA5-4186-8C08-245B7258617E}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010.720.618/0001-80</t>
        </r>
      </text>
    </comment>
    <comment ref="C25" authorId="0" shapeId="0" xr:uid="{00000000-0006-0000-2800-00000E000000}">
      <text>
        <r>
          <rPr>
            <sz val="11"/>
            <color theme="1"/>
            <rFont val="Arial"/>
          </rPr>
          <t>======
ID#AAAAOp-S5BU
tc={05B48B58-6190-4BFD-9F43-6D54F52CF02F}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018.563.785/0001-76</t>
        </r>
      </text>
    </comment>
    <comment ref="C26" authorId="0" shapeId="0" xr:uid="{00000000-0006-0000-2800-000011000000}">
      <text>
        <r>
          <rPr>
            <sz val="11"/>
            <color theme="1"/>
            <rFont val="Arial"/>
          </rPr>
          <t>======
ID#AAAAOp-S5BI
tc={34BAE251-FC7F-4F72-927D-D284609A7D4D}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010.900.000/5036-08</t>
        </r>
      </text>
    </comment>
    <comment ref="C27" authorId="0" shapeId="0" xr:uid="{00000000-0006-0000-2800-00000D000000}">
      <text>
        <r>
          <rPr>
            <sz val="11"/>
            <color theme="1"/>
            <rFont val="Arial"/>
          </rPr>
          <t>======
ID#AAAAOp-S5BY
tc={72A949F8-D736-4F3F-A406-7DC7452AC380}    (2021-09-01 14:25:57)
[Comentário encadeado]
Sua versão do Excel permite que você leia este comentário encadeado, no entanto, as edições serão removidas se o arquivo for aberto em uma versão mais recente do Excel. Saiba mais: https://go.microsoft.com/fwlink/?linkid=870924
Comentário:
    010.900.000/5037-80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oEc8sPHDUOkRCJEIjm5RncLEDsA=="/>
    </ext>
  </extLst>
</comments>
</file>

<file path=xl/sharedStrings.xml><?xml version="1.0" encoding="utf-8"?>
<sst xmlns="http://schemas.openxmlformats.org/spreadsheetml/2006/main" count="3612" uniqueCount="844">
  <si>
    <t>EFPC</t>
  </si>
  <si>
    <t>AuM
(R$ mil)</t>
  </si>
  <si>
    <t>PREVI</t>
  </si>
  <si>
    <t>Tati</t>
  </si>
  <si>
    <t>PETROS</t>
  </si>
  <si>
    <t>FUNCEF</t>
  </si>
  <si>
    <t>VIVEST</t>
  </si>
  <si>
    <t>FUNDAÇÃO ITAÚ UNIBANCO</t>
  </si>
  <si>
    <t>BANESPREV</t>
  </si>
  <si>
    <t>VALIA</t>
  </si>
  <si>
    <t>SISTEL</t>
  </si>
  <si>
    <t>REAL GRANDEZA</t>
  </si>
  <si>
    <t>FORLUZ</t>
  </si>
  <si>
    <t>FAPES</t>
  </si>
  <si>
    <t>FUNDAÇÃO COPEL</t>
  </si>
  <si>
    <t>FUNDAÇÃO ATLÂNTICO</t>
  </si>
  <si>
    <t>POSTALIS</t>
  </si>
  <si>
    <t>PREVIDÊNCIA USMINAS</t>
  </si>
  <si>
    <t>TELOS</t>
  </si>
  <si>
    <t>CERES</t>
  </si>
  <si>
    <t>BB PREVIDÊNCIA</t>
  </si>
  <si>
    <t>FACHESF</t>
  </si>
  <si>
    <t>MULTIPREV</t>
  </si>
  <si>
    <t>MULTIBRA</t>
  </si>
  <si>
    <t>ECONOMUS</t>
  </si>
  <si>
    <t>FUNDAÇÃO FAMÍLIA PREVIDÊNCIA</t>
  </si>
  <si>
    <t>VISÃO PREV</t>
  </si>
  <si>
    <t>SERPROS</t>
  </si>
  <si>
    <t>FUNDAÇÃO REFER</t>
  </si>
  <si>
    <t>CBS PREVIDÊNCIA</t>
  </si>
  <si>
    <t>FUNDAÇÃO BANRISUL</t>
  </si>
  <si>
    <t>FUNDAÇÃO IBM</t>
  </si>
  <si>
    <t>FUNBEP</t>
  </si>
  <si>
    <t>CAPEF</t>
  </si>
  <si>
    <t>ELETROS</t>
  </si>
  <si>
    <t>PREVI-GM</t>
  </si>
  <si>
    <t>PREVINORTE</t>
  </si>
  <si>
    <t>BRF PREVIDÊNCIA</t>
  </si>
  <si>
    <t>FIBRA</t>
  </si>
  <si>
    <t>GERDAU PREVIDÊNCIA</t>
  </si>
  <si>
    <t>SANTANDERPREVI</t>
  </si>
  <si>
    <t>QUANTA PREVIDÊNCIA</t>
  </si>
  <si>
    <t>FUNDAÇÃO LIBERTAS</t>
  </si>
  <si>
    <t>INFRAPREV</t>
  </si>
  <si>
    <t>NUCLEOS</t>
  </si>
  <si>
    <t>FUNSSEST</t>
  </si>
  <si>
    <t>FUNPRESP-EXE</t>
  </si>
  <si>
    <t>EMBRAER PREV</t>
  </si>
  <si>
    <t>VEXTY</t>
  </si>
  <si>
    <t>UNILEVERPREV</t>
  </si>
  <si>
    <t>BRASLIGHT</t>
  </si>
  <si>
    <t>CITIPREVI</t>
  </si>
  <si>
    <t>SABESPREV</t>
  </si>
  <si>
    <t>ELOS</t>
  </si>
  <si>
    <t>ITAÚ FUNDO MULTIPATROCINADO</t>
  </si>
  <si>
    <t>FUNEPP</t>
  </si>
  <si>
    <t>FUNDAÇÃO ITAÚSA INDUSTRIAL</t>
  </si>
  <si>
    <t>VWPP</t>
  </si>
  <si>
    <t>REGIUS</t>
  </si>
  <si>
    <t>CELOS</t>
  </si>
  <si>
    <t>PREVIBAYER</t>
  </si>
  <si>
    <t>METRUS</t>
  </si>
  <si>
    <t>ICATUFMP</t>
  </si>
  <si>
    <t>FUNDAÇÃO VIVA DE PREVIDÊNCIA</t>
  </si>
  <si>
    <t>FUSESC</t>
  </si>
  <si>
    <t>PREVIRB</t>
  </si>
  <si>
    <t>MÚLTIPLA</t>
  </si>
  <si>
    <t>PREVDOW</t>
  </si>
  <si>
    <t>GEBSA-PREV</t>
  </si>
  <si>
    <t>FUNDAÇÃO CORSAN</t>
  </si>
  <si>
    <t>BANDEPREV</t>
  </si>
  <si>
    <t>INSTITUTO AMBEV</t>
  </si>
  <si>
    <t>JOHNSON &amp; JOHNSON</t>
  </si>
  <si>
    <t>ENERPREV</t>
  </si>
  <si>
    <t>BANESES</t>
  </si>
  <si>
    <t>PREVI-SIEMENS</t>
  </si>
  <si>
    <t>SP-PREVCOM</t>
  </si>
  <si>
    <t>PRECE</t>
  </si>
  <si>
    <t>FUNDAÇÃO PROMON</t>
  </si>
  <si>
    <t>FUNSEJEM</t>
  </si>
  <si>
    <t>FUSAN</t>
  </si>
  <si>
    <t>PREVDATA</t>
  </si>
  <si>
    <t>FASC</t>
  </si>
  <si>
    <t>FIPECQ</t>
  </si>
  <si>
    <t>PREVISC</t>
  </si>
  <si>
    <t>Gaba</t>
  </si>
  <si>
    <t>FACEB</t>
  </si>
  <si>
    <t>PRHOSPER</t>
  </si>
  <si>
    <t>E-INVEST</t>
  </si>
  <si>
    <t>PREVIG</t>
  </si>
  <si>
    <t>BASF</t>
  </si>
  <si>
    <t>SYNGENTA PREVI</t>
  </si>
  <si>
    <t>CIBRIUS</t>
  </si>
  <si>
    <t>ENERGISAPREV</t>
  </si>
  <si>
    <t>SICOOB PREVI</t>
  </si>
  <si>
    <t>VALUEPREV</t>
  </si>
  <si>
    <t>SÃO BERNARDO</t>
  </si>
  <si>
    <t>FAELCE</t>
  </si>
  <si>
    <t>CARGILLPREV</t>
  </si>
  <si>
    <t>ACEPREV</t>
  </si>
  <si>
    <t>IAJA</t>
  </si>
  <si>
    <t>ISBRE</t>
  </si>
  <si>
    <t>PREVUNIÃO</t>
  </si>
  <si>
    <t>AGROS</t>
  </si>
  <si>
    <t>BRASILETROS</t>
  </si>
  <si>
    <t>FUNPRESP-JUD</t>
  </si>
  <si>
    <t>MULTICOOP</t>
  </si>
  <si>
    <t>PREVI NOVARTIS</t>
  </si>
  <si>
    <t>RUMOS</t>
  </si>
  <si>
    <t>SÃO RAFAEL</t>
  </si>
  <si>
    <t>DESBAN</t>
  </si>
  <si>
    <t>INOVAR</t>
  </si>
  <si>
    <t>PREVSAN</t>
  </si>
  <si>
    <t>MBPREV</t>
  </si>
  <si>
    <t>PREVIBOSCH</t>
  </si>
  <si>
    <t>OABPREV-SP</t>
  </si>
  <si>
    <t>COMSHELL</t>
  </si>
  <si>
    <t>PLANEJAR</t>
  </si>
  <si>
    <t>ULTRAPREV</t>
  </si>
  <si>
    <t>FUNDAMBRAS</t>
  </si>
  <si>
    <t>BASES</t>
  </si>
  <si>
    <t>FUNDIÁGUA</t>
  </si>
  <si>
    <t>FUNDAÇÃO SÃO FRANCISCO</t>
  </si>
  <si>
    <t>COMPESAPREV</t>
  </si>
  <si>
    <t>ECOS</t>
  </si>
  <si>
    <t>SERGUS</t>
  </si>
  <si>
    <t>FABASA</t>
  </si>
  <si>
    <t>VIKINGPREV</t>
  </si>
  <si>
    <t>PREVICAT</t>
  </si>
  <si>
    <t>EQTPREV</t>
  </si>
  <si>
    <t>FGV-PREVI</t>
  </si>
  <si>
    <t>ELETRA</t>
  </si>
  <si>
    <t>PREVICOKE</t>
  </si>
  <si>
    <t>PREVIPLAN</t>
  </si>
  <si>
    <t>PREVEME</t>
  </si>
  <si>
    <t>PORTOPREV</t>
  </si>
  <si>
    <t>MAIS VIDA PREVIDÊNCIA</t>
  </si>
  <si>
    <t>MSD PREV</t>
  </si>
  <si>
    <t>PREVIM-MICHELIN</t>
  </si>
  <si>
    <t>PREVHAB</t>
  </si>
  <si>
    <t>FACEAL</t>
  </si>
  <si>
    <t>MULTIBRA INSTITUIDOR</t>
  </si>
  <si>
    <t>BUNGEPREV</t>
  </si>
  <si>
    <t>FAPERS</t>
  </si>
  <si>
    <t>POUPREV</t>
  </si>
  <si>
    <t>CP PREV</t>
  </si>
  <si>
    <t>SEGURIDADE</t>
  </si>
  <si>
    <t>GOODYEAR</t>
  </si>
  <si>
    <t>INDUSPREVI</t>
  </si>
  <si>
    <t>DERMINAS</t>
  </si>
  <si>
    <t>GASIUS</t>
  </si>
  <si>
    <t>PREVIDEXXONMOBIL</t>
  </si>
  <si>
    <t>CARREFOURPREV</t>
  </si>
  <si>
    <t>PFIZER PREV</t>
  </si>
  <si>
    <t>FAPA</t>
  </si>
  <si>
    <t>OABPREV-PR</t>
  </si>
  <si>
    <t>SUPREV</t>
  </si>
  <si>
    <t>RANDONPREV</t>
  </si>
  <si>
    <t>PREVINDUS</t>
  </si>
  <si>
    <t>MAIS PREVIDÊNCIA</t>
  </si>
  <si>
    <t>P&amp;G PREV</t>
  </si>
  <si>
    <t>ALPAPREV</t>
  </si>
  <si>
    <t>PREVIP</t>
  </si>
  <si>
    <t>FUTURA</t>
  </si>
  <si>
    <t>KPMG PREV</t>
  </si>
  <si>
    <t>RAIZPREV</t>
  </si>
  <si>
    <t>PREVISCÂNIA</t>
  </si>
  <si>
    <t>Mario</t>
  </si>
  <si>
    <t>PREV PEPSICO</t>
  </si>
  <si>
    <t>CAPESESP</t>
  </si>
  <si>
    <t>PREVCUMMINS</t>
  </si>
  <si>
    <t>FAECES</t>
  </si>
  <si>
    <t>LILLY PREV</t>
  </si>
  <si>
    <t>MERCERPREV</t>
  </si>
  <si>
    <t>VOITH PREV</t>
  </si>
  <si>
    <t>PORTUS</t>
  </si>
  <si>
    <t>MAUÁ PREV</t>
  </si>
  <si>
    <t>UNISYS PREVI</t>
  </si>
  <si>
    <t>TETRA PAK PREV</t>
  </si>
  <si>
    <t>DANAPREV</t>
  </si>
  <si>
    <t>PREVEME II</t>
  </si>
  <si>
    <t>EATONPREV</t>
  </si>
  <si>
    <t>CABEC</t>
  </si>
  <si>
    <t>ROCHEPREV</t>
  </si>
  <si>
    <t>PREVICEL</t>
  </si>
  <si>
    <t>BOTICÁRIO PREV</t>
  </si>
  <si>
    <t>JUSPREV</t>
  </si>
  <si>
    <t>CASANPREV</t>
  </si>
  <si>
    <t>TOYOTA PREVI</t>
  </si>
  <si>
    <t>SUPRE</t>
  </si>
  <si>
    <t>AVONPREV</t>
  </si>
  <si>
    <t>CAGEPREV</t>
  </si>
  <si>
    <t>PREVIHONDA</t>
  </si>
  <si>
    <t>SOMUPP</t>
  </si>
  <si>
    <t>FUCAP</t>
  </si>
  <si>
    <t>CAPOF</t>
  </si>
  <si>
    <t>FIOPREV</t>
  </si>
  <si>
    <t>OABPREV-MG</t>
  </si>
  <si>
    <t>CARBOPREV</t>
  </si>
  <si>
    <t>INSTITUTO GEIPREV</t>
  </si>
  <si>
    <t>FAPECE</t>
  </si>
  <si>
    <t>OABPREV-SC</t>
  </si>
  <si>
    <t>FUMPRESC</t>
  </si>
  <si>
    <t>ALPHA</t>
  </si>
  <si>
    <t>PREVISTIHL</t>
  </si>
  <si>
    <t>PREVBEP</t>
  </si>
  <si>
    <t>MAIS FUTURO</t>
  </si>
  <si>
    <t>RECKITTPREV</t>
  </si>
  <si>
    <t>VISTEON</t>
  </si>
  <si>
    <t>PREVYASUDA</t>
  </si>
  <si>
    <t>SIAS</t>
  </si>
  <si>
    <t>OABPREV-RS</t>
  </si>
  <si>
    <t>MÚTUOPREV</t>
  </si>
  <si>
    <t>OABPREV-GO</t>
  </si>
  <si>
    <t>TEXPREV</t>
  </si>
  <si>
    <t>RJPREV</t>
  </si>
  <si>
    <t>DATUSPREV</t>
  </si>
  <si>
    <t>FUTURA II</t>
  </si>
  <si>
    <t>MAG FUNDOS DE PENSÃO</t>
  </si>
  <si>
    <t>INERGUS</t>
  </si>
  <si>
    <t>CAPAF</t>
  </si>
  <si>
    <t>ALBAPREV</t>
  </si>
  <si>
    <t>OABPREV-RJ</t>
  </si>
  <si>
    <t>PREVCHEVRON</t>
  </si>
  <si>
    <t>FUNCASAL</t>
  </si>
  <si>
    <t>PREVES</t>
  </si>
  <si>
    <t>MM PREV</t>
  </si>
  <si>
    <t>SBOT PREV</t>
  </si>
  <si>
    <t>PREVUNISUL</t>
  </si>
  <si>
    <t>RS-PREV</t>
  </si>
  <si>
    <t>ANABBPREV</t>
  </si>
  <si>
    <t>CNBPREV</t>
  </si>
  <si>
    <t>SILIUS</t>
  </si>
  <si>
    <t>SCPREV</t>
  </si>
  <si>
    <t>PREVNORDESTE</t>
  </si>
  <si>
    <t>CAVA</t>
  </si>
  <si>
    <t>PREVCOM-MG</t>
  </si>
  <si>
    <t>DF-PREVICOM</t>
  </si>
  <si>
    <t>ALPREV</t>
  </si>
  <si>
    <t>PREVCOM-GO</t>
  </si>
  <si>
    <t>CURITIBAPREV</t>
  </si>
  <si>
    <t>MAPPIN</t>
  </si>
  <si>
    <t>ORIUS</t>
  </si>
  <si>
    <t>SINDPD|FPA</t>
  </si>
  <si>
    <t>FUCAE</t>
  </si>
  <si>
    <t>FAÇOPAC</t>
  </si>
  <si>
    <t>FFMB</t>
  </si>
  <si>
    <t>CE-PREVCOM</t>
  </si>
  <si>
    <t>-</t>
  </si>
  <si>
    <t>Fundação</t>
  </si>
  <si>
    <t>Plano</t>
  </si>
  <si>
    <t>Fundo</t>
  </si>
  <si>
    <t>CNPJ Fundo</t>
  </si>
  <si>
    <t>Gestor</t>
  </si>
  <si>
    <t>Classificação</t>
  </si>
  <si>
    <t>Valor</t>
  </si>
  <si>
    <t>% AuM</t>
  </si>
  <si>
    <t>Data-Base</t>
  </si>
  <si>
    <t>Já Falamos</t>
  </si>
  <si>
    <t>Fundação Banrisul</t>
  </si>
  <si>
    <t>FB PREV</t>
  </si>
  <si>
    <t>ABSOLUTE ALPHA FIC FIM</t>
  </si>
  <si>
    <t>Absolute</t>
  </si>
  <si>
    <t>MM Estruturado</t>
  </si>
  <si>
    <t>NÃO</t>
  </si>
  <si>
    <t>FB PREV II</t>
  </si>
  <si>
    <t>FB PREV III</t>
  </si>
  <si>
    <t>FB Saldado</t>
  </si>
  <si>
    <t>ELOS/Engie (BD)</t>
  </si>
  <si>
    <t>ABSOLUTE ALPHA GLOBAL FIC DE FIM</t>
  </si>
  <si>
    <t>SIM</t>
  </si>
  <si>
    <t>ELOS/Eletrosul (BD)</t>
  </si>
  <si>
    <t>ELOS/Eletrosul (CD)</t>
  </si>
  <si>
    <t>Fundação Atlântico</t>
  </si>
  <si>
    <t>Telemar Prev</t>
  </si>
  <si>
    <t>ABSOLUTE ALPHA GLOBAL FICFIM</t>
  </si>
  <si>
    <t>TCS Prev</t>
  </si>
  <si>
    <t>ABSOLUTE EP ALPHA GLOBAL FICFIM</t>
  </si>
  <si>
    <t>PBS Telemar</t>
  </si>
  <si>
    <t>Forluz</t>
  </si>
  <si>
    <t>PLANO A</t>
  </si>
  <si>
    <t>ABSOLUTE VERTEX CSHG FICFI MULT</t>
  </si>
  <si>
    <t>PLANO B</t>
  </si>
  <si>
    <t>TAESA</t>
  </si>
  <si>
    <t>ABSOLUTE VERTEX II FIC DE FIM</t>
  </si>
  <si>
    <t>ABSOLUTE VERTEX II FIC FIM</t>
  </si>
  <si>
    <t>Plano CV</t>
  </si>
  <si>
    <t>ABSOLUTE VERTEX II FIC MULTIMERCADO</t>
  </si>
  <si>
    <t>Aceprev</t>
  </si>
  <si>
    <t>ACEPREV AMIB</t>
  </si>
  <si>
    <t>ADAM MACRO STRATEGY II FC FI MULT</t>
  </si>
  <si>
    <t>Adam</t>
  </si>
  <si>
    <t>ANGRA INFRA MULTIESTRATEGIA FIP</t>
  </si>
  <si>
    <t>Angra</t>
  </si>
  <si>
    <t>FIP / FMIEE</t>
  </si>
  <si>
    <t>Funcorsan</t>
  </si>
  <si>
    <t>Plano BD</t>
  </si>
  <si>
    <t>Apex Equity Hedge FIM</t>
  </si>
  <si>
    <t>Apex</t>
  </si>
  <si>
    <t>AZ QUEST EQUITY HEDGE FIC FIM</t>
  </si>
  <si>
    <t>AZ Quest</t>
  </si>
  <si>
    <t>BRF Previdência</t>
  </si>
  <si>
    <t>FAF</t>
  </si>
  <si>
    <t>AZ QUEST MAX FIC FIM</t>
  </si>
  <si>
    <t>Plano II</t>
  </si>
  <si>
    <t>Plano III</t>
  </si>
  <si>
    <t>Fundação Alpha</t>
  </si>
  <si>
    <t>BETA</t>
  </si>
  <si>
    <t xml:space="preserve">AZ QUEST MULT MAX FC FI MULT </t>
  </si>
  <si>
    <t>Cageprev</t>
  </si>
  <si>
    <t>AZ QUEST MULTI 30 FIC FIM</t>
  </si>
  <si>
    <t>BAHIA AM MARAÚ ESTRUTURADO FIC MULTIMERCADO</t>
  </si>
  <si>
    <t>Bahia</t>
  </si>
  <si>
    <t>BAHIA AM MARAU FC DE FI MULT</t>
  </si>
  <si>
    <t>Bahia AM Maraú FIC FIM</t>
  </si>
  <si>
    <t>BAHIA AM MARAÚ FIC MULTIMERCADO</t>
  </si>
  <si>
    <t>BAHIA MARAU FIC FIM</t>
  </si>
  <si>
    <t>BHG MODAL FIP EM HOTELARIA</t>
  </si>
  <si>
    <t>Modal</t>
  </si>
  <si>
    <t>Fundação Família Previdência</t>
  </si>
  <si>
    <t>CEEE Prev</t>
  </si>
  <si>
    <t>BNY Mellon Sul Energia Estruturado FIC FIM Créd Privado</t>
  </si>
  <si>
    <t>Baneses</t>
  </si>
  <si>
    <t>BRADESCO FC FI MULT MACRO</t>
  </si>
  <si>
    <t>Bradesco</t>
  </si>
  <si>
    <t>BRADESCO H FIM LP MACRO</t>
  </si>
  <si>
    <t>Brasil Energia Renovável</t>
  </si>
  <si>
    <t>BRASIL ENERGIA RENOVAVEL FIP ME</t>
  </si>
  <si>
    <t>Fachesf</t>
  </si>
  <si>
    <t>BD</t>
  </si>
  <si>
    <t>BRASIL Energia</t>
  </si>
  <si>
    <t>BS</t>
  </si>
  <si>
    <t>Brasil Portos e Ativos Logísticos FIP</t>
  </si>
  <si>
    <t>Basf</t>
  </si>
  <si>
    <t>BTG PAC.EC.REAL FUND - BTG PACTU</t>
  </si>
  <si>
    <t>BTG Pactual</t>
  </si>
  <si>
    <t>BTG Pactual Absoluto LS FIC FIM</t>
  </si>
  <si>
    <t>BTG PACTUAL INFRAESTRUTURA II FIC DE FIP</t>
  </si>
  <si>
    <t>BTG PACTUAL INFRAESTRUTURA II FIC FIP</t>
  </si>
  <si>
    <t>BTG PACTUAL PRINCIPAL INVESTMENTS FICFIP</t>
  </si>
  <si>
    <t>CANVAS VECTOR CSHG FC FI MULT</t>
  </si>
  <si>
    <t>Canvas</t>
  </si>
  <si>
    <t>CAPITANIA REIT - CAPITANIA</t>
  </si>
  <si>
    <t>Capitânia</t>
  </si>
  <si>
    <t>CAPITANIA REIT INST FC FI MULT CRED PRIV</t>
  </si>
  <si>
    <t>CAPTALYS ORION FIC MULTIMERCADO CRÉDITO PRIVADO</t>
  </si>
  <si>
    <t>Captalys</t>
  </si>
  <si>
    <t>CLARITAS INSTITUCIONAL FIM</t>
  </si>
  <si>
    <t>Claritas</t>
  </si>
  <si>
    <t>CLARITAS LONG SHORT FI COTAS FI MULT</t>
  </si>
  <si>
    <t>COPA FLORESTAL - Copa</t>
  </si>
  <si>
    <t>Copa</t>
  </si>
  <si>
    <t>CSHG ALL BAHIA AM MARAU FC FI MULT</t>
  </si>
  <si>
    <t>CSHG ALL LEGACY CAPITAL FC FI MULT</t>
  </si>
  <si>
    <t>Legacy</t>
  </si>
  <si>
    <t>CSHG ALL SPX NIMITZ CSHG FC FI MULT</t>
  </si>
  <si>
    <t>SPX</t>
  </si>
  <si>
    <t>CSHG ALL TRUXT MACRO FC FI MULT</t>
  </si>
  <si>
    <t>Truxt</t>
  </si>
  <si>
    <t>CSHG ALLOCATION KAPITALO ZETA FC FI MULT</t>
  </si>
  <si>
    <t>Kapitalo</t>
  </si>
  <si>
    <t>Empreendedor Brasil FIP</t>
  </si>
  <si>
    <t>EMPREENDEDOR BRASIL FIP MULTIESTRATEGIA</t>
  </si>
  <si>
    <t>FBIE FIP II</t>
  </si>
  <si>
    <t>FICFI MULT GARDE DUMAS</t>
  </si>
  <si>
    <t>Garde</t>
  </si>
  <si>
    <t>FICFI MULTIMERCADO GARDE DUMAS</t>
  </si>
  <si>
    <t>FIP BVEP PLAZA MULTIESTRATEGIA-CLASSE A</t>
  </si>
  <si>
    <t>FIP CAIXA MODAL ÓLEO E GÁS</t>
  </si>
  <si>
    <t>FIP KINEA PRIVATE EQUITY II</t>
  </si>
  <si>
    <t>Kinea</t>
  </si>
  <si>
    <t>FIP KINEA PRIVATE EQUITY IV</t>
  </si>
  <si>
    <t>FIP MALBEC MULTIESTRATEGIA</t>
  </si>
  <si>
    <t>FIP MELBOURNE MULTIESTRATEGIA</t>
  </si>
  <si>
    <t>FIP MULTIESTRATEGIA BRASIL PETROLEO 1</t>
  </si>
  <si>
    <t>FIP RIO BRAVO ENERGIA I</t>
  </si>
  <si>
    <t>Rio Bravo</t>
  </si>
  <si>
    <t>FIP TERRA VIVA</t>
  </si>
  <si>
    <t>FUNDO JGP STRATEGY ESTRUTURADO FC FI MULTIMERCADO</t>
  </si>
  <si>
    <t>JGP</t>
  </si>
  <si>
    <t>FUNDO PACIFICO MACRO - FIC FIM</t>
  </si>
  <si>
    <t>Pacífico</t>
  </si>
  <si>
    <t>GARDE DUMAS</t>
  </si>
  <si>
    <t>Genoa Capital Radar VT FIC FIM</t>
  </si>
  <si>
    <t>Genoa</t>
  </si>
  <si>
    <t>GIANT ZARATHUSTRA II FC FI MULT</t>
  </si>
  <si>
    <t>Giant Steps</t>
  </si>
  <si>
    <t>HAMILTON LANE - HAMILTON LANE</t>
  </si>
  <si>
    <t>Signal Capital</t>
  </si>
  <si>
    <t>HAMILTON LANE BRASIL FI D FI II FIP MULT</t>
  </si>
  <si>
    <t>CD</t>
  </si>
  <si>
    <t>HAMILTON LANE FOF II - FIC FIP</t>
  </si>
  <si>
    <t>IBIUNA HEDGE STH FIC MULTIMERCADO</t>
  </si>
  <si>
    <t>Ibiúna</t>
  </si>
  <si>
    <t>IBIUNA LONG SHORT STLS FC DE FI MULT</t>
  </si>
  <si>
    <t>ICATU VANGUARDA MULTIESTRATEGIA MODERADO</t>
  </si>
  <si>
    <t>Icatu</t>
  </si>
  <si>
    <t>INVESTIDORES INSTITUCIONAIS FIP</t>
  </si>
  <si>
    <t>Investidores Institucionais FIP</t>
  </si>
  <si>
    <t>INVESTIDORES INSTITUCIONAIS III - FIP</t>
  </si>
  <si>
    <t>Itaú Hedge Plus FIC FIM</t>
  </si>
  <si>
    <t>Itaú</t>
  </si>
  <si>
    <t>ITAÚ HEDGE PLUS FIC MULTIMERCADO</t>
  </si>
  <si>
    <t>ITAU HEDGE PLUS FIM</t>
  </si>
  <si>
    <t>JGP Strategy Estruturado FIC FIM</t>
  </si>
  <si>
    <t>JGP STRATEGY FICFIM</t>
  </si>
  <si>
    <t>KAPITALO KAPPA ADVISORY FC DE FI MULT</t>
  </si>
  <si>
    <t>KAPITALO KAPPA ADVISORY FIC MULTIMERCADO</t>
  </si>
  <si>
    <t>KAPITALO KAPPA FIN FC DE FI MULT</t>
  </si>
  <si>
    <t>Kapitalo Kappa FIN FIC FIM</t>
  </si>
  <si>
    <t>KAPITALO ZETA FC DE FI MULT</t>
  </si>
  <si>
    <t>KAPITALO ZETA FICFIM</t>
  </si>
  <si>
    <t>KINEA ATLAS FIM</t>
  </si>
  <si>
    <t>KINEA CHRONOS FI MULT</t>
  </si>
  <si>
    <t>Kinea Chronos FIM</t>
  </si>
  <si>
    <t>KINEA CHRONOS FIM</t>
  </si>
  <si>
    <t>KINEA PE IV FEEDER INST II FIP ME</t>
  </si>
  <si>
    <t>LACAN FLORESTAL II - LACAN</t>
  </si>
  <si>
    <t>Lacan</t>
  </si>
  <si>
    <t>LACAN FLORESTAL II FIP</t>
  </si>
  <si>
    <t>LACAN FLORESTAL III FEEDER FIP MULT</t>
  </si>
  <si>
    <t>LACAN FLORESTAL III FIP</t>
  </si>
  <si>
    <t>LACAN FLORESTAL- FIP MULT</t>
  </si>
  <si>
    <t>LACAN III - LACAN</t>
  </si>
  <si>
    <t>Legacy Capital II FIC FIM</t>
  </si>
  <si>
    <t>LOGISTICA BR FIP</t>
  </si>
  <si>
    <t>MAUA MACRO FIC DE FIM</t>
  </si>
  <si>
    <t>MINAS GERAIS FIP MULTIESTRATEGIA</t>
  </si>
  <si>
    <t>NAVI LONG SHORT FC DE FI MULT</t>
  </si>
  <si>
    <t>Navi</t>
  </si>
  <si>
    <t>NAVI LS EST FICFIM</t>
  </si>
  <si>
    <t>NEO MULTI ESTRATEGIA 30 FEEDER FICFI MULTIMERCADO</t>
  </si>
  <si>
    <t>Neo</t>
  </si>
  <si>
    <t>NORDESTE II FIP EMP EMERGENTES EM LIQUID</t>
  </si>
  <si>
    <t>NORDESTE III FIP MULTIESTRATEGIA</t>
  </si>
  <si>
    <t>NOVUS MACRO FC MULT</t>
  </si>
  <si>
    <t>Novus</t>
  </si>
  <si>
    <t>OCCAM RETORNO ABSOLUTO FICFI MULT</t>
  </si>
  <si>
    <t>Occam</t>
  </si>
  <si>
    <t>OCCAM RETORNO ABSOLUTO FICFIM</t>
  </si>
  <si>
    <t>OCEANA LONG BIASED FICFI MULT</t>
  </si>
  <si>
    <t>Oceana</t>
  </si>
  <si>
    <t>Óleo &amp; Gás FIP</t>
  </si>
  <si>
    <t>OLEO E GAS FIP MULTIESTRATEGIA</t>
  </si>
  <si>
    <t>ORIA TECH 1 INOVACAO FIP ME</t>
  </si>
  <si>
    <t>Ória</t>
  </si>
  <si>
    <t>P2 BRASIL INFRAESTRUTURA III - FIC FIP</t>
  </si>
  <si>
    <t>Patria</t>
  </si>
  <si>
    <t>PATRIA BRASIL INFRAESTRUTURA III FIC DE FUNDO DE I</t>
  </si>
  <si>
    <t>PATRIA INFRAESTRUTURA IV FEEDER-B FIPM B</t>
  </si>
  <si>
    <t>PÁTRIA REAL ESTATE II PRIVATE - FIC</t>
  </si>
  <si>
    <t>PÁTRIA SPECIAL OPP. I - FIC</t>
  </si>
  <si>
    <t>SAFRA S P REAIS PB FI MULTIME</t>
  </si>
  <si>
    <t>Safra</t>
  </si>
  <si>
    <t>SHARP L SHORT 2X FIM</t>
  </si>
  <si>
    <t>Sharp</t>
  </si>
  <si>
    <t>SPECTRA IV INST FI PARTICIPACOES MULTIES</t>
  </si>
  <si>
    <t>Spectra</t>
  </si>
  <si>
    <t>SPECTRA IV INST FIP - Spectra</t>
  </si>
  <si>
    <t>SPECTRA LAT AM PRIV EQUITYIII FI MULT IE</t>
  </si>
  <si>
    <t>SPX APACHE FIC FIA</t>
  </si>
  <si>
    <t>SPX NIM ESTR FIC FIM</t>
  </si>
  <si>
    <t>SPX NIMITZ ESTRUTURADO FIC MULTIMERCADO</t>
  </si>
  <si>
    <t>SPX NIMITZ ESTRUTURADO FICFI MULT</t>
  </si>
  <si>
    <t>STRATUS SCP III BRASIL FIP-M</t>
  </si>
  <si>
    <t>Stratus</t>
  </si>
  <si>
    <t>SUL AMERICA APOLLO FI MULT</t>
  </si>
  <si>
    <t>Sul América</t>
  </si>
  <si>
    <t>SUL AMERICA EVOLUTION FIM</t>
  </si>
  <si>
    <t>TRUXT I MACRO FICFI MULT</t>
  </si>
  <si>
    <t>TRUXT I MACRO FIM</t>
  </si>
  <si>
    <t>VERDE AM SCENA ADV FC FI MULT</t>
  </si>
  <si>
    <t>Verde</t>
  </si>
  <si>
    <t>VINCI MULTIESTRATÉGIA FIM</t>
  </si>
  <si>
    <t>Vinci</t>
  </si>
  <si>
    <t>VINCI VALOREM FI MULTIMERCADO</t>
  </si>
  <si>
    <t>VINCI VALOREM FIM</t>
  </si>
  <si>
    <t>VINLAND MACRO FIC FIM</t>
  </si>
  <si>
    <t>Vinland</t>
  </si>
  <si>
    <t>ZARATHUSTRA II FIM</t>
  </si>
  <si>
    <t>COPEL</t>
  </si>
  <si>
    <t>Pátria</t>
  </si>
  <si>
    <t>Vista</t>
  </si>
  <si>
    <t>Kadima</t>
  </si>
  <si>
    <t>Exploritas</t>
  </si>
  <si>
    <t>Plano Unificado</t>
  </si>
  <si>
    <t>Plano Família</t>
  </si>
  <si>
    <t>Data-base</t>
  </si>
  <si>
    <t>Plano 1</t>
  </si>
  <si>
    <t>Plano 2</t>
  </si>
  <si>
    <t>ACEPREV ACESITA</t>
  </si>
  <si>
    <t>Res. 4661</t>
  </si>
  <si>
    <t>PL Total</t>
  </si>
  <si>
    <t>Estruturados</t>
  </si>
  <si>
    <t>FIP</t>
  </si>
  <si>
    <t>FIC FIM</t>
  </si>
  <si>
    <t>Plano 3</t>
  </si>
  <si>
    <t>Plano 4</t>
  </si>
  <si>
    <t>PBS TNC</t>
  </si>
  <si>
    <t>Plano Básico</t>
  </si>
  <si>
    <t>Plano Especial I</t>
  </si>
  <si>
    <t>Plano Especial II</t>
  </si>
  <si>
    <t>Plano PGA</t>
  </si>
  <si>
    <t>PL TOTAL</t>
  </si>
  <si>
    <t>SANTANDER FI APOLO MULTIMERCADO CRÉDITO PRIVADO</t>
  </si>
  <si>
    <t>SANTANDER FI RECIFE RENDA FIXA</t>
  </si>
  <si>
    <t>Plano 5</t>
  </si>
  <si>
    <t>Plano 6</t>
  </si>
  <si>
    <t>Plano 7</t>
  </si>
  <si>
    <t>Plano 8</t>
  </si>
  <si>
    <t>Plano 9</t>
  </si>
  <si>
    <t>Plano I</t>
  </si>
  <si>
    <t>Plano IV</t>
  </si>
  <si>
    <t>Plano V</t>
  </si>
  <si>
    <t>Plano Pré 75</t>
  </si>
  <si>
    <t>Plano DCA</t>
  </si>
  <si>
    <t>Plano DBA</t>
  </si>
  <si>
    <t>Plano Caciban</t>
  </si>
  <si>
    <t>Plano SANPREV I</t>
  </si>
  <si>
    <t>0,34%</t>
  </si>
  <si>
    <t>0,88%</t>
  </si>
  <si>
    <t>BRASIL MEZANINO INFRAESTRUTURA FIP</t>
  </si>
  <si>
    <t>FIP BRASIL ENERGIA MULTIESTRATEGIA</t>
  </si>
  <si>
    <t>0.03%</t>
  </si>
  <si>
    <t>FIP MULTIESTRATEGIA CAIXA AMBIENTAL</t>
  </si>
  <si>
    <t>FIP TERRA VIVA MULTIESTRATEGIA - SENIOR B</t>
  </si>
  <si>
    <t>FDO BRASIL DE INTERNACIONALIZACAO DE EMPRESAS FIP</t>
  </si>
  <si>
    <t>BRASIL ENERGIA RENOVAVEL FIP</t>
  </si>
  <si>
    <t>19.261,617,83</t>
  </si>
  <si>
    <t>HERMES FIC DE FI MM</t>
  </si>
  <si>
    <t>PLANO II</t>
  </si>
  <si>
    <t xml:space="preserve"> GARDE DUMAS</t>
  </si>
  <si>
    <t>VINCI IMPACTO E RETORNO IV FEEDER B FIP MULTIESTRATEGIA</t>
  </si>
  <si>
    <t>BTG PACTUAL ECONOMIA REAL FIP MULTIESTRATEGIA</t>
  </si>
  <si>
    <t>c</t>
  </si>
  <si>
    <t>ABDI FLEXCERES</t>
  </si>
  <si>
    <t>Ceres Basico</t>
  </si>
  <si>
    <t>Ceres FlexCeres</t>
  </si>
  <si>
    <t>Cidasc FlexCeres</t>
  </si>
  <si>
    <t>Emater Basico</t>
  </si>
  <si>
    <t>Emater FlexCeres</t>
  </si>
  <si>
    <t>Emater Saldado</t>
  </si>
  <si>
    <t>Embrapa Basico</t>
  </si>
  <si>
    <t>Embrapa FlexCeres</t>
  </si>
  <si>
    <t>Epagri Basico</t>
  </si>
  <si>
    <t>EpagriFlexceres</t>
  </si>
  <si>
    <t>Epagri Saldado</t>
  </si>
  <si>
    <t>Epamig Basico</t>
  </si>
  <si>
    <t>Epamig Flexceres</t>
  </si>
  <si>
    <t>Epamig Saldado</t>
  </si>
  <si>
    <t>FIPAC FMIEE</t>
  </si>
  <si>
    <t>BR MEZANINO INFR FIP</t>
  </si>
  <si>
    <t>BTG INFRA II FIC FIP</t>
  </si>
  <si>
    <t>FIP CAIXA AMBIENTAL</t>
  </si>
  <si>
    <t>FIP CAIXA INCORP IMO</t>
  </si>
  <si>
    <t>DGF FICPAC2 FIP</t>
  </si>
  <si>
    <t>FIP INVEST III</t>
  </si>
  <si>
    <t>EMPREENDE BRASIL FIP</t>
  </si>
  <si>
    <t>MERC ALIMENTOS FIPEE</t>
  </si>
  <si>
    <t>BRASIL AGRONEGOC FIP</t>
  </si>
  <si>
    <t>AG ANGRA INF FIP</t>
  </si>
  <si>
    <t>FIP INSEED FIMA MULT</t>
  </si>
  <si>
    <t>NORDESTE II FIP EE</t>
  </si>
  <si>
    <t>IBIUNA HE STH FICFIM</t>
  </si>
  <si>
    <t>GARDE DUMAS FIC FIM</t>
  </si>
  <si>
    <t>NOVUS CAP MACRO FICP</t>
  </si>
  <si>
    <t>NEO M.E30 FEEDR FIM</t>
  </si>
  <si>
    <t>NOVUS CAP MACRO FICF</t>
  </si>
  <si>
    <t>NEO M.E 30 FEEDR FIM</t>
  </si>
  <si>
    <t>Kinea Investimentos</t>
  </si>
  <si>
    <t>Giant</t>
  </si>
  <si>
    <t>Maraú</t>
  </si>
  <si>
    <t>Plano CD</t>
  </si>
  <si>
    <t>Plano Suplementar</t>
  </si>
  <si>
    <t xml:space="preserve">Lacan Florestal </t>
  </si>
  <si>
    <t>Pátria Brasil Infra</t>
  </si>
  <si>
    <t>Pátria Brasil Infra III</t>
  </si>
  <si>
    <t>Lacan Florestal II</t>
  </si>
  <si>
    <t>BTG Pactual Timberland I</t>
  </si>
  <si>
    <t>FIP BVEP Plaza Multiestratégia</t>
  </si>
  <si>
    <t>Pátria Terras</t>
  </si>
  <si>
    <t>Invest Tech</t>
  </si>
  <si>
    <t>FIP MZO Logístico</t>
  </si>
  <si>
    <t>Patria Real Estate Private II FIC FIP</t>
  </si>
  <si>
    <t>Terras Brasil FIP</t>
  </si>
  <si>
    <t>Pátria Special Opportunities FIQ FIP</t>
  </si>
  <si>
    <t>Spectra Institucional IV</t>
  </si>
  <si>
    <t>Hamilton Lane FIP</t>
  </si>
  <si>
    <t>Lacan Florestal III</t>
  </si>
  <si>
    <t>Pátria Brasil Infra IV</t>
  </si>
  <si>
    <t>Captalys Orion FIC FIM</t>
  </si>
  <si>
    <t>Itaú Hedge Plus</t>
  </si>
  <si>
    <t>Navi Long &amp; Short FIM</t>
  </si>
  <si>
    <t>Absolute EP Alpha Global</t>
  </si>
  <si>
    <t>ARX Extra FIC FIM</t>
  </si>
  <si>
    <t>Sparta Dinâmico</t>
  </si>
  <si>
    <t>Plano Único RGE</t>
  </si>
  <si>
    <t>Plano Único CGTEE</t>
  </si>
  <si>
    <t>Plano Único CEEE</t>
  </si>
  <si>
    <t>PLANO ÚNICO RGE SUL</t>
  </si>
  <si>
    <t xml:space="preserve">Plano </t>
  </si>
  <si>
    <t>BR ENERGIA REN FIP</t>
  </si>
  <si>
    <t>NEO CAP MEZ FIP</t>
  </si>
  <si>
    <t>ÓRIA TECH 1 FIP</t>
  </si>
  <si>
    <t>PA BR INF III FICFIP</t>
  </si>
  <si>
    <t>PATRIA REAL ESTII FP</t>
  </si>
  <si>
    <t>CLARITAS LS FIC FIM</t>
  </si>
  <si>
    <t>NAVI LONG SHORT FIM</t>
  </si>
  <si>
    <t>IBIUNA HEDGE FICFIM</t>
  </si>
  <si>
    <t>ABS EP AL GLOBFICFIM</t>
  </si>
  <si>
    <t>OCCAM RETABSL FICFIM</t>
  </si>
  <si>
    <t>Plano Fipecq</t>
  </si>
  <si>
    <t>CRESCERA EDUCACIONAL II FIP</t>
  </si>
  <si>
    <t>STRATUS SCP III FIP</t>
  </si>
  <si>
    <t>TRISCORP ATIVOS FLORESTAIS FIP</t>
  </si>
  <si>
    <t>Plano Funbep I</t>
  </si>
  <si>
    <t>Plano Funbep II</t>
  </si>
  <si>
    <t>PAT INF ENERG CF FIP</t>
  </si>
  <si>
    <t>PAT INF ENERG II FIP</t>
  </si>
  <si>
    <t>Truxt II LONG SHORT</t>
  </si>
  <si>
    <t>HEDGE PLUS</t>
  </si>
  <si>
    <t>GENOA CAP RDAR</t>
  </si>
  <si>
    <t>SPX MIN ESTRU</t>
  </si>
  <si>
    <t>BR ELETRO FIDC SEM</t>
  </si>
  <si>
    <t>IT DISTRIB OP EX FIM</t>
  </si>
  <si>
    <t>INS OPTIMUS TITAN FI</t>
  </si>
  <si>
    <t>Plano VI</t>
  </si>
  <si>
    <t>Plano BMP</t>
  </si>
  <si>
    <t>BHG MODAL FIP HOTELA</t>
  </si>
  <si>
    <t>FIP BVEP PLAZA CL A</t>
  </si>
  <si>
    <t>FIP NOVA RAPOSO</t>
  </si>
  <si>
    <t>HAMILTON LANE II FIP</t>
  </si>
  <si>
    <t>FIP KINEA PRIV EQ II</t>
  </si>
  <si>
    <t>KINEA PRI EQ IV FIP</t>
  </si>
  <si>
    <t>FIP LACAN FLORESTAL</t>
  </si>
  <si>
    <t>LACAN FL III F FIP M</t>
  </si>
  <si>
    <t>PATRIA SPECIAL OPP I</t>
  </si>
  <si>
    <t>RB ENERGIA I S2</t>
  </si>
  <si>
    <t>STRATU SCP III FIP C</t>
  </si>
  <si>
    <t>FIP INFRA BB VOTO EM</t>
  </si>
  <si>
    <t>FIP MALBEC E1 S1</t>
  </si>
  <si>
    <t>IBIUNA LS STLS FIC F</t>
  </si>
  <si>
    <t>BAHIA MARAU FICFIM</t>
  </si>
  <si>
    <t>CAPITALYS FIM CP</t>
  </si>
  <si>
    <t>KINEA IPCA FIC FIM</t>
  </si>
  <si>
    <t>ITAÚ HEDGE PLUS MM FIC</t>
  </si>
  <si>
    <t>SPX NIM ESTRU FIC MM</t>
  </si>
  <si>
    <t>KINEA MACRO CHRONOS</t>
  </si>
  <si>
    <t>ABSOL VERTEX II FICM</t>
  </si>
  <si>
    <t>Futuro Inteligente</t>
  </si>
  <si>
    <t>ITAUCARD CV</t>
  </si>
  <si>
    <t>ITAUBANCO CD</t>
  </si>
  <si>
    <t>ITAUBANK</t>
  </si>
  <si>
    <t>PAC</t>
  </si>
  <si>
    <t>PREBEG</t>
  </si>
  <si>
    <t>REDECARD</t>
  </si>
  <si>
    <t>ITAÚ SUPLEMENTAR</t>
  </si>
  <si>
    <t>KINEA PE II ME</t>
  </si>
  <si>
    <t>CRESCERA GROWTH CO-INVESTMENT II FIP MULTIESTRATÉGIA</t>
  </si>
  <si>
    <t>COPA FLORESTAL III</t>
  </si>
  <si>
    <t>NEO CAPITAL MEZANINO FIP MULTIESTRATÉGIA</t>
  </si>
  <si>
    <t>TRUXT II LONG AND SHORT</t>
  </si>
  <si>
    <t>VÉRTICE VERDE 60 FIC FIM</t>
  </si>
  <si>
    <t>ABSOLUTE VERTEX FIC FIM</t>
  </si>
  <si>
    <t>LEGACY CAPITAL A FIC FIM</t>
  </si>
  <si>
    <t>ITAÚ HEDGE PLUS</t>
  </si>
  <si>
    <t>COPASA</t>
  </si>
  <si>
    <t>CODEMIG</t>
  </si>
  <si>
    <t>COHAB Minas</t>
  </si>
  <si>
    <t>Libertas Prev</t>
  </si>
  <si>
    <t>PRODEMGE</t>
  </si>
  <si>
    <t>FIP ME KINEA PRIVATE EQUITY II</t>
  </si>
  <si>
    <t>BAHIA AM MARAU ESTRUTURADO FC FI MULT</t>
  </si>
  <si>
    <t>PLANO I</t>
  </si>
  <si>
    <t>FLORESTAS DO BRASIL FI EM PARTICIPAÇÕES</t>
  </si>
  <si>
    <t>FIP BVEP PLAZA</t>
  </si>
  <si>
    <t>INDUSTRIAL PARKS BRASIL FIP MULTIESTRATÉGIA</t>
  </si>
  <si>
    <t>FIP INSEED FUNDO DE INOVAÇÃO EM MEIO AMBIENTE</t>
  </si>
  <si>
    <t>HAMILTON LANE FIC FIP</t>
  </si>
  <si>
    <t>MULTINER FIP</t>
  </si>
  <si>
    <t>STRATUS SCP BR FIP</t>
  </si>
  <si>
    <t>P2 BR INFRAESTRUTURA III FIC DE FIP</t>
  </si>
  <si>
    <t>INVESTIDORES INSTITUCIONAIS II- FIP</t>
  </si>
  <si>
    <t>P2 BR INFRAESTRUTURA FIC DE FIP</t>
  </si>
  <si>
    <t>FIC DE FIM GARDE DUMAS</t>
  </si>
  <si>
    <t>SPX NIMITZ ESTRUTURADO FIC DE FIM</t>
  </si>
  <si>
    <t>BAHIA AM MARAU ESTRUTURADO FIC DE FIM</t>
  </si>
  <si>
    <t>EXPLORITAS ALPHA AMERICA LATINA FIC DE FIM</t>
  </si>
  <si>
    <t>BA-CD</t>
  </si>
  <si>
    <t>BA-BD</t>
  </si>
  <si>
    <t>PE-CD</t>
  </si>
  <si>
    <t>PE-BD</t>
  </si>
  <si>
    <t>RN-CD</t>
  </si>
  <si>
    <t>RN-BD</t>
  </si>
  <si>
    <t>Lacan Florestal Multiestratégia FIP</t>
  </si>
  <si>
    <t>Lacan Florestal II Multiestratégia FIP</t>
  </si>
  <si>
    <t>Spectra IV Institucional FIP Multiestratégia</t>
  </si>
  <si>
    <t>Brasil Energia Renovável - FIP Multiestratégia</t>
  </si>
  <si>
    <t>Bahia AM Marau Estruturado FIC FIM</t>
  </si>
  <si>
    <t>Garde Dartagnan FIC</t>
  </si>
  <si>
    <t>Exploritas Alpha América Latina FIC</t>
  </si>
  <si>
    <t>Occam Equity Hedge FIC</t>
  </si>
  <si>
    <t>Absolute Vertex II FIC FIM</t>
  </si>
  <si>
    <t>SPX Nimitz Estruturado FIC FIM</t>
  </si>
  <si>
    <t>Nucleos PBB</t>
  </si>
  <si>
    <t>CRT FIP - MULTIESTRATEGIA</t>
  </si>
  <si>
    <t>ENERGIA PCH FIP MULTIESTRATEGIA</t>
  </si>
  <si>
    <t>EXPLORITAS ALPHA AMERICA LAT FICFI MULT</t>
  </si>
  <si>
    <t>IBIUNA HEDGE STH FC DE FI MULT</t>
  </si>
  <si>
    <t>SANOFI</t>
  </si>
  <si>
    <t>Occam Equity Hedge Fc FI Mult</t>
  </si>
  <si>
    <t>Solana Long And Short Fc FI Mult</t>
  </si>
  <si>
    <t>Sharp Long Short 2x Feeder Fc FI Mult</t>
  </si>
  <si>
    <t>Adam Macro II Fc FI Mult</t>
  </si>
  <si>
    <t>Verde Am VII FICFI Mult</t>
  </si>
  <si>
    <t>Navi Long Short Fc de FI Mult</t>
  </si>
  <si>
    <t>Az Quest Total Return Fc FI Mult</t>
  </si>
  <si>
    <t>Rps Equity Hedge D30 Lyon FICFI Mult</t>
  </si>
  <si>
    <t>Legacy Capital Toulouse FICFI Mult</t>
  </si>
  <si>
    <t>Spx Nimitz Estruturado FICFI Mult</t>
  </si>
  <si>
    <t>Persevera Compass FICFI Mult</t>
  </si>
  <si>
    <t>Ibiuna Hedge Sth Fc de FI Mult</t>
  </si>
  <si>
    <t>Promon Básico Plus</t>
  </si>
  <si>
    <t>Promon MultiFlex</t>
  </si>
  <si>
    <t>BTG PACTUAL TIMBERLAND FUND I FIC FIP ME</t>
  </si>
  <si>
    <t>PATRIA RE III PRIVATE I FIQ FIP</t>
  </si>
  <si>
    <t>PÁTRIA REAL ESTATE PRIVATE II FI EM QUOTAS FIP</t>
  </si>
  <si>
    <t>STRATUS SCP II BRASIL FIP (CLASSE A)</t>
  </si>
  <si>
    <t>ABSOLUTE VERTEX FIC FI MULT</t>
  </si>
  <si>
    <t>ADAM MACRO STRATEGY 1 FICFI MULT</t>
  </si>
  <si>
    <t>BAHIA AM MARAU A FC DE FI MULT</t>
  </si>
  <si>
    <t>KINEA TLS FI MULT</t>
  </si>
  <si>
    <t>LEGACY CAPITAL A FICFI MULT</t>
  </si>
  <si>
    <t>TRUXT II LONG SHORT FICFI MULT</t>
  </si>
  <si>
    <t>VERDE AM V FICFI MULT</t>
  </si>
  <si>
    <t>WESTERN ASSET LONG &amp; SHORT MACRO FI MULT</t>
  </si>
  <si>
    <t>BRASIL PORTOS E ATIVOS LOGISTICOS FIPM</t>
  </si>
  <si>
    <t>DGF FIPAC 2 FIP FIP MULTIESTRATEGIA</t>
  </si>
  <si>
    <t>ÓRIA TECH1 INOVAÇÃO FIP MULTIESTRATÉGIA</t>
  </si>
  <si>
    <t>FIP BRASIL ENERGIA MULTIESTRATÉGIA</t>
  </si>
  <si>
    <t>Sabesprev Mais</t>
  </si>
  <si>
    <t>Reforço</t>
  </si>
  <si>
    <t>Perfin Apollo Energia FIP Infraestrutura</t>
  </si>
  <si>
    <t xml:space="preserve">BRZ Agronegócios FIP </t>
  </si>
  <si>
    <t>FIC FIP BTG Pactual Principal Investments</t>
  </si>
  <si>
    <t>Copa Florestas do Brasil FIP</t>
  </si>
  <si>
    <t>Copa Florestal III FIP</t>
  </si>
  <si>
    <t>Hamilton Lane FIC FIP</t>
  </si>
  <si>
    <t>Hamilton Lane FIP II</t>
  </si>
  <si>
    <t>FIP Pátria Special Opportunities</t>
  </si>
  <si>
    <t>Spectra PE II Bridge FIC de FIMM</t>
  </si>
  <si>
    <t>Spectra Latin America Private Equity III FIM INV E</t>
  </si>
  <si>
    <t>SPECTRA IV Institucional FIP Multiestratégia</t>
  </si>
  <si>
    <t>SPECTRA GODARD FIP MULTI IE</t>
  </si>
  <si>
    <t>Vinci Infra Transmissão FIP em Infraestrutura</t>
  </si>
  <si>
    <t>Vinci Infra Coinvestimento I FIP em Infraestrutura</t>
  </si>
  <si>
    <t>BBM BAHIA FIC FIM</t>
  </si>
  <si>
    <t>Patria Crédito Estruturado FIDC</t>
  </si>
  <si>
    <t xml:space="preserve">XP LONG BIASED II </t>
  </si>
  <si>
    <t xml:space="preserve">AZ QUEST I FI MM </t>
  </si>
  <si>
    <t>OCCAM E HEDGE FICFIM</t>
  </si>
  <si>
    <t>PACIFICO MACRO FIC MM</t>
  </si>
  <si>
    <t>TAVOLA ABS FIM</t>
  </si>
  <si>
    <t>OCEANA LONG BIASED FIC FIM</t>
  </si>
  <si>
    <t>PS I</t>
  </si>
  <si>
    <t>PS II-BD</t>
  </si>
  <si>
    <t>PS II-CD</t>
  </si>
  <si>
    <t>FIP ATICO ENERGIA</t>
  </si>
  <si>
    <t>FIP ATICO FLORESTAL</t>
  </si>
  <si>
    <t>FIP ETB</t>
  </si>
  <si>
    <t>FIP INFRA SANEAMENTO</t>
  </si>
  <si>
    <t>FIP LSH</t>
  </si>
  <si>
    <t>FIP LA SHOPPING CENTERS</t>
  </si>
  <si>
    <t>FP2 FIP</t>
  </si>
  <si>
    <t>PDD FP2</t>
  </si>
  <si>
    <t>FIP BIOENERGIA</t>
  </si>
  <si>
    <t>ADAM MACRO STRATEGY II D60 FIC FIM</t>
  </si>
  <si>
    <t>SAGA TOP FIC FIM</t>
  </si>
  <si>
    <t>ABSOLUTE ALPHA GLOBAL FIC FIM</t>
  </si>
  <si>
    <t>IBIUNA HEDGE STH FIC FIM</t>
  </si>
  <si>
    <t>IBIUNA LONG SHORT STLS FIC FIM</t>
  </si>
  <si>
    <t>PCV I</t>
  </si>
  <si>
    <t>PBD</t>
  </si>
  <si>
    <t>ANGRA INVESTIDORES INSTITUCIONAIS FIP MULTIESTRATÉGIA</t>
  </si>
  <si>
    <t>ITAÚ LONG AND SHORT 30</t>
  </si>
  <si>
    <t>JGP STRATEGY ESTRUTURADO</t>
  </si>
  <si>
    <t>XP LONG BIASED II</t>
  </si>
  <si>
    <t>Usiprev</t>
  </si>
  <si>
    <t>PB1</t>
  </si>
  <si>
    <t>Cosiprev</t>
  </si>
  <si>
    <t>FIC FIP PATRIA</t>
  </si>
  <si>
    <t>FIP NEO</t>
  </si>
  <si>
    <t>FIP OLEO E GAS</t>
  </si>
  <si>
    <t>FIP RIO BRAVO E</t>
  </si>
  <si>
    <t>INV.INS.III FIP</t>
  </si>
  <si>
    <t>KAPITALO KAPPA</t>
  </si>
  <si>
    <t>NAVI LONG SHORT ESTRUTURADO</t>
  </si>
  <si>
    <t>HARLEY FIC FIM</t>
  </si>
  <si>
    <t>BAHIA MARAÚ FIC FIM</t>
  </si>
  <si>
    <t>BAHIA MARAÚ ESTRUTURADO FIC FIM</t>
  </si>
  <si>
    <t>JGP STRATEGY E</t>
  </si>
  <si>
    <t>VALEMAIS</t>
  </si>
  <si>
    <t>VALIAPREV</t>
  </si>
  <si>
    <t>PLANO BD</t>
  </si>
  <si>
    <t>VALE FERTILIZANTES</t>
  </si>
  <si>
    <t>MOSAIC MAIS</t>
  </si>
  <si>
    <t>2BCAPITAL BR CAP CRESCIMENTO I FIP B</t>
  </si>
  <si>
    <t>BMI FIP MULTIESTRATEGIA</t>
  </si>
  <si>
    <t>BRASIL SUSTENT FIP MULTIESTRATEGIA</t>
  </si>
  <si>
    <t>CRP VII FIP</t>
  </si>
  <si>
    <t>CTS II - FIP MULTIESTRATEGIA</t>
  </si>
  <si>
    <t>FBIE FIP MULTIESTRATEGIA</t>
  </si>
  <si>
    <t>FBIE FIPM II</t>
  </si>
  <si>
    <t>FS FIP MULTIESTRATEGIA</t>
  </si>
  <si>
    <t>INVESTIDORES INST III FIP MULTIESTRATEGIA</t>
  </si>
  <si>
    <t>NEO CAPITAL MEZANINO FIP MULTIESTRATEGIA</t>
  </si>
  <si>
    <t>INFRABRASIL FIP SENIOR B</t>
  </si>
  <si>
    <t>INFRABRASIL FIP SUBORDINADA</t>
  </si>
  <si>
    <t>ADAM MACRO II FIC FIM</t>
  </si>
  <si>
    <t>AZ QUEST MULT FIC FIM</t>
  </si>
  <si>
    <t>BB ACOES GLOBAIS INDEXADO IE FI</t>
  </si>
  <si>
    <t>BRADESCO GLOBAL INSTITUCIONAL FC FIA IE</t>
  </si>
  <si>
    <t>Visão Telefônica - Perfil Moderado</t>
  </si>
  <si>
    <t>Visão Multi - Perfil Moderado</t>
  </si>
  <si>
    <t>Visão Telefônica - Perfil Agressivo</t>
  </si>
  <si>
    <t>Visão Multi - Perfil Agressivo</t>
  </si>
  <si>
    <t>KAPITALO KAPPA X FICFIM</t>
  </si>
  <si>
    <t>MAUA MACRO FIC FIM</t>
  </si>
  <si>
    <t>Plano 10</t>
  </si>
  <si>
    <t>AES Tietê</t>
  </si>
  <si>
    <t>CESP</t>
  </si>
  <si>
    <t>CPFL</t>
  </si>
  <si>
    <t>CPFL Piratininga</t>
  </si>
  <si>
    <t>CTEEP</t>
  </si>
  <si>
    <t>ELEKTRO</t>
  </si>
  <si>
    <t>EMAE</t>
  </si>
  <si>
    <t>ENEL</t>
  </si>
  <si>
    <t>Rio Paranapanema</t>
  </si>
  <si>
    <t>FUNCESP</t>
  </si>
  <si>
    <t>GÁVEA MACRO</t>
  </si>
  <si>
    <t>BAHIA AM MARAÚ FIC FIM</t>
  </si>
  <si>
    <t>VERDE AM SCENA FICFIM</t>
  </si>
  <si>
    <t>ABSOLUTE VERTEX II</t>
  </si>
  <si>
    <t>KINEA CHRONOS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</si>
</sst>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"/>
  </numFmts>
  <fonts count="18">
    <font>
      <sz val="11"/>
      <color theme="1"/>
      <name val="Arial"/>
    </font>
    <font>
      <b/>
      <sz val="10"/>
      <color theme="1"/>
      <name val="Arial nova cond light"/>
    </font>
    <font>
      <sz val="10"/>
      <color theme="1"/>
      <name val="Arial nova cond light"/>
    </font>
    <font>
      <sz val="8"/>
      <color theme="1"/>
      <name val="Arial nova cond light"/>
    </font>
    <font>
      <sz val="10"/>
      <color rgb="FFFF0000"/>
      <name val="Arial nova cond light"/>
    </font>
    <font>
      <sz val="11"/>
      <color rgb="FFFF0000"/>
      <name val="Arial nova cond light"/>
    </font>
    <font>
      <sz val="10"/>
      <color rgb="FF385623"/>
      <name val="Arial nova cond light"/>
    </font>
    <font>
      <sz val="11"/>
      <color rgb="FF385623"/>
      <name val="Arial nova cond light"/>
    </font>
    <font>
      <sz val="10"/>
      <color rgb="FF0070C0"/>
      <name val="Arial nova cond light"/>
    </font>
    <font>
      <sz val="11"/>
      <color rgb="FF0070C0"/>
      <name val="Arial nova cond light"/>
    </font>
    <font>
      <sz val="11"/>
      <color theme="1"/>
      <name val="Arial nova cond light"/>
    </font>
    <font>
      <sz val="9"/>
      <color theme="1"/>
      <name val="Arial nova cond light"/>
    </font>
    <font>
      <sz val="11"/>
      <name val="Arial"/>
    </font>
    <font>
      <sz val="12"/>
      <color theme="1"/>
      <name val="Arial nova cond light"/>
    </font>
    <font>
      <b/>
      <sz val="12"/>
      <color theme="1"/>
      <name val="Arial nova cond light"/>
    </font>
    <font>
      <b/>
      <sz val="11"/>
      <color theme="1"/>
      <name val="Arial nova cond light"/>
    </font>
    <font>
      <sz val="11"/>
      <color theme="1"/>
      <name val="Calibri"/>
    </font>
    <font>
      <b/>
      <sz val="8"/>
      <color theme="1"/>
      <name val="Arial nova cond light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E2EFD9"/>
        <bgColor rgb="FFE2EFD9"/>
      </patternFill>
    </fill>
  </fills>
  <borders count="9">
    <border>
      <left/>
      <right/>
      <top/>
      <bottom/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 vertical="center" wrapText="1"/>
    </xf>
    <xf numFmtId="0" fontId="2" fillId="0" borderId="0" xfId="0" applyFont="1"/>
    <xf numFmtId="0" fontId="3" fillId="0" borderId="2" xfId="0" applyFont="1" applyBorder="1" applyAlignment="1">
      <alignment horizontal="center" vertical="center"/>
    </xf>
    <xf numFmtId="0" fontId="4" fillId="0" borderId="2" xfId="0" applyFont="1" applyBorder="1"/>
    <xf numFmtId="3" fontId="4" fillId="0" borderId="2" xfId="0" applyNumberFormat="1" applyFont="1" applyBorder="1" applyAlignment="1">
      <alignment horizontal="right" vertical="center"/>
    </xf>
    <xf numFmtId="0" fontId="5" fillId="0" borderId="0" xfId="0" applyFont="1"/>
    <xf numFmtId="0" fontId="6" fillId="0" borderId="2" xfId="0" applyFont="1" applyBorder="1"/>
    <xf numFmtId="3" fontId="6" fillId="0" borderId="2" xfId="0" applyNumberFormat="1" applyFont="1" applyBorder="1" applyAlignment="1">
      <alignment horizontal="right" vertical="center"/>
    </xf>
    <xf numFmtId="0" fontId="7" fillId="0" borderId="0" xfId="0" applyFont="1"/>
    <xf numFmtId="0" fontId="8" fillId="0" borderId="2" xfId="0" applyFont="1" applyBorder="1"/>
    <xf numFmtId="3" fontId="8" fillId="0" borderId="2" xfId="0" applyNumberFormat="1" applyFont="1" applyBorder="1" applyAlignment="1">
      <alignment horizontal="right" vertical="center"/>
    </xf>
    <xf numFmtId="0" fontId="9" fillId="0" borderId="0" xfId="0" applyFont="1"/>
    <xf numFmtId="0" fontId="3" fillId="0" borderId="3" xfId="0" applyFont="1" applyBorder="1" applyAlignment="1">
      <alignment horizontal="center" vertical="center"/>
    </xf>
    <xf numFmtId="0" fontId="8" fillId="0" borderId="3" xfId="0" applyFont="1" applyBorder="1"/>
    <xf numFmtId="3" fontId="8" fillId="0" borderId="3" xfId="0" applyNumberFormat="1" applyFont="1" applyBorder="1" applyAlignment="1">
      <alignment horizontal="right" vertical="center"/>
    </xf>
    <xf numFmtId="0" fontId="10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/>
    <xf numFmtId="10" fontId="2" fillId="0" borderId="0" xfId="0" applyNumberFormat="1" applyFont="1" applyAlignment="1">
      <alignment horizontal="center"/>
    </xf>
    <xf numFmtId="14" fontId="11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4" xfId="0" applyFont="1" applyBorder="1"/>
    <xf numFmtId="0" fontId="2" fillId="0" borderId="4" xfId="0" applyFont="1" applyBorder="1" applyAlignment="1">
      <alignment horizontal="center" vertical="center"/>
    </xf>
    <xf numFmtId="14" fontId="13" fillId="2" borderId="5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3" fillId="0" borderId="6" xfId="0" applyFont="1" applyBorder="1" applyAlignment="1">
      <alignment horizontal="center" vertical="center"/>
    </xf>
    <xf numFmtId="0" fontId="14" fillId="0" borderId="6" xfId="0" applyFont="1" applyBorder="1"/>
    <xf numFmtId="164" fontId="14" fillId="0" borderId="6" xfId="0" applyNumberFormat="1" applyFont="1" applyBorder="1"/>
    <xf numFmtId="9" fontId="14" fillId="0" borderId="6" xfId="0" applyNumberFormat="1" applyFont="1" applyBorder="1" applyAlignment="1">
      <alignment horizontal="center"/>
    </xf>
    <xf numFmtId="0" fontId="2" fillId="0" borderId="6" xfId="0" applyFont="1" applyBorder="1"/>
    <xf numFmtId="164" fontId="10" fillId="0" borderId="0" xfId="0" applyNumberFormat="1" applyFont="1"/>
    <xf numFmtId="10" fontId="10" fillId="0" borderId="0" xfId="0" applyNumberFormat="1" applyFont="1" applyAlignment="1">
      <alignment horizontal="center"/>
    </xf>
    <xf numFmtId="0" fontId="15" fillId="0" borderId="6" xfId="0" applyFont="1" applyBorder="1"/>
    <xf numFmtId="164" fontId="15" fillId="0" borderId="6" xfId="0" applyNumberFormat="1" applyFont="1" applyBorder="1"/>
    <xf numFmtId="10" fontId="15" fillId="0" borderId="6" xfId="0" applyNumberFormat="1" applyFont="1" applyBorder="1" applyAlignment="1">
      <alignment horizontal="center"/>
    </xf>
    <xf numFmtId="0" fontId="1" fillId="0" borderId="6" xfId="0" applyFont="1" applyBorder="1"/>
    <xf numFmtId="164" fontId="1" fillId="0" borderId="6" xfId="0" applyNumberFormat="1" applyFont="1" applyBorder="1"/>
    <xf numFmtId="10" fontId="1" fillId="0" borderId="6" xfId="0" applyNumberFormat="1" applyFont="1" applyBorder="1" applyAlignment="1">
      <alignment horizontal="center"/>
    </xf>
    <xf numFmtId="0" fontId="3" fillId="3" borderId="7" xfId="0" applyFont="1" applyFill="1" applyBorder="1" applyAlignment="1">
      <alignment horizontal="center" vertical="center"/>
    </xf>
    <xf numFmtId="0" fontId="2" fillId="3" borderId="7" xfId="0" applyFont="1" applyFill="1" applyBorder="1"/>
    <xf numFmtId="164" fontId="10" fillId="3" borderId="7" xfId="0" applyNumberFormat="1" applyFont="1" applyFill="1" applyBorder="1"/>
    <xf numFmtId="10" fontId="10" fillId="3" borderId="7" xfId="0" applyNumberFormat="1" applyFont="1" applyFill="1" applyBorder="1" applyAlignment="1">
      <alignment horizontal="center"/>
    </xf>
    <xf numFmtId="9" fontId="14" fillId="0" borderId="0" xfId="0" applyNumberFormat="1" applyFont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2" fillId="0" borderId="8" xfId="0" applyFont="1" applyBorder="1"/>
    <xf numFmtId="10" fontId="10" fillId="0" borderId="8" xfId="0" applyNumberFormat="1" applyFont="1" applyBorder="1" applyAlignment="1">
      <alignment horizontal="center"/>
    </xf>
    <xf numFmtId="4" fontId="14" fillId="0" borderId="0" xfId="0" applyNumberFormat="1" applyFont="1" applyAlignment="1">
      <alignment horizontal="center" wrapText="1"/>
    </xf>
    <xf numFmtId="9" fontId="14" fillId="0" borderId="0" xfId="0" applyNumberFormat="1" applyFont="1" applyAlignment="1">
      <alignment horizontal="center" wrapText="1"/>
    </xf>
    <xf numFmtId="4" fontId="10" fillId="0" borderId="0" xfId="0" applyNumberFormat="1" applyFont="1"/>
    <xf numFmtId="0" fontId="10" fillId="3" borderId="7" xfId="0" applyFont="1" applyFill="1" applyBorder="1"/>
    <xf numFmtId="10" fontId="14" fillId="0" borderId="6" xfId="0" applyNumberFormat="1" applyFont="1" applyBorder="1" applyAlignment="1">
      <alignment horizontal="center"/>
    </xf>
    <xf numFmtId="49" fontId="14" fillId="0" borderId="6" xfId="0" applyNumberFormat="1" applyFont="1" applyBorder="1" applyAlignment="1">
      <alignment horizontal="center"/>
    </xf>
    <xf numFmtId="4" fontId="2" fillId="0" borderId="0" xfId="0" applyNumberFormat="1" applyFont="1"/>
    <xf numFmtId="10" fontId="2" fillId="3" borderId="7" xfId="0" applyNumberFormat="1" applyFont="1" applyFill="1" applyBorder="1" applyAlignment="1">
      <alignment horizontal="center"/>
    </xf>
    <xf numFmtId="4" fontId="15" fillId="0" borderId="0" xfId="0" applyNumberFormat="1" applyFont="1"/>
    <xf numFmtId="10" fontId="10" fillId="3" borderId="7" xfId="0" applyNumberFormat="1" applyFont="1" applyFill="1" applyBorder="1" applyAlignment="1">
      <alignment horizontal="left"/>
    </xf>
    <xf numFmtId="164" fontId="10" fillId="0" borderId="0" xfId="0" applyNumberFormat="1" applyFont="1" applyAlignment="1">
      <alignment horizontal="left"/>
    </xf>
    <xf numFmtId="164" fontId="10" fillId="3" borderId="7" xfId="0" applyNumberFormat="1" applyFont="1" applyFill="1" applyBorder="1" applyAlignment="1">
      <alignment horizontal="left"/>
    </xf>
    <xf numFmtId="3" fontId="10" fillId="0" borderId="0" xfId="0" applyNumberFormat="1" applyFont="1"/>
    <xf numFmtId="49" fontId="10" fillId="3" borderId="7" xfId="0" applyNumberFormat="1" applyFont="1" applyFill="1" applyBorder="1" applyAlignment="1">
      <alignment horizontal="center"/>
    </xf>
    <xf numFmtId="49" fontId="10" fillId="0" borderId="0" xfId="0" applyNumberFormat="1" applyFont="1" applyAlignment="1">
      <alignment horizontal="center"/>
    </xf>
    <xf numFmtId="49" fontId="14" fillId="3" borderId="7" xfId="0" applyNumberFormat="1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2" fillId="3" borderId="7" xfId="0" applyFont="1" applyFill="1" applyBorder="1" applyAlignment="1">
      <alignment horizontal="left"/>
    </xf>
    <xf numFmtId="49" fontId="2" fillId="0" borderId="0" xfId="0" applyNumberFormat="1" applyFont="1" applyAlignment="1">
      <alignment horizontal="center"/>
    </xf>
    <xf numFmtId="10" fontId="2" fillId="3" borderId="7" xfId="0" applyNumberFormat="1" applyFont="1" applyFill="1" applyBorder="1" applyAlignment="1">
      <alignment horizontal="left"/>
    </xf>
    <xf numFmtId="49" fontId="2" fillId="3" borderId="7" xfId="0" applyNumberFormat="1" applyFont="1" applyFill="1" applyBorder="1" applyAlignment="1">
      <alignment horizontal="center"/>
    </xf>
    <xf numFmtId="0" fontId="10" fillId="0" borderId="0" xfId="0" applyFont="1" applyAlignment="1">
      <alignment horizontal="left"/>
    </xf>
    <xf numFmtId="0" fontId="16" fillId="0" borderId="0" xfId="0" applyFont="1"/>
    <xf numFmtId="164" fontId="0" fillId="0" borderId="0" xfId="0" applyNumberFormat="1"/>
    <xf numFmtId="10" fontId="0" fillId="0" borderId="0" xfId="0" applyNumberFormat="1" applyAlignment="1">
      <alignment horizontal="center"/>
    </xf>
    <xf numFmtId="164" fontId="0" fillId="3" borderId="7" xfId="0" applyNumberFormat="1" applyFill="1" applyBorder="1"/>
    <xf numFmtId="10" fontId="0" fillId="3" borderId="7" xfId="0" applyNumberFormat="1" applyFill="1" applyBorder="1" applyAlignment="1">
      <alignment horizontal="center"/>
    </xf>
    <xf numFmtId="10" fontId="0" fillId="0" borderId="8" xfId="0" applyNumberFormat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12" fillId="0" borderId="4" xfId="0" applyFont="1" applyBorder="1" applyAlignment="1"/>
    <xf numFmtId="0" fontId="3" fillId="0" borderId="5" xfId="0" applyFont="1" applyBorder="1" applyAlignment="1">
      <alignment horizontal="center" vertical="center"/>
    </xf>
    <xf numFmtId="0" fontId="2" fillId="0" borderId="5" xfId="0" applyFont="1" applyBorder="1"/>
    <xf numFmtId="0" fontId="1" fillId="0" borderId="5" xfId="0" applyFont="1" applyBorder="1" applyAlignment="1">
      <alignment horizontal="center" wrapText="1"/>
    </xf>
    <xf numFmtId="0" fontId="12" fillId="0" borderId="5" xfId="0" applyFont="1" applyBorder="1" applyAlignment="1"/>
    <xf numFmtId="0" fontId="2" fillId="0" borderId="5" xfId="0" applyFont="1" applyBorder="1" applyAlignment="1">
      <alignment horizontal="center" wrapText="1"/>
    </xf>
    <xf numFmtId="0" fontId="1" fillId="0" borderId="5" xfId="0" applyFont="1" applyBorder="1"/>
    <xf numFmtId="0" fontId="17" fillId="0" borderId="5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customschemas.google.com/relationships/workbookmetadata" Target="metadata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pane xSplit="2" ySplit="1" topLeftCell="C2" activePane="bottomRight" state="frozen"/>
      <selection pane="bottomRight" activeCell="C2" sqref="C2"/>
      <selection pane="bottomLeft" activeCell="A2" sqref="A2"/>
      <selection pane="topRight" activeCell="C1" sqref="C1"/>
    </sheetView>
  </sheetViews>
  <sheetFormatPr defaultColWidth="12.625" defaultRowHeight="15" customHeight="1"/>
  <cols>
    <col min="1" max="1" width="2.375" customWidth="1"/>
    <col min="2" max="2" width="22.25" customWidth="1"/>
    <col min="3" max="3" width="16.25" customWidth="1"/>
    <col min="4" max="26" width="8.625" customWidth="1"/>
  </cols>
  <sheetData>
    <row r="1" spans="1:26" ht="13.5" customHeight="1">
      <c r="A1" s="1"/>
      <c r="B1" s="2" t="s">
        <v>0</v>
      </c>
      <c r="C1" s="2" t="s">
        <v>1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>
      <c r="A2" s="4">
        <v>1</v>
      </c>
      <c r="B2" s="5" t="s">
        <v>2</v>
      </c>
      <c r="C2" s="6">
        <v>234732857</v>
      </c>
      <c r="D2" s="7" t="s">
        <v>3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customHeight="1">
      <c r="A3" s="4">
        <f t="shared" ref="A3:A244" si="0">A2+1</f>
        <v>2</v>
      </c>
      <c r="B3" s="5" t="s">
        <v>4</v>
      </c>
      <c r="C3" s="6">
        <v>97299969</v>
      </c>
      <c r="D3" s="7" t="s">
        <v>3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customHeight="1">
      <c r="A4" s="4">
        <f t="shared" si="0"/>
        <v>3</v>
      </c>
      <c r="B4" s="5" t="s">
        <v>5</v>
      </c>
      <c r="C4" s="6">
        <v>81369606</v>
      </c>
      <c r="D4" s="7" t="s">
        <v>3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customHeight="1">
      <c r="A5" s="4">
        <f t="shared" si="0"/>
        <v>4</v>
      </c>
      <c r="B5" s="5" t="s">
        <v>6</v>
      </c>
      <c r="C5" s="6">
        <v>34194438</v>
      </c>
      <c r="D5" s="7" t="s">
        <v>3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customHeight="1">
      <c r="A6" s="4">
        <f t="shared" si="0"/>
        <v>5</v>
      </c>
      <c r="B6" s="5" t="s">
        <v>7</v>
      </c>
      <c r="C6" s="6">
        <v>29571063</v>
      </c>
      <c r="D6" s="7" t="s">
        <v>3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customHeight="1">
      <c r="A7" s="4">
        <f t="shared" si="0"/>
        <v>6</v>
      </c>
      <c r="B7" s="5" t="s">
        <v>8</v>
      </c>
      <c r="C7" s="6">
        <v>27490608</v>
      </c>
      <c r="D7" s="7" t="s">
        <v>3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customHeight="1">
      <c r="A8" s="4">
        <f t="shared" si="0"/>
        <v>7</v>
      </c>
      <c r="B8" s="5" t="s">
        <v>9</v>
      </c>
      <c r="C8" s="6">
        <v>25299833</v>
      </c>
      <c r="D8" s="7" t="s">
        <v>3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customHeight="1">
      <c r="A9" s="4">
        <f t="shared" si="0"/>
        <v>8</v>
      </c>
      <c r="B9" s="5" t="s">
        <v>10</v>
      </c>
      <c r="C9" s="6">
        <v>19996332</v>
      </c>
      <c r="D9" s="7" t="s">
        <v>3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customHeight="1">
      <c r="A10" s="4">
        <f t="shared" si="0"/>
        <v>9</v>
      </c>
      <c r="B10" s="5" t="s">
        <v>11</v>
      </c>
      <c r="C10" s="6">
        <v>18278779</v>
      </c>
      <c r="D10" s="7" t="s">
        <v>3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customHeight="1">
      <c r="A11" s="4">
        <f t="shared" si="0"/>
        <v>10</v>
      </c>
      <c r="B11" s="5" t="s">
        <v>12</v>
      </c>
      <c r="C11" s="6">
        <v>17435547</v>
      </c>
      <c r="D11" s="7" t="s">
        <v>3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customHeight="1">
      <c r="A12" s="4">
        <f t="shared" si="0"/>
        <v>11</v>
      </c>
      <c r="B12" s="5" t="s">
        <v>13</v>
      </c>
      <c r="C12" s="6">
        <v>14807582</v>
      </c>
      <c r="D12" s="7" t="s">
        <v>3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customHeight="1">
      <c r="A13" s="4">
        <f t="shared" si="0"/>
        <v>12</v>
      </c>
      <c r="B13" s="5" t="s">
        <v>14</v>
      </c>
      <c r="C13" s="6">
        <v>12064763</v>
      </c>
      <c r="D13" s="7" t="s">
        <v>3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customHeight="1">
      <c r="A14" s="4">
        <f t="shared" si="0"/>
        <v>13</v>
      </c>
      <c r="B14" s="5" t="s">
        <v>15</v>
      </c>
      <c r="C14" s="6">
        <v>11170447</v>
      </c>
      <c r="D14" s="7" t="s">
        <v>3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customHeight="1">
      <c r="A15" s="4">
        <f t="shared" si="0"/>
        <v>14</v>
      </c>
      <c r="B15" s="5" t="s">
        <v>16</v>
      </c>
      <c r="C15" s="6">
        <v>9719044</v>
      </c>
      <c r="D15" s="7" t="s">
        <v>3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customHeight="1">
      <c r="A16" s="4">
        <f t="shared" si="0"/>
        <v>15</v>
      </c>
      <c r="B16" s="5" t="s">
        <v>17</v>
      </c>
      <c r="C16" s="6">
        <v>9188250</v>
      </c>
      <c r="D16" s="7" t="s">
        <v>3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customHeight="1">
      <c r="A17" s="4">
        <f t="shared" si="0"/>
        <v>16</v>
      </c>
      <c r="B17" s="5" t="s">
        <v>18</v>
      </c>
      <c r="C17" s="6">
        <v>9080531</v>
      </c>
      <c r="D17" s="7" t="s">
        <v>3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customHeight="1">
      <c r="A18" s="4">
        <f t="shared" si="0"/>
        <v>17</v>
      </c>
      <c r="B18" s="5" t="s">
        <v>19</v>
      </c>
      <c r="C18" s="6">
        <v>8952928</v>
      </c>
      <c r="D18" s="7" t="s">
        <v>3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customHeight="1">
      <c r="A19" s="4">
        <f t="shared" si="0"/>
        <v>18</v>
      </c>
      <c r="B19" s="5" t="s">
        <v>20</v>
      </c>
      <c r="C19" s="6">
        <v>8882589</v>
      </c>
      <c r="D19" s="7" t="s">
        <v>3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customHeight="1">
      <c r="A20" s="4">
        <f t="shared" si="0"/>
        <v>19</v>
      </c>
      <c r="B20" s="5" t="s">
        <v>21</v>
      </c>
      <c r="C20" s="6">
        <v>8557209</v>
      </c>
      <c r="D20" s="7" t="s">
        <v>3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customHeight="1">
      <c r="A21" s="4">
        <f t="shared" si="0"/>
        <v>20</v>
      </c>
      <c r="B21" s="5" t="s">
        <v>22</v>
      </c>
      <c r="C21" s="6">
        <v>8555921</v>
      </c>
      <c r="D21" s="7" t="s">
        <v>3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customHeight="1">
      <c r="A22" s="4">
        <f t="shared" si="0"/>
        <v>21</v>
      </c>
      <c r="B22" s="5" t="s">
        <v>23</v>
      </c>
      <c r="C22" s="6">
        <v>8163462</v>
      </c>
      <c r="D22" s="7" t="s">
        <v>3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customHeight="1">
      <c r="A23" s="4">
        <f t="shared" si="0"/>
        <v>22</v>
      </c>
      <c r="B23" s="5" t="s">
        <v>24</v>
      </c>
      <c r="C23" s="6">
        <v>7641899</v>
      </c>
      <c r="D23" s="7" t="s">
        <v>3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customHeight="1">
      <c r="A24" s="4">
        <f t="shared" si="0"/>
        <v>23</v>
      </c>
      <c r="B24" s="5" t="s">
        <v>25</v>
      </c>
      <c r="C24" s="6">
        <v>7407174</v>
      </c>
      <c r="D24" s="7" t="s">
        <v>3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customHeight="1">
      <c r="A25" s="4">
        <f t="shared" si="0"/>
        <v>24</v>
      </c>
      <c r="B25" s="5" t="s">
        <v>26</v>
      </c>
      <c r="C25" s="6">
        <v>7260166</v>
      </c>
      <c r="D25" s="7" t="s">
        <v>3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customHeight="1">
      <c r="A26" s="4">
        <f t="shared" si="0"/>
        <v>25</v>
      </c>
      <c r="B26" s="5" t="s">
        <v>27</v>
      </c>
      <c r="C26" s="6">
        <v>6972523</v>
      </c>
      <c r="D26" s="7" t="s">
        <v>3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customHeight="1">
      <c r="A27" s="4">
        <f t="shared" si="0"/>
        <v>26</v>
      </c>
      <c r="B27" s="5" t="s">
        <v>28</v>
      </c>
      <c r="C27" s="6">
        <v>6126512</v>
      </c>
      <c r="D27" s="7" t="s">
        <v>3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customHeight="1">
      <c r="A28" s="4">
        <f t="shared" si="0"/>
        <v>27</v>
      </c>
      <c r="B28" s="5" t="s">
        <v>29</v>
      </c>
      <c r="C28" s="6">
        <v>5707640</v>
      </c>
      <c r="D28" s="7" t="s">
        <v>3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customHeight="1">
      <c r="A29" s="4">
        <f t="shared" si="0"/>
        <v>28</v>
      </c>
      <c r="B29" s="5" t="s">
        <v>30</v>
      </c>
      <c r="C29" s="6">
        <v>5622694</v>
      </c>
      <c r="D29" s="7" t="s">
        <v>3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customHeight="1">
      <c r="A30" s="4">
        <f t="shared" si="0"/>
        <v>29</v>
      </c>
      <c r="B30" s="5" t="s">
        <v>31</v>
      </c>
      <c r="C30" s="6">
        <v>5605026</v>
      </c>
      <c r="D30" s="7" t="s">
        <v>3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customHeight="1">
      <c r="A31" s="4">
        <f t="shared" si="0"/>
        <v>30</v>
      </c>
      <c r="B31" s="5" t="s">
        <v>32</v>
      </c>
      <c r="C31" s="6">
        <v>5556855</v>
      </c>
      <c r="D31" s="7" t="s">
        <v>3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customHeight="1">
      <c r="A32" s="4">
        <f t="shared" si="0"/>
        <v>31</v>
      </c>
      <c r="B32" s="5" t="s">
        <v>33</v>
      </c>
      <c r="C32" s="6">
        <v>5513804</v>
      </c>
      <c r="D32" s="7" t="s">
        <v>3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customHeight="1">
      <c r="A33" s="4">
        <f t="shared" si="0"/>
        <v>32</v>
      </c>
      <c r="B33" s="5" t="s">
        <v>34</v>
      </c>
      <c r="C33" s="6">
        <v>5393077</v>
      </c>
      <c r="D33" s="7" t="s">
        <v>3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customHeight="1">
      <c r="A34" s="4">
        <f t="shared" si="0"/>
        <v>33</v>
      </c>
      <c r="B34" s="5" t="s">
        <v>35</v>
      </c>
      <c r="C34" s="6">
        <v>4680101</v>
      </c>
      <c r="D34" s="7" t="s">
        <v>3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customHeight="1">
      <c r="A35" s="4">
        <f t="shared" si="0"/>
        <v>34</v>
      </c>
      <c r="B35" s="5" t="s">
        <v>36</v>
      </c>
      <c r="C35" s="6">
        <v>4432836</v>
      </c>
      <c r="D35" s="7" t="s">
        <v>3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customHeight="1">
      <c r="A36" s="4">
        <f t="shared" si="0"/>
        <v>35</v>
      </c>
      <c r="B36" s="5" t="s">
        <v>37</v>
      </c>
      <c r="C36" s="6">
        <v>4344543</v>
      </c>
      <c r="D36" s="7" t="s">
        <v>3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customHeight="1">
      <c r="A37" s="4">
        <f t="shared" si="0"/>
        <v>36</v>
      </c>
      <c r="B37" s="5" t="s">
        <v>38</v>
      </c>
      <c r="C37" s="6">
        <v>4327657</v>
      </c>
      <c r="D37" s="7" t="s">
        <v>3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customHeight="1">
      <c r="A38" s="4">
        <f t="shared" si="0"/>
        <v>37</v>
      </c>
      <c r="B38" s="5" t="s">
        <v>39</v>
      </c>
      <c r="C38" s="6">
        <v>4145102</v>
      </c>
      <c r="D38" s="7" t="s">
        <v>3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customHeight="1">
      <c r="A39" s="4">
        <f t="shared" si="0"/>
        <v>38</v>
      </c>
      <c r="B39" s="5" t="s">
        <v>40</v>
      </c>
      <c r="C39" s="6">
        <v>4127863</v>
      </c>
      <c r="D39" s="7" t="s">
        <v>3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customHeight="1">
      <c r="A40" s="4">
        <f t="shared" si="0"/>
        <v>39</v>
      </c>
      <c r="B40" s="5" t="s">
        <v>41</v>
      </c>
      <c r="C40" s="6">
        <v>3961947</v>
      </c>
      <c r="D40" s="7" t="s">
        <v>3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customHeight="1">
      <c r="A41" s="4">
        <f t="shared" si="0"/>
        <v>40</v>
      </c>
      <c r="B41" s="5" t="s">
        <v>42</v>
      </c>
      <c r="C41" s="6">
        <v>3884173</v>
      </c>
      <c r="D41" s="7" t="s">
        <v>3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customHeight="1">
      <c r="A42" s="4">
        <f t="shared" si="0"/>
        <v>41</v>
      </c>
      <c r="B42" s="5" t="s">
        <v>43</v>
      </c>
      <c r="C42" s="6">
        <v>3779765</v>
      </c>
      <c r="D42" s="7" t="s">
        <v>3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customHeight="1">
      <c r="A43" s="4">
        <f t="shared" si="0"/>
        <v>42</v>
      </c>
      <c r="B43" s="5" t="s">
        <v>44</v>
      </c>
      <c r="C43" s="6">
        <v>3751824</v>
      </c>
      <c r="D43" s="7" t="s">
        <v>3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customHeight="1">
      <c r="A44" s="4">
        <f t="shared" si="0"/>
        <v>43</v>
      </c>
      <c r="B44" s="5" t="s">
        <v>45</v>
      </c>
      <c r="C44" s="6">
        <v>3698184</v>
      </c>
      <c r="D44" s="7" t="s">
        <v>3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customHeight="1">
      <c r="A45" s="4">
        <f t="shared" si="0"/>
        <v>44</v>
      </c>
      <c r="B45" s="5" t="s">
        <v>46</v>
      </c>
      <c r="C45" s="6">
        <v>3667822</v>
      </c>
      <c r="D45" s="7" t="s">
        <v>3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customHeight="1">
      <c r="A46" s="4">
        <f t="shared" si="0"/>
        <v>45</v>
      </c>
      <c r="B46" s="5" t="s">
        <v>47</v>
      </c>
      <c r="C46" s="6">
        <v>3608052</v>
      </c>
      <c r="D46" s="7" t="s">
        <v>3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customHeight="1">
      <c r="A47" s="4">
        <f t="shared" si="0"/>
        <v>46</v>
      </c>
      <c r="B47" s="5" t="s">
        <v>48</v>
      </c>
      <c r="C47" s="6">
        <v>3584671</v>
      </c>
      <c r="D47" s="7" t="s">
        <v>3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customHeight="1">
      <c r="A48" s="4">
        <f t="shared" si="0"/>
        <v>47</v>
      </c>
      <c r="B48" s="5" t="s">
        <v>49</v>
      </c>
      <c r="C48" s="6">
        <v>3548815</v>
      </c>
      <c r="D48" s="7" t="s">
        <v>3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customHeight="1">
      <c r="A49" s="4">
        <f t="shared" si="0"/>
        <v>48</v>
      </c>
      <c r="B49" s="5" t="s">
        <v>50</v>
      </c>
      <c r="C49" s="6">
        <v>3538790</v>
      </c>
      <c r="D49" s="7" t="s">
        <v>3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customHeight="1">
      <c r="A50" s="4">
        <f t="shared" si="0"/>
        <v>49</v>
      </c>
      <c r="B50" s="5" t="s">
        <v>51</v>
      </c>
      <c r="C50" s="6">
        <v>3509933</v>
      </c>
      <c r="D50" s="7" t="s">
        <v>3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customHeight="1">
      <c r="A51" s="4">
        <f t="shared" si="0"/>
        <v>50</v>
      </c>
      <c r="B51" s="5" t="s">
        <v>52</v>
      </c>
      <c r="C51" s="6">
        <v>3487548</v>
      </c>
      <c r="D51" s="7" t="s">
        <v>3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customHeight="1">
      <c r="A52" s="4">
        <f t="shared" si="0"/>
        <v>51</v>
      </c>
      <c r="B52" s="5" t="s">
        <v>53</v>
      </c>
      <c r="C52" s="6">
        <v>3436959</v>
      </c>
      <c r="D52" s="7" t="s">
        <v>3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customHeight="1">
      <c r="A53" s="4">
        <f t="shared" si="0"/>
        <v>52</v>
      </c>
      <c r="B53" s="5" t="s">
        <v>54</v>
      </c>
      <c r="C53" s="6">
        <v>3409635</v>
      </c>
      <c r="D53" s="7" t="s">
        <v>3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customHeight="1">
      <c r="A54" s="4">
        <f t="shared" si="0"/>
        <v>53</v>
      </c>
      <c r="B54" s="5" t="s">
        <v>55</v>
      </c>
      <c r="C54" s="6">
        <v>3302317</v>
      </c>
      <c r="D54" s="7" t="s">
        <v>3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customHeight="1">
      <c r="A55" s="4">
        <f t="shared" si="0"/>
        <v>54</v>
      </c>
      <c r="B55" s="5" t="s">
        <v>56</v>
      </c>
      <c r="C55" s="6">
        <v>3136199</v>
      </c>
      <c r="D55" s="7" t="s">
        <v>3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customHeight="1">
      <c r="A56" s="4">
        <f t="shared" si="0"/>
        <v>55</v>
      </c>
      <c r="B56" s="5" t="s">
        <v>57</v>
      </c>
      <c r="C56" s="6">
        <v>3023364</v>
      </c>
      <c r="D56" s="7" t="s">
        <v>3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customHeight="1">
      <c r="A57" s="4">
        <f t="shared" si="0"/>
        <v>56</v>
      </c>
      <c r="B57" s="5" t="s">
        <v>58</v>
      </c>
      <c r="C57" s="6">
        <v>3016570</v>
      </c>
      <c r="D57" s="7" t="s">
        <v>3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customHeight="1">
      <c r="A58" s="4">
        <f t="shared" si="0"/>
        <v>57</v>
      </c>
      <c r="B58" s="5" t="s">
        <v>59</v>
      </c>
      <c r="C58" s="6">
        <v>2978286</v>
      </c>
      <c r="D58" s="7" t="s">
        <v>3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customHeight="1">
      <c r="A59" s="4">
        <f t="shared" si="0"/>
        <v>58</v>
      </c>
      <c r="B59" s="5" t="s">
        <v>60</v>
      </c>
      <c r="C59" s="6">
        <v>2961325</v>
      </c>
      <c r="D59" s="7" t="s">
        <v>3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customHeight="1">
      <c r="A60" s="4">
        <f t="shared" si="0"/>
        <v>59</v>
      </c>
      <c r="B60" s="5" t="s">
        <v>61</v>
      </c>
      <c r="C60" s="6">
        <v>2933514</v>
      </c>
      <c r="D60" s="7" t="s">
        <v>3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customHeight="1">
      <c r="A61" s="4">
        <f t="shared" si="0"/>
        <v>60</v>
      </c>
      <c r="B61" s="5" t="s">
        <v>62</v>
      </c>
      <c r="C61" s="6">
        <v>2645159</v>
      </c>
      <c r="D61" s="7" t="s">
        <v>3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customHeight="1">
      <c r="A62" s="4">
        <f t="shared" si="0"/>
        <v>61</v>
      </c>
      <c r="B62" s="5" t="s">
        <v>63</v>
      </c>
      <c r="C62" s="6">
        <v>2616574</v>
      </c>
      <c r="D62" s="7" t="s">
        <v>3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customHeight="1">
      <c r="A63" s="4">
        <f t="shared" si="0"/>
        <v>62</v>
      </c>
      <c r="B63" s="5" t="s">
        <v>64</v>
      </c>
      <c r="C63" s="6">
        <v>2521344</v>
      </c>
      <c r="D63" s="7" t="s">
        <v>3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customHeight="1">
      <c r="A64" s="4">
        <f t="shared" si="0"/>
        <v>63</v>
      </c>
      <c r="B64" s="5" t="s">
        <v>65</v>
      </c>
      <c r="C64" s="6">
        <v>2514911</v>
      </c>
      <c r="D64" s="7" t="s">
        <v>3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customHeight="1">
      <c r="A65" s="4">
        <f t="shared" si="0"/>
        <v>64</v>
      </c>
      <c r="B65" s="5" t="s">
        <v>66</v>
      </c>
      <c r="C65" s="6">
        <v>2445359</v>
      </c>
      <c r="D65" s="7" t="s">
        <v>3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customHeight="1">
      <c r="A66" s="4">
        <f t="shared" si="0"/>
        <v>65</v>
      </c>
      <c r="B66" s="5" t="s">
        <v>67</v>
      </c>
      <c r="C66" s="6">
        <v>2390849</v>
      </c>
      <c r="D66" s="7" t="s">
        <v>3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customHeight="1">
      <c r="A67" s="4">
        <f t="shared" si="0"/>
        <v>66</v>
      </c>
      <c r="B67" s="5" t="s">
        <v>68</v>
      </c>
      <c r="C67" s="6">
        <v>2286067</v>
      </c>
      <c r="D67" s="7" t="s">
        <v>3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customHeight="1">
      <c r="A68" s="4">
        <f t="shared" si="0"/>
        <v>67</v>
      </c>
      <c r="B68" s="5" t="s">
        <v>69</v>
      </c>
      <c r="C68" s="6">
        <v>2019763</v>
      </c>
      <c r="D68" s="7" t="s">
        <v>3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customHeight="1">
      <c r="A69" s="4">
        <f t="shared" si="0"/>
        <v>68</v>
      </c>
      <c r="B69" s="5" t="s">
        <v>70</v>
      </c>
      <c r="C69" s="6">
        <v>2002675</v>
      </c>
      <c r="D69" s="7" t="s">
        <v>3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customHeight="1">
      <c r="A70" s="4">
        <f t="shared" si="0"/>
        <v>69</v>
      </c>
      <c r="B70" s="5" t="s">
        <v>71</v>
      </c>
      <c r="C70" s="6">
        <v>1995619</v>
      </c>
      <c r="D70" s="7" t="s">
        <v>3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customHeight="1">
      <c r="A71" s="4">
        <f t="shared" si="0"/>
        <v>70</v>
      </c>
      <c r="B71" s="5" t="s">
        <v>72</v>
      </c>
      <c r="C71" s="6">
        <v>1992708</v>
      </c>
      <c r="D71" s="7" t="s">
        <v>3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customHeight="1">
      <c r="A72" s="4">
        <f t="shared" si="0"/>
        <v>71</v>
      </c>
      <c r="B72" s="5" t="s">
        <v>73</v>
      </c>
      <c r="C72" s="6">
        <v>1962716</v>
      </c>
      <c r="D72" s="7" t="s">
        <v>3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customHeight="1">
      <c r="A73" s="4">
        <f t="shared" si="0"/>
        <v>72</v>
      </c>
      <c r="B73" s="5" t="s">
        <v>74</v>
      </c>
      <c r="C73" s="6">
        <v>1923360</v>
      </c>
      <c r="D73" s="7" t="s">
        <v>3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customHeight="1">
      <c r="A74" s="4">
        <f t="shared" si="0"/>
        <v>73</v>
      </c>
      <c r="B74" s="5" t="s">
        <v>75</v>
      </c>
      <c r="C74" s="6">
        <v>1860286</v>
      </c>
      <c r="D74" s="7" t="s">
        <v>3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customHeight="1">
      <c r="A75" s="4">
        <f t="shared" si="0"/>
        <v>74</v>
      </c>
      <c r="B75" s="5" t="s">
        <v>76</v>
      </c>
      <c r="C75" s="6">
        <v>1803832</v>
      </c>
      <c r="D75" s="7" t="s">
        <v>3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customHeight="1">
      <c r="A76" s="4">
        <f t="shared" si="0"/>
        <v>75</v>
      </c>
      <c r="B76" s="5" t="s">
        <v>77</v>
      </c>
      <c r="C76" s="6">
        <v>1801688</v>
      </c>
      <c r="D76" s="7" t="s">
        <v>3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customHeight="1">
      <c r="A77" s="4">
        <f t="shared" si="0"/>
        <v>76</v>
      </c>
      <c r="B77" s="5" t="s">
        <v>78</v>
      </c>
      <c r="C77" s="6">
        <v>1789310</v>
      </c>
      <c r="D77" s="7" t="s">
        <v>3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customHeight="1">
      <c r="A78" s="4">
        <f t="shared" si="0"/>
        <v>77</v>
      </c>
      <c r="B78" s="5" t="s">
        <v>79</v>
      </c>
      <c r="C78" s="6">
        <v>1778339</v>
      </c>
      <c r="D78" s="7" t="s">
        <v>3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customHeight="1">
      <c r="A79" s="4">
        <f t="shared" si="0"/>
        <v>78</v>
      </c>
      <c r="B79" s="5" t="s">
        <v>80</v>
      </c>
      <c r="C79" s="6">
        <v>1761951</v>
      </c>
      <c r="D79" s="7" t="s">
        <v>3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customHeight="1">
      <c r="A80" s="4">
        <f t="shared" si="0"/>
        <v>79</v>
      </c>
      <c r="B80" s="5" t="s">
        <v>81</v>
      </c>
      <c r="C80" s="6">
        <v>1742755</v>
      </c>
      <c r="D80" s="7" t="s">
        <v>3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customHeight="1">
      <c r="A81" s="4">
        <f t="shared" si="0"/>
        <v>80</v>
      </c>
      <c r="B81" s="5" t="s">
        <v>82</v>
      </c>
      <c r="C81" s="6">
        <v>1723648</v>
      </c>
      <c r="D81" s="7" t="s">
        <v>3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customHeight="1">
      <c r="A82" s="4">
        <f t="shared" si="0"/>
        <v>81</v>
      </c>
      <c r="B82" s="5" t="s">
        <v>83</v>
      </c>
      <c r="C82" s="6">
        <v>1656345</v>
      </c>
      <c r="D82" s="7" t="s">
        <v>3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customHeight="1">
      <c r="A83" s="4">
        <f t="shared" si="0"/>
        <v>82</v>
      </c>
      <c r="B83" s="8" t="s">
        <v>84</v>
      </c>
      <c r="C83" s="9">
        <v>1600369</v>
      </c>
      <c r="D83" s="10" t="s">
        <v>85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customHeight="1">
      <c r="A84" s="4">
        <f t="shared" si="0"/>
        <v>83</v>
      </c>
      <c r="B84" s="8" t="s">
        <v>86</v>
      </c>
      <c r="C84" s="9">
        <v>1591265</v>
      </c>
      <c r="D84" s="10" t="s">
        <v>85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customHeight="1">
      <c r="A85" s="4">
        <f t="shared" si="0"/>
        <v>84</v>
      </c>
      <c r="B85" s="8" t="s">
        <v>87</v>
      </c>
      <c r="C85" s="9">
        <v>1590471</v>
      </c>
      <c r="D85" s="10" t="s">
        <v>85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customHeight="1">
      <c r="A86" s="4">
        <f t="shared" si="0"/>
        <v>85</v>
      </c>
      <c r="B86" s="8" t="s">
        <v>88</v>
      </c>
      <c r="C86" s="9">
        <v>1543548</v>
      </c>
      <c r="D86" s="10" t="s">
        <v>85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customHeight="1">
      <c r="A87" s="4">
        <f t="shared" si="0"/>
        <v>86</v>
      </c>
      <c r="B87" s="8" t="s">
        <v>89</v>
      </c>
      <c r="C87" s="9">
        <v>1542417</v>
      </c>
      <c r="D87" s="10" t="s">
        <v>85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customHeight="1">
      <c r="A88" s="4">
        <f t="shared" si="0"/>
        <v>87</v>
      </c>
      <c r="B88" s="8" t="s">
        <v>90</v>
      </c>
      <c r="C88" s="9">
        <v>1533238</v>
      </c>
      <c r="D88" s="10" t="s">
        <v>85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customHeight="1">
      <c r="A89" s="4">
        <f t="shared" si="0"/>
        <v>88</v>
      </c>
      <c r="B89" s="8" t="s">
        <v>91</v>
      </c>
      <c r="C89" s="9">
        <v>1519839</v>
      </c>
      <c r="D89" s="10" t="s">
        <v>85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customHeight="1">
      <c r="A90" s="4">
        <f t="shared" si="0"/>
        <v>89</v>
      </c>
      <c r="B90" s="8" t="s">
        <v>92</v>
      </c>
      <c r="C90" s="9">
        <v>1502310</v>
      </c>
      <c r="D90" s="10" t="s">
        <v>85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customHeight="1">
      <c r="A91" s="4">
        <f t="shared" si="0"/>
        <v>90</v>
      </c>
      <c r="B91" s="8" t="s">
        <v>93</v>
      </c>
      <c r="C91" s="9">
        <v>1486234</v>
      </c>
      <c r="D91" s="10" t="s">
        <v>85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customHeight="1">
      <c r="A92" s="4">
        <f t="shared" si="0"/>
        <v>91</v>
      </c>
      <c r="B92" s="8" t="s">
        <v>94</v>
      </c>
      <c r="C92" s="9">
        <v>1437347</v>
      </c>
      <c r="D92" s="10" t="s">
        <v>85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customHeight="1">
      <c r="A93" s="4">
        <f t="shared" si="0"/>
        <v>92</v>
      </c>
      <c r="B93" s="8" t="s">
        <v>95</v>
      </c>
      <c r="C93" s="9">
        <v>1432139</v>
      </c>
      <c r="D93" s="10" t="s">
        <v>85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customHeight="1">
      <c r="A94" s="4">
        <f t="shared" si="0"/>
        <v>93</v>
      </c>
      <c r="B94" s="8" t="s">
        <v>96</v>
      </c>
      <c r="C94" s="9">
        <v>1416859</v>
      </c>
      <c r="D94" s="10" t="s">
        <v>85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customHeight="1">
      <c r="A95" s="4">
        <f t="shared" si="0"/>
        <v>94</v>
      </c>
      <c r="B95" s="8" t="s">
        <v>97</v>
      </c>
      <c r="C95" s="9">
        <v>1391262</v>
      </c>
      <c r="D95" s="10" t="s">
        <v>85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customHeight="1">
      <c r="A96" s="4">
        <f t="shared" si="0"/>
        <v>95</v>
      </c>
      <c r="B96" s="8" t="s">
        <v>98</v>
      </c>
      <c r="C96" s="9">
        <v>1376157</v>
      </c>
      <c r="D96" s="10" t="s">
        <v>85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customHeight="1">
      <c r="A97" s="4">
        <f t="shared" si="0"/>
        <v>96</v>
      </c>
      <c r="B97" s="8" t="s">
        <v>99</v>
      </c>
      <c r="C97" s="9">
        <v>1357980</v>
      </c>
      <c r="D97" s="10" t="s">
        <v>85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customHeight="1">
      <c r="A98" s="4">
        <f t="shared" si="0"/>
        <v>97</v>
      </c>
      <c r="B98" s="8" t="s">
        <v>100</v>
      </c>
      <c r="C98" s="9">
        <v>1338811</v>
      </c>
      <c r="D98" s="10" t="s">
        <v>85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customHeight="1">
      <c r="A99" s="4">
        <f t="shared" si="0"/>
        <v>98</v>
      </c>
      <c r="B99" s="8" t="s">
        <v>101</v>
      </c>
      <c r="C99" s="9">
        <v>1334342</v>
      </c>
      <c r="D99" s="10" t="s">
        <v>85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customHeight="1">
      <c r="A100" s="4">
        <f t="shared" si="0"/>
        <v>99</v>
      </c>
      <c r="B100" s="8" t="s">
        <v>102</v>
      </c>
      <c r="C100" s="9">
        <v>1313832</v>
      </c>
      <c r="D100" s="10" t="s">
        <v>85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customHeight="1">
      <c r="A101" s="4">
        <f t="shared" si="0"/>
        <v>100</v>
      </c>
      <c r="B101" s="8" t="s">
        <v>103</v>
      </c>
      <c r="C101" s="9">
        <v>1298291</v>
      </c>
      <c r="D101" s="10" t="s">
        <v>85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customHeight="1">
      <c r="A102" s="4">
        <f t="shared" si="0"/>
        <v>101</v>
      </c>
      <c r="B102" s="8" t="s">
        <v>104</v>
      </c>
      <c r="C102" s="9">
        <v>1270547</v>
      </c>
      <c r="D102" s="10" t="s">
        <v>85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customHeight="1">
      <c r="A103" s="4">
        <f t="shared" si="0"/>
        <v>102</v>
      </c>
      <c r="B103" s="8" t="s">
        <v>105</v>
      </c>
      <c r="C103" s="9">
        <v>1248118</v>
      </c>
      <c r="D103" s="10" t="s">
        <v>85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customHeight="1">
      <c r="A104" s="4">
        <f t="shared" si="0"/>
        <v>103</v>
      </c>
      <c r="B104" s="8" t="s">
        <v>106</v>
      </c>
      <c r="C104" s="9">
        <v>1234998</v>
      </c>
      <c r="D104" s="10" t="s">
        <v>85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customHeight="1">
      <c r="A105" s="4">
        <f t="shared" si="0"/>
        <v>104</v>
      </c>
      <c r="B105" s="8" t="s">
        <v>107</v>
      </c>
      <c r="C105" s="9">
        <v>1221683</v>
      </c>
      <c r="D105" s="10" t="s">
        <v>85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customHeight="1">
      <c r="A106" s="4">
        <f t="shared" si="0"/>
        <v>105</v>
      </c>
      <c r="B106" s="8" t="s">
        <v>108</v>
      </c>
      <c r="C106" s="9">
        <v>1146821</v>
      </c>
      <c r="D106" s="10" t="s">
        <v>85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customHeight="1">
      <c r="A107" s="4">
        <f t="shared" si="0"/>
        <v>106</v>
      </c>
      <c r="B107" s="8" t="s">
        <v>109</v>
      </c>
      <c r="C107" s="9">
        <v>1128798</v>
      </c>
      <c r="D107" s="10" t="s">
        <v>85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customHeight="1">
      <c r="A108" s="4">
        <f t="shared" si="0"/>
        <v>107</v>
      </c>
      <c r="B108" s="8" t="s">
        <v>110</v>
      </c>
      <c r="C108" s="9">
        <v>1084594</v>
      </c>
      <c r="D108" s="10" t="s">
        <v>85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customHeight="1">
      <c r="A109" s="4">
        <f t="shared" si="0"/>
        <v>108</v>
      </c>
      <c r="B109" s="8" t="s">
        <v>111</v>
      </c>
      <c r="C109" s="9">
        <v>1080108</v>
      </c>
      <c r="D109" s="10" t="s">
        <v>85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customHeight="1">
      <c r="A110" s="4">
        <f t="shared" si="0"/>
        <v>109</v>
      </c>
      <c r="B110" s="8" t="s">
        <v>112</v>
      </c>
      <c r="C110" s="9">
        <v>1052522</v>
      </c>
      <c r="D110" s="10" t="s">
        <v>85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customHeight="1">
      <c r="A111" s="4">
        <f t="shared" si="0"/>
        <v>110</v>
      </c>
      <c r="B111" s="8" t="s">
        <v>113</v>
      </c>
      <c r="C111" s="9">
        <v>1033379</v>
      </c>
      <c r="D111" s="10" t="s">
        <v>85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customHeight="1">
      <c r="A112" s="4">
        <f t="shared" si="0"/>
        <v>111</v>
      </c>
      <c r="B112" s="8" t="s">
        <v>114</v>
      </c>
      <c r="C112" s="9">
        <v>1022835</v>
      </c>
      <c r="D112" s="10" t="s">
        <v>85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customHeight="1">
      <c r="A113" s="4">
        <f t="shared" si="0"/>
        <v>112</v>
      </c>
      <c r="B113" s="8" t="s">
        <v>115</v>
      </c>
      <c r="C113" s="9">
        <v>1004155</v>
      </c>
      <c r="D113" s="10" t="s">
        <v>85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customHeight="1">
      <c r="A114" s="4">
        <f t="shared" si="0"/>
        <v>113</v>
      </c>
      <c r="B114" s="8" t="s">
        <v>116</v>
      </c>
      <c r="C114" s="9">
        <v>996916</v>
      </c>
      <c r="D114" s="10" t="s">
        <v>85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customHeight="1">
      <c r="A115" s="4">
        <f t="shared" si="0"/>
        <v>114</v>
      </c>
      <c r="B115" s="8" t="s">
        <v>117</v>
      </c>
      <c r="C115" s="9">
        <v>983169</v>
      </c>
      <c r="D115" s="10" t="s">
        <v>85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customHeight="1">
      <c r="A116" s="4">
        <f t="shared" si="0"/>
        <v>115</v>
      </c>
      <c r="B116" s="8" t="s">
        <v>118</v>
      </c>
      <c r="C116" s="9">
        <v>963204</v>
      </c>
      <c r="D116" s="10" t="s">
        <v>85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customHeight="1">
      <c r="A117" s="4">
        <f t="shared" si="0"/>
        <v>116</v>
      </c>
      <c r="B117" s="8" t="s">
        <v>119</v>
      </c>
      <c r="C117" s="9">
        <v>960765</v>
      </c>
      <c r="D117" s="10" t="s">
        <v>85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customHeight="1">
      <c r="A118" s="4">
        <f t="shared" si="0"/>
        <v>117</v>
      </c>
      <c r="B118" s="8" t="s">
        <v>120</v>
      </c>
      <c r="C118" s="9">
        <v>957304</v>
      </c>
      <c r="D118" s="10" t="s">
        <v>85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customHeight="1">
      <c r="A119" s="4">
        <f t="shared" si="0"/>
        <v>118</v>
      </c>
      <c r="B119" s="8" t="s">
        <v>121</v>
      </c>
      <c r="C119" s="9">
        <v>936920</v>
      </c>
      <c r="D119" s="10" t="s">
        <v>85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customHeight="1">
      <c r="A120" s="4">
        <f t="shared" si="0"/>
        <v>119</v>
      </c>
      <c r="B120" s="8" t="s">
        <v>122</v>
      </c>
      <c r="C120" s="9">
        <v>934164</v>
      </c>
      <c r="D120" s="10" t="s">
        <v>85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customHeight="1">
      <c r="A121" s="4">
        <f t="shared" si="0"/>
        <v>120</v>
      </c>
      <c r="B121" s="8" t="s">
        <v>123</v>
      </c>
      <c r="C121" s="9">
        <v>933648</v>
      </c>
      <c r="D121" s="10" t="s">
        <v>85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customHeight="1">
      <c r="A122" s="4">
        <f t="shared" si="0"/>
        <v>121</v>
      </c>
      <c r="B122" s="8" t="s">
        <v>124</v>
      </c>
      <c r="C122" s="9">
        <v>923308</v>
      </c>
      <c r="D122" s="10" t="s">
        <v>85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customHeight="1">
      <c r="A123" s="4">
        <f t="shared" si="0"/>
        <v>122</v>
      </c>
      <c r="B123" s="8" t="s">
        <v>125</v>
      </c>
      <c r="C123" s="9">
        <v>899041</v>
      </c>
      <c r="D123" s="10" t="s">
        <v>85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customHeight="1">
      <c r="A124" s="4">
        <f t="shared" si="0"/>
        <v>123</v>
      </c>
      <c r="B124" s="8" t="s">
        <v>126</v>
      </c>
      <c r="C124" s="9">
        <v>897472</v>
      </c>
      <c r="D124" s="10" t="s">
        <v>85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customHeight="1">
      <c r="A125" s="4">
        <f t="shared" si="0"/>
        <v>124</v>
      </c>
      <c r="B125" s="8" t="s">
        <v>127</v>
      </c>
      <c r="C125" s="9">
        <v>861678</v>
      </c>
      <c r="D125" s="10" t="s">
        <v>85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customHeight="1">
      <c r="A126" s="4">
        <f t="shared" si="0"/>
        <v>125</v>
      </c>
      <c r="B126" s="8" t="s">
        <v>128</v>
      </c>
      <c r="C126" s="9">
        <v>844940</v>
      </c>
      <c r="D126" s="10" t="s">
        <v>85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customHeight="1">
      <c r="A127" s="4">
        <f t="shared" si="0"/>
        <v>126</v>
      </c>
      <c r="B127" s="8" t="s">
        <v>129</v>
      </c>
      <c r="C127" s="9">
        <v>830470</v>
      </c>
      <c r="D127" s="10" t="s">
        <v>85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customHeight="1">
      <c r="A128" s="4">
        <f t="shared" si="0"/>
        <v>127</v>
      </c>
      <c r="B128" s="8" t="s">
        <v>130</v>
      </c>
      <c r="C128" s="9">
        <v>777744</v>
      </c>
      <c r="D128" s="10" t="s">
        <v>85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customHeight="1">
      <c r="A129" s="4">
        <f t="shared" si="0"/>
        <v>128</v>
      </c>
      <c r="B129" s="8" t="s">
        <v>131</v>
      </c>
      <c r="C129" s="9">
        <v>754423</v>
      </c>
      <c r="D129" s="10" t="s">
        <v>85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customHeight="1">
      <c r="A130" s="4">
        <f t="shared" si="0"/>
        <v>129</v>
      </c>
      <c r="B130" s="8" t="s">
        <v>132</v>
      </c>
      <c r="C130" s="9">
        <v>748624</v>
      </c>
      <c r="D130" s="10" t="s">
        <v>85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customHeight="1">
      <c r="A131" s="4">
        <f t="shared" si="0"/>
        <v>130</v>
      </c>
      <c r="B131" s="8" t="s">
        <v>133</v>
      </c>
      <c r="C131" s="9">
        <v>715732</v>
      </c>
      <c r="D131" s="10" t="s">
        <v>85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customHeight="1">
      <c r="A132" s="4">
        <f t="shared" si="0"/>
        <v>131</v>
      </c>
      <c r="B132" s="8" t="s">
        <v>134</v>
      </c>
      <c r="C132" s="9">
        <v>708575</v>
      </c>
      <c r="D132" s="10" t="s">
        <v>85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customHeight="1">
      <c r="A133" s="4">
        <f t="shared" si="0"/>
        <v>132</v>
      </c>
      <c r="B133" s="8" t="s">
        <v>135</v>
      </c>
      <c r="C133" s="9">
        <v>708114</v>
      </c>
      <c r="D133" s="10" t="s">
        <v>85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customHeight="1">
      <c r="A134" s="4">
        <f t="shared" si="0"/>
        <v>133</v>
      </c>
      <c r="B134" s="8" t="s">
        <v>136</v>
      </c>
      <c r="C134" s="9">
        <v>706482</v>
      </c>
      <c r="D134" s="10" t="s">
        <v>85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customHeight="1">
      <c r="A135" s="4">
        <f t="shared" si="0"/>
        <v>134</v>
      </c>
      <c r="B135" s="8" t="s">
        <v>137</v>
      </c>
      <c r="C135" s="9">
        <v>687507</v>
      </c>
      <c r="D135" s="10" t="s">
        <v>85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customHeight="1">
      <c r="A136" s="4">
        <f t="shared" si="0"/>
        <v>135</v>
      </c>
      <c r="B136" s="8" t="s">
        <v>138</v>
      </c>
      <c r="C136" s="9">
        <v>619373</v>
      </c>
      <c r="D136" s="10" t="s">
        <v>85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customHeight="1">
      <c r="A137" s="4">
        <f t="shared" si="0"/>
        <v>136</v>
      </c>
      <c r="B137" s="8" t="s">
        <v>139</v>
      </c>
      <c r="C137" s="9">
        <v>595414</v>
      </c>
      <c r="D137" s="10" t="s">
        <v>85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customHeight="1">
      <c r="A138" s="4">
        <f t="shared" si="0"/>
        <v>137</v>
      </c>
      <c r="B138" s="8" t="s">
        <v>140</v>
      </c>
      <c r="C138" s="9">
        <v>583423</v>
      </c>
      <c r="D138" s="10" t="s">
        <v>85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customHeight="1">
      <c r="A139" s="4">
        <f t="shared" si="0"/>
        <v>138</v>
      </c>
      <c r="B139" s="8" t="s">
        <v>141</v>
      </c>
      <c r="C139" s="9">
        <v>577938</v>
      </c>
      <c r="D139" s="10" t="s">
        <v>85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customHeight="1">
      <c r="A140" s="4">
        <f t="shared" si="0"/>
        <v>139</v>
      </c>
      <c r="B140" s="8" t="s">
        <v>142</v>
      </c>
      <c r="C140" s="9">
        <v>561900</v>
      </c>
      <c r="D140" s="10" t="s">
        <v>85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customHeight="1">
      <c r="A141" s="4">
        <f t="shared" si="0"/>
        <v>140</v>
      </c>
      <c r="B141" s="8" t="s">
        <v>143</v>
      </c>
      <c r="C141" s="9">
        <v>561000</v>
      </c>
      <c r="D141" s="10" t="s">
        <v>85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customHeight="1">
      <c r="A142" s="4">
        <f t="shared" si="0"/>
        <v>141</v>
      </c>
      <c r="B142" s="8" t="s">
        <v>144</v>
      </c>
      <c r="C142" s="9">
        <v>553169</v>
      </c>
      <c r="D142" s="10" t="s">
        <v>85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customHeight="1">
      <c r="A143" s="4">
        <f t="shared" si="0"/>
        <v>142</v>
      </c>
      <c r="B143" s="8" t="s">
        <v>145</v>
      </c>
      <c r="C143" s="9">
        <v>543053</v>
      </c>
      <c r="D143" s="10" t="s">
        <v>85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customHeight="1">
      <c r="A144" s="4">
        <f t="shared" si="0"/>
        <v>143</v>
      </c>
      <c r="B144" s="8" t="s">
        <v>146</v>
      </c>
      <c r="C144" s="9">
        <v>541187</v>
      </c>
      <c r="D144" s="10" t="s">
        <v>85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customHeight="1">
      <c r="A145" s="4">
        <f t="shared" si="0"/>
        <v>144</v>
      </c>
      <c r="B145" s="8" t="s">
        <v>147</v>
      </c>
      <c r="C145" s="9">
        <v>540041</v>
      </c>
      <c r="D145" s="10" t="s">
        <v>85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customHeight="1">
      <c r="A146" s="4">
        <f t="shared" si="0"/>
        <v>145</v>
      </c>
      <c r="B146" s="8" t="s">
        <v>148</v>
      </c>
      <c r="C146" s="9">
        <v>536457</v>
      </c>
      <c r="D146" s="10" t="s">
        <v>85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customHeight="1">
      <c r="A147" s="4">
        <f t="shared" si="0"/>
        <v>146</v>
      </c>
      <c r="B147" s="8" t="s">
        <v>149</v>
      </c>
      <c r="C147" s="9">
        <v>535191</v>
      </c>
      <c r="D147" s="10" t="s">
        <v>85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customHeight="1">
      <c r="A148" s="4">
        <f t="shared" si="0"/>
        <v>147</v>
      </c>
      <c r="B148" s="8" t="s">
        <v>150</v>
      </c>
      <c r="C148" s="9">
        <v>531728</v>
      </c>
      <c r="D148" s="10" t="s">
        <v>85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customHeight="1">
      <c r="A149" s="4">
        <f t="shared" si="0"/>
        <v>148</v>
      </c>
      <c r="B149" s="8" t="s">
        <v>151</v>
      </c>
      <c r="C149" s="9">
        <v>528357</v>
      </c>
      <c r="D149" s="10" t="s">
        <v>85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customHeight="1">
      <c r="A150" s="4">
        <f t="shared" si="0"/>
        <v>149</v>
      </c>
      <c r="B150" s="8" t="s">
        <v>152</v>
      </c>
      <c r="C150" s="9">
        <v>518305</v>
      </c>
      <c r="D150" s="10" t="s">
        <v>85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customHeight="1">
      <c r="A151" s="4">
        <f t="shared" si="0"/>
        <v>150</v>
      </c>
      <c r="B151" s="8" t="s">
        <v>153</v>
      </c>
      <c r="C151" s="9">
        <v>513902</v>
      </c>
      <c r="D151" s="10" t="s">
        <v>85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customHeight="1">
      <c r="A152" s="4">
        <f t="shared" si="0"/>
        <v>151</v>
      </c>
      <c r="B152" s="8" t="s">
        <v>154</v>
      </c>
      <c r="C152" s="9">
        <v>507711</v>
      </c>
      <c r="D152" s="10" t="s">
        <v>85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customHeight="1">
      <c r="A153" s="4">
        <f t="shared" si="0"/>
        <v>152</v>
      </c>
      <c r="B153" s="8" t="s">
        <v>155</v>
      </c>
      <c r="C153" s="9">
        <v>493324</v>
      </c>
      <c r="D153" s="10" t="s">
        <v>85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customHeight="1">
      <c r="A154" s="4">
        <f t="shared" si="0"/>
        <v>153</v>
      </c>
      <c r="B154" s="8" t="s">
        <v>156</v>
      </c>
      <c r="C154" s="9">
        <v>488040</v>
      </c>
      <c r="D154" s="10" t="s">
        <v>85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customHeight="1">
      <c r="A155" s="4">
        <f t="shared" si="0"/>
        <v>154</v>
      </c>
      <c r="B155" s="8" t="s">
        <v>157</v>
      </c>
      <c r="C155" s="9">
        <v>478829</v>
      </c>
      <c r="D155" s="10" t="s">
        <v>85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customHeight="1">
      <c r="A156" s="4">
        <f t="shared" si="0"/>
        <v>155</v>
      </c>
      <c r="B156" s="8" t="s">
        <v>158</v>
      </c>
      <c r="C156" s="9">
        <v>475403</v>
      </c>
      <c r="D156" s="10" t="s">
        <v>85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customHeight="1">
      <c r="A157" s="4">
        <f t="shared" si="0"/>
        <v>156</v>
      </c>
      <c r="B157" s="8" t="s">
        <v>159</v>
      </c>
      <c r="C157" s="9">
        <v>471254</v>
      </c>
      <c r="D157" s="10" t="s">
        <v>85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customHeight="1">
      <c r="A158" s="4">
        <f t="shared" si="0"/>
        <v>157</v>
      </c>
      <c r="B158" s="8" t="s">
        <v>160</v>
      </c>
      <c r="C158" s="9">
        <v>462678</v>
      </c>
      <c r="D158" s="10" t="s">
        <v>85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customHeight="1">
      <c r="A159" s="4">
        <f t="shared" si="0"/>
        <v>158</v>
      </c>
      <c r="B159" s="8" t="s">
        <v>161</v>
      </c>
      <c r="C159" s="9">
        <v>459193</v>
      </c>
      <c r="D159" s="10" t="s">
        <v>85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customHeight="1">
      <c r="A160" s="4">
        <f t="shared" si="0"/>
        <v>159</v>
      </c>
      <c r="B160" s="8" t="s">
        <v>162</v>
      </c>
      <c r="C160" s="9">
        <v>444879</v>
      </c>
      <c r="D160" s="10" t="s">
        <v>85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customHeight="1">
      <c r="A161" s="4">
        <f t="shared" si="0"/>
        <v>160</v>
      </c>
      <c r="B161" s="8" t="s">
        <v>163</v>
      </c>
      <c r="C161" s="9">
        <v>444044</v>
      </c>
      <c r="D161" s="10" t="s">
        <v>85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customHeight="1">
      <c r="A162" s="4">
        <f t="shared" si="0"/>
        <v>161</v>
      </c>
      <c r="B162" s="8" t="s">
        <v>164</v>
      </c>
      <c r="C162" s="9">
        <v>441497</v>
      </c>
      <c r="D162" s="10" t="s">
        <v>85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customHeight="1">
      <c r="A163" s="4">
        <f t="shared" si="0"/>
        <v>162</v>
      </c>
      <c r="B163" s="8" t="s">
        <v>165</v>
      </c>
      <c r="C163" s="9">
        <v>440921</v>
      </c>
      <c r="D163" s="10" t="s">
        <v>85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customHeight="1">
      <c r="A164" s="4">
        <f t="shared" si="0"/>
        <v>163</v>
      </c>
      <c r="B164" s="11" t="s">
        <v>166</v>
      </c>
      <c r="C164" s="12">
        <v>440851</v>
      </c>
      <c r="D164" s="13" t="s">
        <v>167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customHeight="1">
      <c r="A165" s="4">
        <f t="shared" si="0"/>
        <v>164</v>
      </c>
      <c r="B165" s="11" t="s">
        <v>168</v>
      </c>
      <c r="C165" s="12">
        <v>432198</v>
      </c>
      <c r="D165" s="13" t="s">
        <v>167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customHeight="1">
      <c r="A166" s="4">
        <f t="shared" si="0"/>
        <v>165</v>
      </c>
      <c r="B166" s="11" t="s">
        <v>169</v>
      </c>
      <c r="C166" s="12">
        <v>431122</v>
      </c>
      <c r="D166" s="13" t="s">
        <v>167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customHeight="1">
      <c r="A167" s="4">
        <f t="shared" si="0"/>
        <v>166</v>
      </c>
      <c r="B167" s="11" t="s">
        <v>170</v>
      </c>
      <c r="C167" s="12">
        <v>427763</v>
      </c>
      <c r="D167" s="13" t="s">
        <v>167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customHeight="1">
      <c r="A168" s="4">
        <f t="shared" si="0"/>
        <v>167</v>
      </c>
      <c r="B168" s="11" t="s">
        <v>171</v>
      </c>
      <c r="C168" s="12">
        <v>422146</v>
      </c>
      <c r="D168" s="13" t="s">
        <v>167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customHeight="1">
      <c r="A169" s="4">
        <f t="shared" si="0"/>
        <v>168</v>
      </c>
      <c r="B169" s="11" t="s">
        <v>172</v>
      </c>
      <c r="C169" s="12">
        <v>421446</v>
      </c>
      <c r="D169" s="13" t="s">
        <v>167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customHeight="1">
      <c r="A170" s="4">
        <f t="shared" si="0"/>
        <v>169</v>
      </c>
      <c r="B170" s="11" t="s">
        <v>173</v>
      </c>
      <c r="C170" s="12">
        <v>397383</v>
      </c>
      <c r="D170" s="13" t="s">
        <v>167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customHeight="1">
      <c r="A171" s="4">
        <f t="shared" si="0"/>
        <v>170</v>
      </c>
      <c r="B171" s="11" t="s">
        <v>174</v>
      </c>
      <c r="C171" s="12">
        <v>396907</v>
      </c>
      <c r="D171" s="13" t="s">
        <v>167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customHeight="1">
      <c r="A172" s="4">
        <f t="shared" si="0"/>
        <v>171</v>
      </c>
      <c r="B172" s="11" t="s">
        <v>175</v>
      </c>
      <c r="C172" s="12">
        <v>393326</v>
      </c>
      <c r="D172" s="13" t="s">
        <v>167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customHeight="1">
      <c r="A173" s="4">
        <f t="shared" si="0"/>
        <v>172</v>
      </c>
      <c r="B173" s="11" t="s">
        <v>176</v>
      </c>
      <c r="C173" s="12">
        <v>393127</v>
      </c>
      <c r="D173" s="13" t="s">
        <v>167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customHeight="1">
      <c r="A174" s="4">
        <f t="shared" si="0"/>
        <v>173</v>
      </c>
      <c r="B174" s="11" t="s">
        <v>177</v>
      </c>
      <c r="C174" s="12">
        <v>390865</v>
      </c>
      <c r="D174" s="13" t="s">
        <v>167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customHeight="1">
      <c r="A175" s="4">
        <f t="shared" si="0"/>
        <v>174</v>
      </c>
      <c r="B175" s="11" t="s">
        <v>178</v>
      </c>
      <c r="C175" s="12">
        <v>390129</v>
      </c>
      <c r="D175" s="13" t="s">
        <v>167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customHeight="1">
      <c r="A176" s="4">
        <f t="shared" si="0"/>
        <v>175</v>
      </c>
      <c r="B176" s="11" t="s">
        <v>179</v>
      </c>
      <c r="C176" s="12">
        <v>357044</v>
      </c>
      <c r="D176" s="13" t="s">
        <v>167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customHeight="1">
      <c r="A177" s="4">
        <f t="shared" si="0"/>
        <v>176</v>
      </c>
      <c r="B177" s="11" t="s">
        <v>180</v>
      </c>
      <c r="C177" s="12">
        <v>354324</v>
      </c>
      <c r="D177" s="13" t="s">
        <v>167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customHeight="1">
      <c r="A178" s="4">
        <f t="shared" si="0"/>
        <v>177</v>
      </c>
      <c r="B178" s="11" t="s">
        <v>181</v>
      </c>
      <c r="C178" s="12">
        <v>353392</v>
      </c>
      <c r="D178" s="13" t="s">
        <v>167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customHeight="1">
      <c r="A179" s="4">
        <f t="shared" si="0"/>
        <v>178</v>
      </c>
      <c r="B179" s="11" t="s">
        <v>182</v>
      </c>
      <c r="C179" s="12">
        <v>347875</v>
      </c>
      <c r="D179" s="13" t="s">
        <v>167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customHeight="1">
      <c r="A180" s="4">
        <f t="shared" si="0"/>
        <v>179</v>
      </c>
      <c r="B180" s="11" t="s">
        <v>183</v>
      </c>
      <c r="C180" s="12">
        <v>335191</v>
      </c>
      <c r="D180" s="13" t="s">
        <v>167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customHeight="1">
      <c r="A181" s="4">
        <f t="shared" si="0"/>
        <v>180</v>
      </c>
      <c r="B181" s="11" t="s">
        <v>184</v>
      </c>
      <c r="C181" s="12">
        <v>332434</v>
      </c>
      <c r="D181" s="13" t="s">
        <v>167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customHeight="1">
      <c r="A182" s="4">
        <f t="shared" si="0"/>
        <v>181</v>
      </c>
      <c r="B182" s="11" t="s">
        <v>185</v>
      </c>
      <c r="C182" s="12">
        <v>331066</v>
      </c>
      <c r="D182" s="13" t="s">
        <v>167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customHeight="1">
      <c r="A183" s="4">
        <f t="shared" si="0"/>
        <v>182</v>
      </c>
      <c r="B183" s="11" t="s">
        <v>186</v>
      </c>
      <c r="C183" s="12">
        <v>329435</v>
      </c>
      <c r="D183" s="13" t="s">
        <v>167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customHeight="1">
      <c r="A184" s="4">
        <f t="shared" si="0"/>
        <v>183</v>
      </c>
      <c r="B184" s="11" t="s">
        <v>187</v>
      </c>
      <c r="C184" s="12">
        <v>319799</v>
      </c>
      <c r="D184" s="13" t="s">
        <v>167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customHeight="1">
      <c r="A185" s="4">
        <f t="shared" si="0"/>
        <v>184</v>
      </c>
      <c r="B185" s="11" t="s">
        <v>188</v>
      </c>
      <c r="C185" s="12">
        <v>307909</v>
      </c>
      <c r="D185" s="13" t="s">
        <v>167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customHeight="1">
      <c r="A186" s="4">
        <f t="shared" si="0"/>
        <v>185</v>
      </c>
      <c r="B186" s="11" t="s">
        <v>189</v>
      </c>
      <c r="C186" s="12">
        <v>293940</v>
      </c>
      <c r="D186" s="13" t="s">
        <v>167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customHeight="1">
      <c r="A187" s="4">
        <f t="shared" si="0"/>
        <v>186</v>
      </c>
      <c r="B187" s="11" t="s">
        <v>190</v>
      </c>
      <c r="C187" s="12">
        <v>273803</v>
      </c>
      <c r="D187" s="13" t="s">
        <v>167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customHeight="1">
      <c r="A188" s="4">
        <f t="shared" si="0"/>
        <v>187</v>
      </c>
      <c r="B188" s="11" t="s">
        <v>191</v>
      </c>
      <c r="C188" s="12">
        <v>257276</v>
      </c>
      <c r="D188" s="13" t="s">
        <v>167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customHeight="1">
      <c r="A189" s="4">
        <f t="shared" si="0"/>
        <v>188</v>
      </c>
      <c r="B189" s="11" t="s">
        <v>192</v>
      </c>
      <c r="C189" s="12">
        <v>256231</v>
      </c>
      <c r="D189" s="13" t="s">
        <v>167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customHeight="1">
      <c r="A190" s="4">
        <f t="shared" si="0"/>
        <v>189</v>
      </c>
      <c r="B190" s="11" t="s">
        <v>193</v>
      </c>
      <c r="C190" s="12">
        <v>254470</v>
      </c>
      <c r="D190" s="13" t="s">
        <v>167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customHeight="1">
      <c r="A191" s="4">
        <f t="shared" si="0"/>
        <v>190</v>
      </c>
      <c r="B191" s="11" t="s">
        <v>194</v>
      </c>
      <c r="C191" s="12">
        <v>250637</v>
      </c>
      <c r="D191" s="13" t="s">
        <v>167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customHeight="1">
      <c r="A192" s="4">
        <f t="shared" si="0"/>
        <v>191</v>
      </c>
      <c r="B192" s="11" t="s">
        <v>195</v>
      </c>
      <c r="C192" s="12">
        <v>249091</v>
      </c>
      <c r="D192" s="13" t="s">
        <v>167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customHeight="1">
      <c r="A193" s="4">
        <f t="shared" si="0"/>
        <v>192</v>
      </c>
      <c r="B193" s="11" t="s">
        <v>196</v>
      </c>
      <c r="C193" s="12">
        <v>247874</v>
      </c>
      <c r="D193" s="13" t="s">
        <v>167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customHeight="1">
      <c r="A194" s="4">
        <f t="shared" si="0"/>
        <v>193</v>
      </c>
      <c r="B194" s="11" t="s">
        <v>197</v>
      </c>
      <c r="C194" s="12">
        <v>242277</v>
      </c>
      <c r="D194" s="13" t="s">
        <v>167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customHeight="1">
      <c r="A195" s="4">
        <f t="shared" si="0"/>
        <v>194</v>
      </c>
      <c r="B195" s="11" t="s">
        <v>198</v>
      </c>
      <c r="C195" s="12">
        <v>230516</v>
      </c>
      <c r="D195" s="13" t="s">
        <v>167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customHeight="1">
      <c r="A196" s="4">
        <f t="shared" si="0"/>
        <v>195</v>
      </c>
      <c r="B196" s="11" t="s">
        <v>199</v>
      </c>
      <c r="C196" s="12">
        <v>217423</v>
      </c>
      <c r="D196" s="13" t="s">
        <v>167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customHeight="1">
      <c r="A197" s="4">
        <f t="shared" si="0"/>
        <v>196</v>
      </c>
      <c r="B197" s="11" t="s">
        <v>200</v>
      </c>
      <c r="C197" s="12">
        <v>213902</v>
      </c>
      <c r="D197" s="13" t="s">
        <v>167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customHeight="1">
      <c r="A198" s="4">
        <f t="shared" si="0"/>
        <v>197</v>
      </c>
      <c r="B198" s="11" t="s">
        <v>201</v>
      </c>
      <c r="C198" s="12">
        <v>209431</v>
      </c>
      <c r="D198" s="13" t="s">
        <v>167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customHeight="1">
      <c r="A199" s="4">
        <f t="shared" si="0"/>
        <v>198</v>
      </c>
      <c r="B199" s="11" t="s">
        <v>202</v>
      </c>
      <c r="C199" s="12">
        <v>208540</v>
      </c>
      <c r="D199" s="13" t="s">
        <v>167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customHeight="1">
      <c r="A200" s="4">
        <f t="shared" si="0"/>
        <v>199</v>
      </c>
      <c r="B200" s="11" t="s">
        <v>203</v>
      </c>
      <c r="C200" s="12">
        <v>208339</v>
      </c>
      <c r="D200" s="13" t="s">
        <v>167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customHeight="1">
      <c r="A201" s="4">
        <f t="shared" si="0"/>
        <v>200</v>
      </c>
      <c r="B201" s="11" t="s">
        <v>204</v>
      </c>
      <c r="C201" s="12">
        <v>169679</v>
      </c>
      <c r="D201" s="13" t="s">
        <v>167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customHeight="1">
      <c r="A202" s="4">
        <f t="shared" si="0"/>
        <v>201</v>
      </c>
      <c r="B202" s="11" t="s">
        <v>205</v>
      </c>
      <c r="C202" s="12">
        <v>158435</v>
      </c>
      <c r="D202" s="13" t="s">
        <v>167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customHeight="1">
      <c r="A203" s="4">
        <f t="shared" si="0"/>
        <v>202</v>
      </c>
      <c r="B203" s="11" t="s">
        <v>206</v>
      </c>
      <c r="C203" s="12">
        <v>156742</v>
      </c>
      <c r="D203" s="13" t="s">
        <v>167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customHeight="1">
      <c r="A204" s="4">
        <f t="shared" si="0"/>
        <v>203</v>
      </c>
      <c r="B204" s="11" t="s">
        <v>207</v>
      </c>
      <c r="C204" s="12">
        <v>150704</v>
      </c>
      <c r="D204" s="13" t="s">
        <v>167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customHeight="1">
      <c r="A205" s="4">
        <f t="shared" si="0"/>
        <v>204</v>
      </c>
      <c r="B205" s="11" t="s">
        <v>208</v>
      </c>
      <c r="C205" s="12">
        <v>144324</v>
      </c>
      <c r="D205" s="13" t="s">
        <v>167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customHeight="1">
      <c r="A206" s="4">
        <f t="shared" si="0"/>
        <v>205</v>
      </c>
      <c r="B206" s="11" t="s">
        <v>209</v>
      </c>
      <c r="C206" s="12">
        <v>142104</v>
      </c>
      <c r="D206" s="13" t="s">
        <v>167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customHeight="1">
      <c r="A207" s="4">
        <f t="shared" si="0"/>
        <v>206</v>
      </c>
      <c r="B207" s="11" t="s">
        <v>210</v>
      </c>
      <c r="C207" s="12">
        <v>141278</v>
      </c>
      <c r="D207" s="13" t="s">
        <v>167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customHeight="1">
      <c r="A208" s="4">
        <f t="shared" si="0"/>
        <v>207</v>
      </c>
      <c r="B208" s="11" t="s">
        <v>211</v>
      </c>
      <c r="C208" s="12">
        <v>133202</v>
      </c>
      <c r="D208" s="13" t="s">
        <v>167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customHeight="1">
      <c r="A209" s="4">
        <f t="shared" si="0"/>
        <v>208</v>
      </c>
      <c r="B209" s="11" t="s">
        <v>212</v>
      </c>
      <c r="C209" s="12">
        <v>129742</v>
      </c>
      <c r="D209" s="13" t="s">
        <v>167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customHeight="1">
      <c r="A210" s="4">
        <f t="shared" si="0"/>
        <v>209</v>
      </c>
      <c r="B210" s="11" t="s">
        <v>213</v>
      </c>
      <c r="C210" s="12">
        <v>127834</v>
      </c>
      <c r="D210" s="13" t="s">
        <v>167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customHeight="1">
      <c r="A211" s="4">
        <f t="shared" si="0"/>
        <v>210</v>
      </c>
      <c r="B211" s="11" t="s">
        <v>214</v>
      </c>
      <c r="C211" s="12">
        <v>127401</v>
      </c>
      <c r="D211" s="13" t="s">
        <v>167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customHeight="1">
      <c r="A212" s="4">
        <f t="shared" si="0"/>
        <v>211</v>
      </c>
      <c r="B212" s="11" t="s">
        <v>215</v>
      </c>
      <c r="C212" s="12">
        <v>116614</v>
      </c>
      <c r="D212" s="13" t="s">
        <v>167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customHeight="1">
      <c r="A213" s="4">
        <f t="shared" si="0"/>
        <v>212</v>
      </c>
      <c r="B213" s="11" t="s">
        <v>216</v>
      </c>
      <c r="C213" s="12">
        <v>113403</v>
      </c>
      <c r="D213" s="13" t="s">
        <v>167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customHeight="1">
      <c r="A214" s="4">
        <f t="shared" si="0"/>
        <v>213</v>
      </c>
      <c r="B214" s="11" t="s">
        <v>217</v>
      </c>
      <c r="C214" s="12">
        <v>107206</v>
      </c>
      <c r="D214" s="13" t="s">
        <v>167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customHeight="1">
      <c r="A215" s="4">
        <f t="shared" si="0"/>
        <v>214</v>
      </c>
      <c r="B215" s="11" t="s">
        <v>218</v>
      </c>
      <c r="C215" s="12">
        <v>99920</v>
      </c>
      <c r="D215" s="13" t="s">
        <v>167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customHeight="1">
      <c r="A216" s="4">
        <f t="shared" si="0"/>
        <v>215</v>
      </c>
      <c r="B216" s="11" t="s">
        <v>219</v>
      </c>
      <c r="C216" s="12">
        <v>97486</v>
      </c>
      <c r="D216" s="13" t="s">
        <v>167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customHeight="1">
      <c r="A217" s="4">
        <f t="shared" si="0"/>
        <v>216</v>
      </c>
      <c r="B217" s="11" t="s">
        <v>220</v>
      </c>
      <c r="C217" s="12">
        <v>88450</v>
      </c>
      <c r="D217" s="13" t="s">
        <v>167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customHeight="1">
      <c r="A218" s="4">
        <f t="shared" si="0"/>
        <v>217</v>
      </c>
      <c r="B218" s="11" t="s">
        <v>221</v>
      </c>
      <c r="C218" s="12">
        <v>87378</v>
      </c>
      <c r="D218" s="13" t="s">
        <v>167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customHeight="1">
      <c r="A219" s="4">
        <f t="shared" si="0"/>
        <v>218</v>
      </c>
      <c r="B219" s="11" t="s">
        <v>222</v>
      </c>
      <c r="C219" s="12">
        <v>84352</v>
      </c>
      <c r="D219" s="13" t="s">
        <v>167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customHeight="1">
      <c r="A220" s="4">
        <f t="shared" si="0"/>
        <v>219</v>
      </c>
      <c r="B220" s="11" t="s">
        <v>223</v>
      </c>
      <c r="C220" s="12">
        <v>75494</v>
      </c>
      <c r="D220" s="13" t="s">
        <v>167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customHeight="1">
      <c r="A221" s="4">
        <f t="shared" si="0"/>
        <v>220</v>
      </c>
      <c r="B221" s="11" t="s">
        <v>224</v>
      </c>
      <c r="C221" s="12">
        <v>67851</v>
      </c>
      <c r="D221" s="13" t="s">
        <v>167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customHeight="1">
      <c r="A222" s="4">
        <f t="shared" si="0"/>
        <v>221</v>
      </c>
      <c r="B222" s="11" t="s">
        <v>225</v>
      </c>
      <c r="C222" s="12">
        <v>62997</v>
      </c>
      <c r="D222" s="13" t="s">
        <v>167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customHeight="1">
      <c r="A223" s="4">
        <f t="shared" si="0"/>
        <v>222</v>
      </c>
      <c r="B223" s="11" t="s">
        <v>226</v>
      </c>
      <c r="C223" s="12">
        <v>59214</v>
      </c>
      <c r="D223" s="13" t="s">
        <v>167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customHeight="1">
      <c r="A224" s="4">
        <f t="shared" si="0"/>
        <v>223</v>
      </c>
      <c r="B224" s="11" t="s">
        <v>227</v>
      </c>
      <c r="C224" s="12">
        <v>59044</v>
      </c>
      <c r="D224" s="13" t="s">
        <v>167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customHeight="1">
      <c r="A225" s="4">
        <f t="shared" si="0"/>
        <v>224</v>
      </c>
      <c r="B225" s="11" t="s">
        <v>228</v>
      </c>
      <c r="C225" s="12">
        <v>47075</v>
      </c>
      <c r="D225" s="13" t="s">
        <v>167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customHeight="1">
      <c r="A226" s="4">
        <f t="shared" si="0"/>
        <v>225</v>
      </c>
      <c r="B226" s="11" t="s">
        <v>229</v>
      </c>
      <c r="C226" s="12">
        <v>44078</v>
      </c>
      <c r="D226" s="13" t="s">
        <v>167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customHeight="1">
      <c r="A227" s="4">
        <f t="shared" si="0"/>
        <v>226</v>
      </c>
      <c r="B227" s="11" t="s">
        <v>230</v>
      </c>
      <c r="C227" s="12">
        <v>41650</v>
      </c>
      <c r="D227" s="13" t="s">
        <v>167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customHeight="1">
      <c r="A228" s="4">
        <f t="shared" si="0"/>
        <v>227</v>
      </c>
      <c r="B228" s="11" t="s">
        <v>231</v>
      </c>
      <c r="C228" s="12">
        <v>30379</v>
      </c>
      <c r="D228" s="13" t="s">
        <v>167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customHeight="1">
      <c r="A229" s="4">
        <f t="shared" si="0"/>
        <v>228</v>
      </c>
      <c r="B229" s="11" t="s">
        <v>232</v>
      </c>
      <c r="C229" s="12">
        <v>30243</v>
      </c>
      <c r="D229" s="13" t="s">
        <v>167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customHeight="1">
      <c r="A230" s="4">
        <f t="shared" si="0"/>
        <v>229</v>
      </c>
      <c r="B230" s="11" t="s">
        <v>233</v>
      </c>
      <c r="C230" s="12">
        <v>29248</v>
      </c>
      <c r="D230" s="13" t="s">
        <v>167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customHeight="1">
      <c r="A231" s="4">
        <f t="shared" si="0"/>
        <v>230</v>
      </c>
      <c r="B231" s="11" t="s">
        <v>234</v>
      </c>
      <c r="C231" s="12">
        <v>27186</v>
      </c>
      <c r="D231" s="13" t="s">
        <v>167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customHeight="1">
      <c r="A232" s="4">
        <f t="shared" si="0"/>
        <v>231</v>
      </c>
      <c r="B232" s="11" t="s">
        <v>235</v>
      </c>
      <c r="C232" s="12">
        <v>26896</v>
      </c>
      <c r="D232" s="13" t="s">
        <v>167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customHeight="1">
      <c r="A233" s="4">
        <f t="shared" si="0"/>
        <v>232</v>
      </c>
      <c r="B233" s="11" t="s">
        <v>236</v>
      </c>
      <c r="C233" s="12">
        <v>26398</v>
      </c>
      <c r="D233" s="13" t="s">
        <v>167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customHeight="1">
      <c r="A234" s="4">
        <f t="shared" si="0"/>
        <v>233</v>
      </c>
      <c r="B234" s="11" t="s">
        <v>237</v>
      </c>
      <c r="C234" s="12">
        <v>21124</v>
      </c>
      <c r="D234" s="13" t="s">
        <v>167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customHeight="1">
      <c r="A235" s="4">
        <f t="shared" si="0"/>
        <v>234</v>
      </c>
      <c r="B235" s="11" t="s">
        <v>238</v>
      </c>
      <c r="C235" s="12">
        <v>8232</v>
      </c>
      <c r="D235" s="13" t="s">
        <v>167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customHeight="1">
      <c r="A236" s="4">
        <f t="shared" si="0"/>
        <v>235</v>
      </c>
      <c r="B236" s="11" t="s">
        <v>239</v>
      </c>
      <c r="C236" s="12">
        <v>8205</v>
      </c>
      <c r="D236" s="13" t="s">
        <v>167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customHeight="1">
      <c r="A237" s="4">
        <f t="shared" si="0"/>
        <v>236</v>
      </c>
      <c r="B237" s="11" t="s">
        <v>240</v>
      </c>
      <c r="C237" s="12">
        <v>5566</v>
      </c>
      <c r="D237" s="13" t="s">
        <v>167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customHeight="1">
      <c r="A238" s="4">
        <f t="shared" si="0"/>
        <v>237</v>
      </c>
      <c r="B238" s="11" t="s">
        <v>241</v>
      </c>
      <c r="C238" s="12">
        <v>4829</v>
      </c>
      <c r="D238" s="13" t="s">
        <v>167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customHeight="1">
      <c r="A239" s="4">
        <f t="shared" si="0"/>
        <v>238</v>
      </c>
      <c r="B239" s="11" t="s">
        <v>242</v>
      </c>
      <c r="C239" s="12">
        <v>1623</v>
      </c>
      <c r="D239" s="13" t="s">
        <v>167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customHeight="1">
      <c r="A240" s="4">
        <f t="shared" si="0"/>
        <v>239</v>
      </c>
      <c r="B240" s="11" t="s">
        <v>243</v>
      </c>
      <c r="C240" s="12">
        <v>892</v>
      </c>
      <c r="D240" s="13" t="s">
        <v>167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customHeight="1">
      <c r="A241" s="4">
        <f t="shared" si="0"/>
        <v>240</v>
      </c>
      <c r="B241" s="11" t="s">
        <v>244</v>
      </c>
      <c r="C241" s="12">
        <v>890</v>
      </c>
      <c r="D241" s="13" t="s">
        <v>167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customHeight="1">
      <c r="A242" s="4">
        <f t="shared" si="0"/>
        <v>241</v>
      </c>
      <c r="B242" s="11" t="s">
        <v>245</v>
      </c>
      <c r="C242" s="12">
        <v>434</v>
      </c>
      <c r="D242" s="13" t="s">
        <v>167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customHeight="1">
      <c r="A243" s="4">
        <f t="shared" si="0"/>
        <v>242</v>
      </c>
      <c r="B243" s="11" t="s">
        <v>246</v>
      </c>
      <c r="C243" s="12">
        <v>139</v>
      </c>
      <c r="D243" s="13" t="s">
        <v>167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customHeight="1">
      <c r="A244" s="14">
        <f t="shared" si="0"/>
        <v>243</v>
      </c>
      <c r="B244" s="15" t="s">
        <v>247</v>
      </c>
      <c r="C244" s="16" t="s">
        <v>248</v>
      </c>
      <c r="D244" s="13" t="s">
        <v>167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customHeight="1">
      <c r="A245" s="3"/>
      <c r="B245" s="3"/>
      <c r="C245" s="3"/>
      <c r="D245" s="17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customHeight="1">
      <c r="A246" s="3"/>
      <c r="B246" s="3"/>
      <c r="C246" s="3"/>
      <c r="D246" s="17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customHeight="1">
      <c r="A247" s="3"/>
      <c r="B247" s="3"/>
      <c r="C247" s="3"/>
      <c r="D247" s="17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customHeight="1">
      <c r="A248" s="3"/>
      <c r="B248" s="3"/>
      <c r="C248" s="3"/>
      <c r="D248" s="17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customHeight="1">
      <c r="A249" s="3"/>
      <c r="B249" s="3"/>
      <c r="C249" s="3"/>
      <c r="D249" s="17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customHeight="1">
      <c r="A250" s="3"/>
      <c r="B250" s="3"/>
      <c r="C250" s="3"/>
      <c r="D250" s="17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customHeight="1">
      <c r="A251" s="3"/>
      <c r="B251" s="3"/>
      <c r="C251" s="3"/>
      <c r="D251" s="17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customHeight="1">
      <c r="A252" s="3"/>
      <c r="B252" s="3"/>
      <c r="C252" s="3"/>
      <c r="D252" s="17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customHeight="1">
      <c r="A253" s="3"/>
      <c r="B253" s="3"/>
      <c r="C253" s="3"/>
      <c r="D253" s="17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customHeight="1">
      <c r="A254" s="3"/>
      <c r="B254" s="3"/>
      <c r="C254" s="3"/>
      <c r="D254" s="17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customHeight="1">
      <c r="A255" s="3"/>
      <c r="B255" s="3"/>
      <c r="C255" s="3"/>
      <c r="D255" s="17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customHeight="1">
      <c r="A256" s="3"/>
      <c r="B256" s="3"/>
      <c r="C256" s="3"/>
      <c r="D256" s="17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customHeight="1">
      <c r="A257" s="3"/>
      <c r="B257" s="3"/>
      <c r="C257" s="3"/>
      <c r="D257" s="17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customHeight="1">
      <c r="A258" s="3"/>
      <c r="B258" s="3"/>
      <c r="C258" s="3"/>
      <c r="D258" s="17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customHeight="1">
      <c r="A259" s="3"/>
      <c r="B259" s="3"/>
      <c r="C259" s="3"/>
      <c r="D259" s="17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customHeight="1">
      <c r="A260" s="3"/>
      <c r="B260" s="3"/>
      <c r="C260" s="3"/>
      <c r="D260" s="17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customHeight="1">
      <c r="A261" s="3"/>
      <c r="B261" s="3"/>
      <c r="C261" s="3"/>
      <c r="D261" s="17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customHeight="1">
      <c r="A262" s="3"/>
      <c r="B262" s="3"/>
      <c r="C262" s="3"/>
      <c r="D262" s="17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customHeight="1">
      <c r="A263" s="3"/>
      <c r="B263" s="3"/>
      <c r="C263" s="3"/>
      <c r="D263" s="17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customHeight="1">
      <c r="A264" s="3"/>
      <c r="B264" s="3"/>
      <c r="C264" s="3"/>
      <c r="D264" s="17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customHeight="1">
      <c r="A265" s="3"/>
      <c r="B265" s="3"/>
      <c r="C265" s="3"/>
      <c r="D265" s="17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customHeight="1">
      <c r="A266" s="3"/>
      <c r="B266" s="3"/>
      <c r="C266" s="3"/>
      <c r="D266" s="17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customHeight="1">
      <c r="A267" s="3"/>
      <c r="B267" s="3"/>
      <c r="C267" s="3"/>
      <c r="D267" s="17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customHeight="1">
      <c r="A268" s="3"/>
      <c r="B268" s="3"/>
      <c r="C268" s="3"/>
      <c r="D268" s="17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customHeight="1">
      <c r="A269" s="3"/>
      <c r="B269" s="3"/>
      <c r="C269" s="3"/>
      <c r="D269" s="17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customHeight="1">
      <c r="A270" s="3"/>
      <c r="B270" s="3"/>
      <c r="C270" s="3"/>
      <c r="D270" s="17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customHeight="1">
      <c r="A271" s="3"/>
      <c r="B271" s="3"/>
      <c r="C271" s="3"/>
      <c r="D271" s="17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customHeight="1">
      <c r="A272" s="3"/>
      <c r="B272" s="3"/>
      <c r="C272" s="3"/>
      <c r="D272" s="17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customHeight="1">
      <c r="A273" s="3"/>
      <c r="B273" s="3"/>
      <c r="C273" s="3"/>
      <c r="D273" s="17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customHeight="1">
      <c r="A274" s="3"/>
      <c r="B274" s="3"/>
      <c r="C274" s="3"/>
      <c r="D274" s="17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customHeight="1">
      <c r="A275" s="3"/>
      <c r="B275" s="3"/>
      <c r="C275" s="3"/>
      <c r="D275" s="17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customHeight="1">
      <c r="A276" s="3"/>
      <c r="B276" s="3"/>
      <c r="C276" s="3"/>
      <c r="D276" s="17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customHeight="1">
      <c r="A277" s="3"/>
      <c r="B277" s="3"/>
      <c r="C277" s="3"/>
      <c r="D277" s="17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customHeight="1">
      <c r="A278" s="3"/>
      <c r="B278" s="3"/>
      <c r="C278" s="3"/>
      <c r="D278" s="17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customHeight="1">
      <c r="A279" s="3"/>
      <c r="B279" s="3"/>
      <c r="C279" s="3"/>
      <c r="D279" s="17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customHeight="1">
      <c r="A280" s="3"/>
      <c r="B280" s="3"/>
      <c r="C280" s="3"/>
      <c r="D280" s="17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customHeight="1">
      <c r="A281" s="3"/>
      <c r="B281" s="3"/>
      <c r="C281" s="3"/>
      <c r="D281" s="17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customHeight="1">
      <c r="A282" s="3"/>
      <c r="B282" s="3"/>
      <c r="C282" s="3"/>
      <c r="D282" s="17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customHeight="1">
      <c r="A283" s="3"/>
      <c r="B283" s="3"/>
      <c r="C283" s="3"/>
      <c r="D283" s="17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customHeight="1">
      <c r="A284" s="3"/>
      <c r="B284" s="3"/>
      <c r="C284" s="3"/>
      <c r="D284" s="17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customHeight="1">
      <c r="A285" s="3"/>
      <c r="B285" s="3"/>
      <c r="C285" s="3"/>
      <c r="D285" s="17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customHeight="1">
      <c r="A286" s="3"/>
      <c r="B286" s="3"/>
      <c r="C286" s="3"/>
      <c r="D286" s="17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customHeight="1">
      <c r="A287" s="3"/>
      <c r="B287" s="3"/>
      <c r="C287" s="3"/>
      <c r="D287" s="17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customHeight="1">
      <c r="A288" s="3"/>
      <c r="B288" s="3"/>
      <c r="C288" s="3"/>
      <c r="D288" s="17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customHeight="1">
      <c r="A289" s="3"/>
      <c r="B289" s="3"/>
      <c r="C289" s="3"/>
      <c r="D289" s="17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customHeight="1">
      <c r="A290" s="3"/>
      <c r="B290" s="3"/>
      <c r="C290" s="3"/>
      <c r="D290" s="17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customHeight="1">
      <c r="A291" s="3"/>
      <c r="B291" s="3"/>
      <c r="C291" s="3"/>
      <c r="D291" s="17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customHeight="1">
      <c r="A292" s="3"/>
      <c r="B292" s="3"/>
      <c r="C292" s="3"/>
      <c r="D292" s="17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customHeight="1">
      <c r="A293" s="3"/>
      <c r="B293" s="3"/>
      <c r="C293" s="3"/>
      <c r="D293" s="17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customHeight="1">
      <c r="A294" s="3"/>
      <c r="B294" s="3"/>
      <c r="C294" s="3"/>
      <c r="D294" s="17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customHeight="1">
      <c r="A295" s="3"/>
      <c r="B295" s="3"/>
      <c r="C295" s="3"/>
      <c r="D295" s="17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customHeight="1">
      <c r="A296" s="3"/>
      <c r="B296" s="3"/>
      <c r="C296" s="3"/>
      <c r="D296" s="17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customHeight="1">
      <c r="A297" s="3"/>
      <c r="B297" s="3"/>
      <c r="C297" s="3"/>
      <c r="D297" s="17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customHeight="1">
      <c r="A298" s="3"/>
      <c r="B298" s="3"/>
      <c r="C298" s="3"/>
      <c r="D298" s="17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customHeight="1">
      <c r="A299" s="3"/>
      <c r="B299" s="3"/>
      <c r="C299" s="3"/>
      <c r="D299" s="17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customHeight="1">
      <c r="A300" s="3"/>
      <c r="B300" s="3"/>
      <c r="C300" s="3"/>
      <c r="D300" s="17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customHeight="1">
      <c r="A301" s="3"/>
      <c r="B301" s="3"/>
      <c r="C301" s="3"/>
      <c r="D301" s="17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customHeight="1">
      <c r="A302" s="3"/>
      <c r="B302" s="3"/>
      <c r="C302" s="3"/>
      <c r="D302" s="17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customHeight="1">
      <c r="A303" s="3"/>
      <c r="B303" s="3"/>
      <c r="C303" s="3"/>
      <c r="D303" s="17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customHeight="1">
      <c r="A304" s="3"/>
      <c r="B304" s="3"/>
      <c r="C304" s="3"/>
      <c r="D304" s="17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customHeight="1">
      <c r="A305" s="3"/>
      <c r="B305" s="3"/>
      <c r="C305" s="3"/>
      <c r="D305" s="17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customHeight="1">
      <c r="A306" s="3"/>
      <c r="B306" s="3"/>
      <c r="C306" s="3"/>
      <c r="D306" s="17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customHeight="1">
      <c r="A307" s="3"/>
      <c r="B307" s="3"/>
      <c r="C307" s="3"/>
      <c r="D307" s="17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customHeight="1">
      <c r="A308" s="3"/>
      <c r="B308" s="3"/>
      <c r="C308" s="3"/>
      <c r="D308" s="17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customHeight="1">
      <c r="A309" s="3"/>
      <c r="B309" s="3"/>
      <c r="C309" s="3"/>
      <c r="D309" s="17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customHeight="1">
      <c r="A310" s="3"/>
      <c r="B310" s="3"/>
      <c r="C310" s="3"/>
      <c r="D310" s="17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customHeight="1">
      <c r="A311" s="3"/>
      <c r="B311" s="3"/>
      <c r="C311" s="3"/>
      <c r="D311" s="17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customHeight="1">
      <c r="A312" s="3"/>
      <c r="B312" s="3"/>
      <c r="C312" s="3"/>
      <c r="D312" s="17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customHeight="1">
      <c r="A313" s="3"/>
      <c r="B313" s="3"/>
      <c r="C313" s="3"/>
      <c r="D313" s="17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customHeight="1">
      <c r="A314" s="3"/>
      <c r="B314" s="3"/>
      <c r="C314" s="3"/>
      <c r="D314" s="17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customHeight="1">
      <c r="A315" s="3"/>
      <c r="B315" s="3"/>
      <c r="C315" s="3"/>
      <c r="D315" s="17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customHeight="1">
      <c r="A316" s="3"/>
      <c r="B316" s="3"/>
      <c r="C316" s="3"/>
      <c r="D316" s="17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customHeight="1">
      <c r="A317" s="3"/>
      <c r="B317" s="3"/>
      <c r="C317" s="3"/>
      <c r="D317" s="17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customHeight="1">
      <c r="A318" s="3"/>
      <c r="B318" s="3"/>
      <c r="C318" s="3"/>
      <c r="D318" s="17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customHeight="1">
      <c r="A319" s="3"/>
      <c r="B319" s="3"/>
      <c r="C319" s="3"/>
      <c r="D319" s="17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customHeight="1">
      <c r="A320" s="3"/>
      <c r="B320" s="3"/>
      <c r="C320" s="3"/>
      <c r="D320" s="17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customHeight="1">
      <c r="A321" s="3"/>
      <c r="B321" s="3"/>
      <c r="C321" s="3"/>
      <c r="D321" s="17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customHeight="1">
      <c r="A322" s="3"/>
      <c r="B322" s="3"/>
      <c r="C322" s="3"/>
      <c r="D322" s="17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customHeight="1">
      <c r="A323" s="3"/>
      <c r="B323" s="3"/>
      <c r="C323" s="3"/>
      <c r="D323" s="17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customHeight="1">
      <c r="A324" s="3"/>
      <c r="B324" s="3"/>
      <c r="C324" s="3"/>
      <c r="D324" s="17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customHeight="1">
      <c r="A325" s="3"/>
      <c r="B325" s="3"/>
      <c r="C325" s="3"/>
      <c r="D325" s="17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customHeight="1">
      <c r="A326" s="3"/>
      <c r="B326" s="3"/>
      <c r="C326" s="3"/>
      <c r="D326" s="17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customHeight="1">
      <c r="A327" s="3"/>
      <c r="B327" s="3"/>
      <c r="C327" s="3"/>
      <c r="D327" s="17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customHeight="1">
      <c r="A328" s="3"/>
      <c r="B328" s="3"/>
      <c r="C328" s="3"/>
      <c r="D328" s="17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customHeight="1">
      <c r="A329" s="3"/>
      <c r="B329" s="3"/>
      <c r="C329" s="3"/>
      <c r="D329" s="17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customHeight="1">
      <c r="A330" s="3"/>
      <c r="B330" s="3"/>
      <c r="C330" s="3"/>
      <c r="D330" s="17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customHeight="1">
      <c r="A331" s="3"/>
      <c r="B331" s="3"/>
      <c r="C331" s="3"/>
      <c r="D331" s="17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customHeight="1">
      <c r="A332" s="3"/>
      <c r="B332" s="3"/>
      <c r="C332" s="3"/>
      <c r="D332" s="17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customHeight="1">
      <c r="A333" s="3"/>
      <c r="B333" s="3"/>
      <c r="C333" s="3"/>
      <c r="D333" s="17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customHeight="1">
      <c r="A334" s="3"/>
      <c r="B334" s="3"/>
      <c r="C334" s="3"/>
      <c r="D334" s="17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customHeight="1">
      <c r="A335" s="3"/>
      <c r="B335" s="3"/>
      <c r="C335" s="3"/>
      <c r="D335" s="17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customHeight="1">
      <c r="A336" s="3"/>
      <c r="B336" s="3"/>
      <c r="C336" s="3"/>
      <c r="D336" s="17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customHeight="1">
      <c r="A337" s="3"/>
      <c r="B337" s="3"/>
      <c r="C337" s="3"/>
      <c r="D337" s="17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customHeight="1">
      <c r="A338" s="3"/>
      <c r="B338" s="3"/>
      <c r="C338" s="3"/>
      <c r="D338" s="17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customHeight="1">
      <c r="A339" s="3"/>
      <c r="B339" s="3"/>
      <c r="C339" s="3"/>
      <c r="D339" s="17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customHeight="1">
      <c r="A340" s="3"/>
      <c r="B340" s="3"/>
      <c r="C340" s="3"/>
      <c r="D340" s="17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customHeight="1">
      <c r="A341" s="3"/>
      <c r="B341" s="3"/>
      <c r="C341" s="3"/>
      <c r="D341" s="17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customHeight="1">
      <c r="A342" s="3"/>
      <c r="B342" s="3"/>
      <c r="C342" s="3"/>
      <c r="D342" s="17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customHeight="1">
      <c r="A343" s="3"/>
      <c r="B343" s="3"/>
      <c r="C343" s="3"/>
      <c r="D343" s="17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customHeight="1">
      <c r="A344" s="3"/>
      <c r="B344" s="3"/>
      <c r="C344" s="3"/>
      <c r="D344" s="17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customHeight="1">
      <c r="A345" s="3"/>
      <c r="B345" s="3"/>
      <c r="C345" s="3"/>
      <c r="D345" s="17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customHeight="1">
      <c r="A346" s="3"/>
      <c r="B346" s="3"/>
      <c r="C346" s="3"/>
      <c r="D346" s="17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customHeight="1">
      <c r="A347" s="3"/>
      <c r="B347" s="3"/>
      <c r="C347" s="3"/>
      <c r="D347" s="17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customHeight="1">
      <c r="A348" s="3"/>
      <c r="B348" s="3"/>
      <c r="C348" s="3"/>
      <c r="D348" s="17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customHeight="1">
      <c r="A349" s="3"/>
      <c r="B349" s="3"/>
      <c r="C349" s="3"/>
      <c r="D349" s="17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customHeight="1">
      <c r="A350" s="3"/>
      <c r="B350" s="3"/>
      <c r="C350" s="3"/>
      <c r="D350" s="17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customHeight="1">
      <c r="A351" s="3"/>
      <c r="B351" s="3"/>
      <c r="C351" s="3"/>
      <c r="D351" s="17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customHeight="1">
      <c r="A352" s="3"/>
      <c r="B352" s="3"/>
      <c r="C352" s="3"/>
      <c r="D352" s="17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customHeight="1">
      <c r="A353" s="3"/>
      <c r="B353" s="3"/>
      <c r="C353" s="3"/>
      <c r="D353" s="17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customHeight="1">
      <c r="A354" s="3"/>
      <c r="B354" s="3"/>
      <c r="C354" s="3"/>
      <c r="D354" s="17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customHeight="1">
      <c r="A355" s="3"/>
      <c r="B355" s="3"/>
      <c r="C355" s="3"/>
      <c r="D355" s="17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customHeight="1">
      <c r="A356" s="3"/>
      <c r="B356" s="3"/>
      <c r="C356" s="3"/>
      <c r="D356" s="17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customHeight="1">
      <c r="A357" s="3"/>
      <c r="B357" s="3"/>
      <c r="C357" s="3"/>
      <c r="D357" s="17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customHeight="1">
      <c r="A358" s="3"/>
      <c r="B358" s="3"/>
      <c r="C358" s="3"/>
      <c r="D358" s="17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customHeight="1">
      <c r="A359" s="3"/>
      <c r="B359" s="3"/>
      <c r="C359" s="3"/>
      <c r="D359" s="17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customHeight="1">
      <c r="A360" s="3"/>
      <c r="B360" s="3"/>
      <c r="C360" s="3"/>
      <c r="D360" s="17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customHeight="1">
      <c r="A361" s="3"/>
      <c r="B361" s="3"/>
      <c r="C361" s="3"/>
      <c r="D361" s="17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customHeight="1">
      <c r="A362" s="3"/>
      <c r="B362" s="3"/>
      <c r="C362" s="3"/>
      <c r="D362" s="17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customHeight="1">
      <c r="A363" s="3"/>
      <c r="B363" s="3"/>
      <c r="C363" s="3"/>
      <c r="D363" s="17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customHeight="1">
      <c r="A364" s="3"/>
      <c r="B364" s="3"/>
      <c r="C364" s="3"/>
      <c r="D364" s="17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customHeight="1">
      <c r="A365" s="3"/>
      <c r="B365" s="3"/>
      <c r="C365" s="3"/>
      <c r="D365" s="17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customHeight="1">
      <c r="A366" s="3"/>
      <c r="B366" s="3"/>
      <c r="C366" s="3"/>
      <c r="D366" s="17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customHeight="1">
      <c r="A367" s="3"/>
      <c r="B367" s="3"/>
      <c r="C367" s="3"/>
      <c r="D367" s="17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customHeight="1">
      <c r="A368" s="3"/>
      <c r="B368" s="3"/>
      <c r="C368" s="3"/>
      <c r="D368" s="17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customHeight="1">
      <c r="A369" s="3"/>
      <c r="B369" s="3"/>
      <c r="C369" s="3"/>
      <c r="D369" s="17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customHeight="1">
      <c r="A370" s="3"/>
      <c r="B370" s="3"/>
      <c r="C370" s="3"/>
      <c r="D370" s="17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customHeight="1">
      <c r="A371" s="3"/>
      <c r="B371" s="3"/>
      <c r="C371" s="3"/>
      <c r="D371" s="17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customHeight="1">
      <c r="A372" s="3"/>
      <c r="B372" s="3"/>
      <c r="C372" s="3"/>
      <c r="D372" s="17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customHeight="1">
      <c r="A373" s="3"/>
      <c r="B373" s="3"/>
      <c r="C373" s="3"/>
      <c r="D373" s="17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customHeight="1">
      <c r="A374" s="3"/>
      <c r="B374" s="3"/>
      <c r="C374" s="3"/>
      <c r="D374" s="17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customHeight="1">
      <c r="A375" s="3"/>
      <c r="B375" s="3"/>
      <c r="C375" s="3"/>
      <c r="D375" s="17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customHeight="1">
      <c r="A376" s="3"/>
      <c r="B376" s="3"/>
      <c r="C376" s="3"/>
      <c r="D376" s="17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customHeight="1">
      <c r="A377" s="3"/>
      <c r="B377" s="3"/>
      <c r="C377" s="3"/>
      <c r="D377" s="17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customHeight="1">
      <c r="A378" s="3"/>
      <c r="B378" s="3"/>
      <c r="C378" s="3"/>
      <c r="D378" s="17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customHeight="1">
      <c r="A379" s="3"/>
      <c r="B379" s="3"/>
      <c r="C379" s="3"/>
      <c r="D379" s="17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customHeight="1">
      <c r="A380" s="3"/>
      <c r="B380" s="3"/>
      <c r="C380" s="3"/>
      <c r="D380" s="17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customHeight="1">
      <c r="A381" s="3"/>
      <c r="B381" s="3"/>
      <c r="C381" s="3"/>
      <c r="D381" s="17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customHeight="1">
      <c r="A382" s="3"/>
      <c r="B382" s="3"/>
      <c r="C382" s="3"/>
      <c r="D382" s="17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customHeight="1">
      <c r="A383" s="3"/>
      <c r="B383" s="3"/>
      <c r="C383" s="3"/>
      <c r="D383" s="17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customHeight="1">
      <c r="A384" s="3"/>
      <c r="B384" s="3"/>
      <c r="C384" s="3"/>
      <c r="D384" s="17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customHeight="1">
      <c r="A385" s="3"/>
      <c r="B385" s="3"/>
      <c r="C385" s="3"/>
      <c r="D385" s="17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customHeight="1">
      <c r="A386" s="3"/>
      <c r="B386" s="3"/>
      <c r="C386" s="3"/>
      <c r="D386" s="17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customHeight="1">
      <c r="A387" s="3"/>
      <c r="B387" s="3"/>
      <c r="C387" s="3"/>
      <c r="D387" s="17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customHeight="1">
      <c r="A388" s="3"/>
      <c r="B388" s="3"/>
      <c r="C388" s="3"/>
      <c r="D388" s="17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customHeight="1">
      <c r="A389" s="3"/>
      <c r="B389" s="3"/>
      <c r="C389" s="3"/>
      <c r="D389" s="17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customHeight="1">
      <c r="A390" s="3"/>
      <c r="B390" s="3"/>
      <c r="C390" s="3"/>
      <c r="D390" s="17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customHeight="1">
      <c r="A391" s="3"/>
      <c r="B391" s="3"/>
      <c r="C391" s="3"/>
      <c r="D391" s="17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customHeight="1">
      <c r="A392" s="3"/>
      <c r="B392" s="3"/>
      <c r="C392" s="3"/>
      <c r="D392" s="17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customHeight="1">
      <c r="A393" s="3"/>
      <c r="B393" s="3"/>
      <c r="C393" s="3"/>
      <c r="D393" s="17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customHeight="1">
      <c r="A394" s="3"/>
      <c r="B394" s="3"/>
      <c r="C394" s="3"/>
      <c r="D394" s="17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customHeight="1">
      <c r="A395" s="3"/>
      <c r="B395" s="3"/>
      <c r="C395" s="3"/>
      <c r="D395" s="17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customHeight="1">
      <c r="A396" s="3"/>
      <c r="B396" s="3"/>
      <c r="C396" s="3"/>
      <c r="D396" s="17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customHeight="1">
      <c r="A397" s="3"/>
      <c r="B397" s="3"/>
      <c r="C397" s="3"/>
      <c r="D397" s="17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customHeight="1">
      <c r="A398" s="3"/>
      <c r="B398" s="3"/>
      <c r="C398" s="3"/>
      <c r="D398" s="17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customHeight="1">
      <c r="A399" s="3"/>
      <c r="B399" s="3"/>
      <c r="C399" s="3"/>
      <c r="D399" s="17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customHeight="1">
      <c r="A400" s="3"/>
      <c r="B400" s="3"/>
      <c r="C400" s="3"/>
      <c r="D400" s="17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customHeight="1">
      <c r="A401" s="3"/>
      <c r="B401" s="3"/>
      <c r="C401" s="3"/>
      <c r="D401" s="17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customHeight="1">
      <c r="A402" s="3"/>
      <c r="B402" s="3"/>
      <c r="C402" s="3"/>
      <c r="D402" s="17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customHeight="1">
      <c r="A403" s="3"/>
      <c r="B403" s="3"/>
      <c r="C403" s="3"/>
      <c r="D403" s="17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customHeight="1">
      <c r="A404" s="3"/>
      <c r="B404" s="3"/>
      <c r="C404" s="3"/>
      <c r="D404" s="17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customHeight="1">
      <c r="A405" s="3"/>
      <c r="B405" s="3"/>
      <c r="C405" s="3"/>
      <c r="D405" s="17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customHeight="1">
      <c r="A406" s="3"/>
      <c r="B406" s="3"/>
      <c r="C406" s="3"/>
      <c r="D406" s="17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customHeight="1">
      <c r="A407" s="3"/>
      <c r="B407" s="3"/>
      <c r="C407" s="3"/>
      <c r="D407" s="17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customHeight="1">
      <c r="A408" s="3"/>
      <c r="B408" s="3"/>
      <c r="C408" s="3"/>
      <c r="D408" s="17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customHeight="1">
      <c r="A409" s="3"/>
      <c r="B409" s="3"/>
      <c r="C409" s="3"/>
      <c r="D409" s="17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customHeight="1">
      <c r="A410" s="3"/>
      <c r="B410" s="3"/>
      <c r="C410" s="3"/>
      <c r="D410" s="17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customHeight="1">
      <c r="A411" s="3"/>
      <c r="B411" s="3"/>
      <c r="C411" s="3"/>
      <c r="D411" s="17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customHeight="1">
      <c r="A412" s="3"/>
      <c r="B412" s="3"/>
      <c r="C412" s="3"/>
      <c r="D412" s="17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customHeight="1">
      <c r="A413" s="3"/>
      <c r="B413" s="3"/>
      <c r="C413" s="3"/>
      <c r="D413" s="17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customHeight="1">
      <c r="A414" s="3"/>
      <c r="B414" s="3"/>
      <c r="C414" s="3"/>
      <c r="D414" s="17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customHeight="1">
      <c r="A415" s="3"/>
      <c r="B415" s="3"/>
      <c r="C415" s="3"/>
      <c r="D415" s="17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customHeight="1">
      <c r="A416" s="3"/>
      <c r="B416" s="3"/>
      <c r="C416" s="3"/>
      <c r="D416" s="17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customHeight="1">
      <c r="A417" s="3"/>
      <c r="B417" s="3"/>
      <c r="C417" s="3"/>
      <c r="D417" s="17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customHeight="1">
      <c r="A418" s="3"/>
      <c r="B418" s="3"/>
      <c r="C418" s="3"/>
      <c r="D418" s="17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customHeight="1">
      <c r="A419" s="3"/>
      <c r="B419" s="3"/>
      <c r="C419" s="3"/>
      <c r="D419" s="17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customHeight="1">
      <c r="A420" s="3"/>
      <c r="B420" s="3"/>
      <c r="C420" s="3"/>
      <c r="D420" s="17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customHeight="1">
      <c r="A421" s="3"/>
      <c r="B421" s="3"/>
      <c r="C421" s="3"/>
      <c r="D421" s="17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customHeight="1">
      <c r="A422" s="3"/>
      <c r="B422" s="3"/>
      <c r="C422" s="3"/>
      <c r="D422" s="17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customHeight="1">
      <c r="A423" s="3"/>
      <c r="B423" s="3"/>
      <c r="C423" s="3"/>
      <c r="D423" s="17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customHeight="1">
      <c r="A424" s="3"/>
      <c r="B424" s="3"/>
      <c r="C424" s="3"/>
      <c r="D424" s="17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customHeight="1">
      <c r="A425" s="3"/>
      <c r="B425" s="3"/>
      <c r="C425" s="3"/>
      <c r="D425" s="17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customHeight="1">
      <c r="A426" s="3"/>
      <c r="B426" s="3"/>
      <c r="C426" s="3"/>
      <c r="D426" s="17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customHeight="1">
      <c r="A427" s="3"/>
      <c r="B427" s="3"/>
      <c r="C427" s="3"/>
      <c r="D427" s="17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customHeight="1">
      <c r="A428" s="3"/>
      <c r="B428" s="3"/>
      <c r="C428" s="3"/>
      <c r="D428" s="17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customHeight="1">
      <c r="A429" s="3"/>
      <c r="B429" s="3"/>
      <c r="C429" s="3"/>
      <c r="D429" s="17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customHeight="1">
      <c r="A430" s="3"/>
      <c r="B430" s="3"/>
      <c r="C430" s="3"/>
      <c r="D430" s="17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customHeight="1">
      <c r="A431" s="3"/>
      <c r="B431" s="3"/>
      <c r="C431" s="3"/>
      <c r="D431" s="17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customHeight="1">
      <c r="A432" s="3"/>
      <c r="B432" s="3"/>
      <c r="C432" s="3"/>
      <c r="D432" s="17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customHeight="1">
      <c r="A433" s="3"/>
      <c r="B433" s="3"/>
      <c r="C433" s="3"/>
      <c r="D433" s="17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customHeight="1">
      <c r="A434" s="3"/>
      <c r="B434" s="3"/>
      <c r="C434" s="3"/>
      <c r="D434" s="17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customHeight="1">
      <c r="A435" s="3"/>
      <c r="B435" s="3"/>
      <c r="C435" s="3"/>
      <c r="D435" s="17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customHeight="1">
      <c r="A436" s="3"/>
      <c r="B436" s="3"/>
      <c r="C436" s="3"/>
      <c r="D436" s="17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customHeight="1">
      <c r="A437" s="3"/>
      <c r="B437" s="3"/>
      <c r="C437" s="3"/>
      <c r="D437" s="17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customHeight="1">
      <c r="A438" s="3"/>
      <c r="B438" s="3"/>
      <c r="C438" s="3"/>
      <c r="D438" s="17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customHeight="1">
      <c r="A439" s="3"/>
      <c r="B439" s="3"/>
      <c r="C439" s="3"/>
      <c r="D439" s="17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customHeight="1">
      <c r="A440" s="3"/>
      <c r="B440" s="3"/>
      <c r="C440" s="3"/>
      <c r="D440" s="17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customHeight="1">
      <c r="A441" s="3"/>
      <c r="B441" s="3"/>
      <c r="C441" s="3"/>
      <c r="D441" s="17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customHeight="1">
      <c r="A442" s="3"/>
      <c r="B442" s="3"/>
      <c r="C442" s="3"/>
      <c r="D442" s="17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customHeight="1">
      <c r="A443" s="3"/>
      <c r="B443" s="3"/>
      <c r="C443" s="3"/>
      <c r="D443" s="17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customHeight="1">
      <c r="A444" s="3"/>
      <c r="B444" s="3"/>
      <c r="C444" s="3"/>
      <c r="D444" s="17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customHeight="1">
      <c r="A445" s="3"/>
      <c r="B445" s="3"/>
      <c r="C445" s="3"/>
      <c r="D445" s="17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customHeight="1">
      <c r="A446" s="3"/>
      <c r="B446" s="3"/>
      <c r="C446" s="3"/>
      <c r="D446" s="17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customHeight="1">
      <c r="A447" s="3"/>
      <c r="B447" s="3"/>
      <c r="C447" s="3"/>
      <c r="D447" s="17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customHeight="1">
      <c r="A448" s="3"/>
      <c r="B448" s="3"/>
      <c r="C448" s="3"/>
      <c r="D448" s="17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customHeight="1">
      <c r="A449" s="3"/>
      <c r="B449" s="3"/>
      <c r="C449" s="3"/>
      <c r="D449" s="17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customHeight="1">
      <c r="A450" s="3"/>
      <c r="B450" s="3"/>
      <c r="C450" s="3"/>
      <c r="D450" s="17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customHeight="1">
      <c r="A451" s="3"/>
      <c r="B451" s="3"/>
      <c r="C451" s="3"/>
      <c r="D451" s="17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customHeight="1">
      <c r="A452" s="3"/>
      <c r="B452" s="3"/>
      <c r="C452" s="3"/>
      <c r="D452" s="17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customHeight="1">
      <c r="A453" s="3"/>
      <c r="B453" s="3"/>
      <c r="C453" s="3"/>
      <c r="D453" s="17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customHeight="1">
      <c r="A454" s="3"/>
      <c r="B454" s="3"/>
      <c r="C454" s="3"/>
      <c r="D454" s="17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customHeight="1">
      <c r="A455" s="3"/>
      <c r="B455" s="3"/>
      <c r="C455" s="3"/>
      <c r="D455" s="17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customHeight="1">
      <c r="A456" s="3"/>
      <c r="B456" s="3"/>
      <c r="C456" s="3"/>
      <c r="D456" s="17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customHeight="1">
      <c r="A457" s="3"/>
      <c r="B457" s="3"/>
      <c r="C457" s="3"/>
      <c r="D457" s="17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customHeight="1">
      <c r="A458" s="3"/>
      <c r="B458" s="3"/>
      <c r="C458" s="3"/>
      <c r="D458" s="17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customHeight="1">
      <c r="A459" s="3"/>
      <c r="B459" s="3"/>
      <c r="C459" s="3"/>
      <c r="D459" s="17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customHeight="1">
      <c r="A460" s="3"/>
      <c r="B460" s="3"/>
      <c r="C460" s="3"/>
      <c r="D460" s="17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customHeight="1">
      <c r="A461" s="3"/>
      <c r="B461" s="3"/>
      <c r="C461" s="3"/>
      <c r="D461" s="17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customHeight="1">
      <c r="A462" s="3"/>
      <c r="B462" s="3"/>
      <c r="C462" s="3"/>
      <c r="D462" s="17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customHeight="1">
      <c r="A463" s="3"/>
      <c r="B463" s="3"/>
      <c r="C463" s="3"/>
      <c r="D463" s="17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customHeight="1">
      <c r="A464" s="3"/>
      <c r="B464" s="3"/>
      <c r="C464" s="3"/>
      <c r="D464" s="17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customHeight="1">
      <c r="A465" s="3"/>
      <c r="B465" s="3"/>
      <c r="C465" s="3"/>
      <c r="D465" s="17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customHeight="1">
      <c r="A466" s="3"/>
      <c r="B466" s="3"/>
      <c r="C466" s="3"/>
      <c r="D466" s="17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customHeight="1">
      <c r="A467" s="3"/>
      <c r="B467" s="3"/>
      <c r="C467" s="3"/>
      <c r="D467" s="17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customHeight="1">
      <c r="A468" s="3"/>
      <c r="B468" s="3"/>
      <c r="C468" s="3"/>
      <c r="D468" s="17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customHeight="1">
      <c r="A469" s="3"/>
      <c r="B469" s="3"/>
      <c r="C469" s="3"/>
      <c r="D469" s="17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customHeight="1">
      <c r="A470" s="3"/>
      <c r="B470" s="3"/>
      <c r="C470" s="3"/>
      <c r="D470" s="17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customHeight="1">
      <c r="A471" s="3"/>
      <c r="B471" s="3"/>
      <c r="C471" s="3"/>
      <c r="D471" s="17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customHeight="1">
      <c r="A472" s="3"/>
      <c r="B472" s="3"/>
      <c r="C472" s="3"/>
      <c r="D472" s="17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customHeight="1">
      <c r="A473" s="3"/>
      <c r="B473" s="3"/>
      <c r="C473" s="3"/>
      <c r="D473" s="17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customHeight="1">
      <c r="A474" s="3"/>
      <c r="B474" s="3"/>
      <c r="C474" s="3"/>
      <c r="D474" s="17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customHeight="1">
      <c r="A475" s="3"/>
      <c r="B475" s="3"/>
      <c r="C475" s="3"/>
      <c r="D475" s="17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customHeight="1">
      <c r="A476" s="3"/>
      <c r="B476" s="3"/>
      <c r="C476" s="3"/>
      <c r="D476" s="17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customHeight="1">
      <c r="A477" s="3"/>
      <c r="B477" s="3"/>
      <c r="C477" s="3"/>
      <c r="D477" s="17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customHeight="1">
      <c r="A478" s="3"/>
      <c r="B478" s="3"/>
      <c r="C478" s="3"/>
      <c r="D478" s="17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customHeight="1">
      <c r="A479" s="3"/>
      <c r="B479" s="3"/>
      <c r="C479" s="3"/>
      <c r="D479" s="17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customHeight="1">
      <c r="A480" s="3"/>
      <c r="B480" s="3"/>
      <c r="C480" s="3"/>
      <c r="D480" s="17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customHeight="1">
      <c r="A481" s="3"/>
      <c r="B481" s="3"/>
      <c r="C481" s="3"/>
      <c r="D481" s="17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customHeight="1">
      <c r="A482" s="3"/>
      <c r="B482" s="3"/>
      <c r="C482" s="3"/>
      <c r="D482" s="17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customHeight="1">
      <c r="A483" s="3"/>
      <c r="B483" s="3"/>
      <c r="C483" s="3"/>
      <c r="D483" s="17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customHeight="1">
      <c r="A484" s="3"/>
      <c r="B484" s="3"/>
      <c r="C484" s="3"/>
      <c r="D484" s="17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customHeight="1">
      <c r="A485" s="3"/>
      <c r="B485" s="3"/>
      <c r="C485" s="3"/>
      <c r="D485" s="17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customHeight="1">
      <c r="A486" s="3"/>
      <c r="B486" s="3"/>
      <c r="C486" s="3"/>
      <c r="D486" s="17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customHeight="1">
      <c r="A487" s="3"/>
      <c r="B487" s="3"/>
      <c r="C487" s="3"/>
      <c r="D487" s="17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customHeight="1">
      <c r="A488" s="3"/>
      <c r="B488" s="3"/>
      <c r="C488" s="3"/>
      <c r="D488" s="17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customHeight="1">
      <c r="A489" s="3"/>
      <c r="B489" s="3"/>
      <c r="C489" s="3"/>
      <c r="D489" s="17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customHeight="1">
      <c r="A490" s="3"/>
      <c r="B490" s="3"/>
      <c r="C490" s="3"/>
      <c r="D490" s="17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customHeight="1">
      <c r="A491" s="3"/>
      <c r="B491" s="3"/>
      <c r="C491" s="3"/>
      <c r="D491" s="17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customHeight="1">
      <c r="A492" s="3"/>
      <c r="B492" s="3"/>
      <c r="C492" s="3"/>
      <c r="D492" s="17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customHeight="1">
      <c r="A493" s="3"/>
      <c r="B493" s="3"/>
      <c r="C493" s="3"/>
      <c r="D493" s="17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customHeight="1">
      <c r="A494" s="3"/>
      <c r="B494" s="3"/>
      <c r="C494" s="3"/>
      <c r="D494" s="17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customHeight="1">
      <c r="A495" s="3"/>
      <c r="B495" s="3"/>
      <c r="C495" s="3"/>
      <c r="D495" s="17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customHeight="1">
      <c r="A496" s="3"/>
      <c r="B496" s="3"/>
      <c r="C496" s="3"/>
      <c r="D496" s="17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customHeight="1">
      <c r="A497" s="3"/>
      <c r="B497" s="3"/>
      <c r="C497" s="3"/>
      <c r="D497" s="17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customHeight="1">
      <c r="A498" s="3"/>
      <c r="B498" s="3"/>
      <c r="C498" s="3"/>
      <c r="D498" s="17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customHeight="1">
      <c r="A499" s="3"/>
      <c r="B499" s="3"/>
      <c r="C499" s="3"/>
      <c r="D499" s="17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customHeight="1">
      <c r="A500" s="3"/>
      <c r="B500" s="3"/>
      <c r="C500" s="3"/>
      <c r="D500" s="17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customHeight="1">
      <c r="A501" s="3"/>
      <c r="B501" s="3"/>
      <c r="C501" s="3"/>
      <c r="D501" s="17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customHeight="1">
      <c r="A502" s="3"/>
      <c r="B502" s="3"/>
      <c r="C502" s="3"/>
      <c r="D502" s="17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customHeight="1">
      <c r="A503" s="3"/>
      <c r="B503" s="3"/>
      <c r="C503" s="3"/>
      <c r="D503" s="17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customHeight="1">
      <c r="A504" s="3"/>
      <c r="B504" s="3"/>
      <c r="C504" s="3"/>
      <c r="D504" s="17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customHeight="1">
      <c r="A505" s="3"/>
      <c r="B505" s="3"/>
      <c r="C505" s="3"/>
      <c r="D505" s="17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customHeight="1">
      <c r="A506" s="3"/>
      <c r="B506" s="3"/>
      <c r="C506" s="3"/>
      <c r="D506" s="17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customHeight="1">
      <c r="A507" s="3"/>
      <c r="B507" s="3"/>
      <c r="C507" s="3"/>
      <c r="D507" s="17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customHeight="1">
      <c r="A508" s="3"/>
      <c r="B508" s="3"/>
      <c r="C508" s="3"/>
      <c r="D508" s="17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customHeight="1">
      <c r="A509" s="3"/>
      <c r="B509" s="3"/>
      <c r="C509" s="3"/>
      <c r="D509" s="17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customHeight="1">
      <c r="A510" s="3"/>
      <c r="B510" s="3"/>
      <c r="C510" s="3"/>
      <c r="D510" s="17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customHeight="1">
      <c r="A511" s="3"/>
      <c r="B511" s="3"/>
      <c r="C511" s="3"/>
      <c r="D511" s="17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customHeight="1">
      <c r="A512" s="3"/>
      <c r="B512" s="3"/>
      <c r="C512" s="3"/>
      <c r="D512" s="17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customHeight="1">
      <c r="A513" s="3"/>
      <c r="B513" s="3"/>
      <c r="C513" s="3"/>
      <c r="D513" s="17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customHeight="1">
      <c r="A514" s="3"/>
      <c r="B514" s="3"/>
      <c r="C514" s="3"/>
      <c r="D514" s="17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customHeight="1">
      <c r="A515" s="3"/>
      <c r="B515" s="3"/>
      <c r="C515" s="3"/>
      <c r="D515" s="17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customHeight="1">
      <c r="A516" s="3"/>
      <c r="B516" s="3"/>
      <c r="C516" s="3"/>
      <c r="D516" s="17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customHeight="1">
      <c r="A517" s="3"/>
      <c r="B517" s="3"/>
      <c r="C517" s="3"/>
      <c r="D517" s="17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customHeight="1">
      <c r="A518" s="3"/>
      <c r="B518" s="3"/>
      <c r="C518" s="3"/>
      <c r="D518" s="17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customHeight="1">
      <c r="A519" s="3"/>
      <c r="B519" s="3"/>
      <c r="C519" s="3"/>
      <c r="D519" s="17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customHeight="1">
      <c r="A520" s="3"/>
      <c r="B520" s="3"/>
      <c r="C520" s="3"/>
      <c r="D520" s="17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customHeight="1">
      <c r="A521" s="3"/>
      <c r="B521" s="3"/>
      <c r="C521" s="3"/>
      <c r="D521" s="17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customHeight="1">
      <c r="A522" s="3"/>
      <c r="B522" s="3"/>
      <c r="C522" s="3"/>
      <c r="D522" s="17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customHeight="1">
      <c r="A523" s="3"/>
      <c r="B523" s="3"/>
      <c r="C523" s="3"/>
      <c r="D523" s="17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customHeight="1">
      <c r="A524" s="3"/>
      <c r="B524" s="3"/>
      <c r="C524" s="3"/>
      <c r="D524" s="17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customHeight="1">
      <c r="A525" s="3"/>
      <c r="B525" s="3"/>
      <c r="C525" s="3"/>
      <c r="D525" s="17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customHeight="1">
      <c r="A526" s="3"/>
      <c r="B526" s="3"/>
      <c r="C526" s="3"/>
      <c r="D526" s="17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customHeight="1">
      <c r="A527" s="3"/>
      <c r="B527" s="3"/>
      <c r="C527" s="3"/>
      <c r="D527" s="17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customHeight="1">
      <c r="A528" s="3"/>
      <c r="B528" s="3"/>
      <c r="C528" s="3"/>
      <c r="D528" s="17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customHeight="1">
      <c r="A529" s="3"/>
      <c r="B529" s="3"/>
      <c r="C529" s="3"/>
      <c r="D529" s="17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customHeight="1">
      <c r="A530" s="3"/>
      <c r="B530" s="3"/>
      <c r="C530" s="3"/>
      <c r="D530" s="17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customHeight="1">
      <c r="A531" s="3"/>
      <c r="B531" s="3"/>
      <c r="C531" s="3"/>
      <c r="D531" s="17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customHeight="1">
      <c r="A532" s="3"/>
      <c r="B532" s="3"/>
      <c r="C532" s="3"/>
      <c r="D532" s="17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customHeight="1">
      <c r="A533" s="3"/>
      <c r="B533" s="3"/>
      <c r="C533" s="3"/>
      <c r="D533" s="17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customHeight="1">
      <c r="A534" s="3"/>
      <c r="B534" s="3"/>
      <c r="C534" s="3"/>
      <c r="D534" s="17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customHeight="1">
      <c r="A535" s="3"/>
      <c r="B535" s="3"/>
      <c r="C535" s="3"/>
      <c r="D535" s="17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customHeight="1">
      <c r="A536" s="3"/>
      <c r="B536" s="3"/>
      <c r="C536" s="3"/>
      <c r="D536" s="17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customHeight="1">
      <c r="A537" s="3"/>
      <c r="B537" s="3"/>
      <c r="C537" s="3"/>
      <c r="D537" s="17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customHeight="1">
      <c r="A538" s="3"/>
      <c r="B538" s="3"/>
      <c r="C538" s="3"/>
      <c r="D538" s="17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customHeight="1">
      <c r="A539" s="3"/>
      <c r="B539" s="3"/>
      <c r="C539" s="3"/>
      <c r="D539" s="17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customHeight="1">
      <c r="A540" s="3"/>
      <c r="B540" s="3"/>
      <c r="C540" s="3"/>
      <c r="D540" s="17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customHeight="1">
      <c r="A541" s="3"/>
      <c r="B541" s="3"/>
      <c r="C541" s="3"/>
      <c r="D541" s="17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customHeight="1">
      <c r="A542" s="3"/>
      <c r="B542" s="3"/>
      <c r="C542" s="3"/>
      <c r="D542" s="17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customHeight="1">
      <c r="A543" s="3"/>
      <c r="B543" s="3"/>
      <c r="C543" s="3"/>
      <c r="D543" s="17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customHeight="1">
      <c r="A544" s="3"/>
      <c r="B544" s="3"/>
      <c r="C544" s="3"/>
      <c r="D544" s="17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customHeight="1">
      <c r="A545" s="3"/>
      <c r="B545" s="3"/>
      <c r="C545" s="3"/>
      <c r="D545" s="17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customHeight="1">
      <c r="A546" s="3"/>
      <c r="B546" s="3"/>
      <c r="C546" s="3"/>
      <c r="D546" s="17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customHeight="1">
      <c r="A547" s="3"/>
      <c r="B547" s="3"/>
      <c r="C547" s="3"/>
      <c r="D547" s="17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customHeight="1">
      <c r="A548" s="3"/>
      <c r="B548" s="3"/>
      <c r="C548" s="3"/>
      <c r="D548" s="17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customHeight="1">
      <c r="A549" s="3"/>
      <c r="B549" s="3"/>
      <c r="C549" s="3"/>
      <c r="D549" s="17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customHeight="1">
      <c r="A550" s="3"/>
      <c r="B550" s="3"/>
      <c r="C550" s="3"/>
      <c r="D550" s="17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customHeight="1">
      <c r="A551" s="3"/>
      <c r="B551" s="3"/>
      <c r="C551" s="3"/>
      <c r="D551" s="17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customHeight="1">
      <c r="A552" s="3"/>
      <c r="B552" s="3"/>
      <c r="C552" s="3"/>
      <c r="D552" s="17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customHeight="1">
      <c r="A553" s="3"/>
      <c r="B553" s="3"/>
      <c r="C553" s="3"/>
      <c r="D553" s="17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customHeight="1">
      <c r="A554" s="3"/>
      <c r="B554" s="3"/>
      <c r="C554" s="3"/>
      <c r="D554" s="17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customHeight="1">
      <c r="A555" s="3"/>
      <c r="B555" s="3"/>
      <c r="C555" s="3"/>
      <c r="D555" s="17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customHeight="1">
      <c r="A556" s="3"/>
      <c r="B556" s="3"/>
      <c r="C556" s="3"/>
      <c r="D556" s="17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customHeight="1">
      <c r="A557" s="3"/>
      <c r="B557" s="3"/>
      <c r="C557" s="3"/>
      <c r="D557" s="17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customHeight="1">
      <c r="A558" s="3"/>
      <c r="B558" s="3"/>
      <c r="C558" s="3"/>
      <c r="D558" s="17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customHeight="1">
      <c r="A559" s="3"/>
      <c r="B559" s="3"/>
      <c r="C559" s="3"/>
      <c r="D559" s="17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customHeight="1">
      <c r="A560" s="3"/>
      <c r="B560" s="3"/>
      <c r="C560" s="3"/>
      <c r="D560" s="17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customHeight="1">
      <c r="A561" s="3"/>
      <c r="B561" s="3"/>
      <c r="C561" s="3"/>
      <c r="D561" s="17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customHeight="1">
      <c r="A562" s="3"/>
      <c r="B562" s="3"/>
      <c r="C562" s="3"/>
      <c r="D562" s="17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customHeight="1">
      <c r="A563" s="3"/>
      <c r="B563" s="3"/>
      <c r="C563" s="3"/>
      <c r="D563" s="17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customHeight="1">
      <c r="A564" s="3"/>
      <c r="B564" s="3"/>
      <c r="C564" s="3"/>
      <c r="D564" s="17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customHeight="1">
      <c r="A565" s="3"/>
      <c r="B565" s="3"/>
      <c r="C565" s="3"/>
      <c r="D565" s="17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customHeight="1">
      <c r="A566" s="3"/>
      <c r="B566" s="3"/>
      <c r="C566" s="3"/>
      <c r="D566" s="17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customHeight="1">
      <c r="A567" s="3"/>
      <c r="B567" s="3"/>
      <c r="C567" s="3"/>
      <c r="D567" s="17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customHeight="1">
      <c r="A568" s="3"/>
      <c r="B568" s="3"/>
      <c r="C568" s="3"/>
      <c r="D568" s="17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customHeight="1">
      <c r="A569" s="3"/>
      <c r="B569" s="3"/>
      <c r="C569" s="3"/>
      <c r="D569" s="17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customHeight="1">
      <c r="A570" s="3"/>
      <c r="B570" s="3"/>
      <c r="C570" s="3"/>
      <c r="D570" s="17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customHeight="1">
      <c r="A571" s="3"/>
      <c r="B571" s="3"/>
      <c r="C571" s="3"/>
      <c r="D571" s="17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customHeight="1">
      <c r="A572" s="3"/>
      <c r="B572" s="3"/>
      <c r="C572" s="3"/>
      <c r="D572" s="17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customHeight="1">
      <c r="A573" s="3"/>
      <c r="B573" s="3"/>
      <c r="C573" s="3"/>
      <c r="D573" s="17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customHeight="1">
      <c r="A574" s="3"/>
      <c r="B574" s="3"/>
      <c r="C574" s="3"/>
      <c r="D574" s="17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customHeight="1">
      <c r="A575" s="3"/>
      <c r="B575" s="3"/>
      <c r="C575" s="3"/>
      <c r="D575" s="17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customHeight="1">
      <c r="A576" s="3"/>
      <c r="B576" s="3"/>
      <c r="C576" s="3"/>
      <c r="D576" s="17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customHeight="1">
      <c r="A577" s="3"/>
      <c r="B577" s="3"/>
      <c r="C577" s="3"/>
      <c r="D577" s="17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customHeight="1">
      <c r="A578" s="3"/>
      <c r="B578" s="3"/>
      <c r="C578" s="3"/>
      <c r="D578" s="17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customHeight="1">
      <c r="A579" s="3"/>
      <c r="B579" s="3"/>
      <c r="C579" s="3"/>
      <c r="D579" s="17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customHeight="1">
      <c r="A580" s="3"/>
      <c r="B580" s="3"/>
      <c r="C580" s="3"/>
      <c r="D580" s="17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customHeight="1">
      <c r="A581" s="3"/>
      <c r="B581" s="3"/>
      <c r="C581" s="3"/>
      <c r="D581" s="17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customHeight="1">
      <c r="A582" s="3"/>
      <c r="B582" s="3"/>
      <c r="C582" s="3"/>
      <c r="D582" s="17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customHeight="1">
      <c r="A583" s="3"/>
      <c r="B583" s="3"/>
      <c r="C583" s="3"/>
      <c r="D583" s="17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customHeight="1">
      <c r="A584" s="3"/>
      <c r="B584" s="3"/>
      <c r="C584" s="3"/>
      <c r="D584" s="17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customHeight="1">
      <c r="A585" s="3"/>
      <c r="B585" s="3"/>
      <c r="C585" s="3"/>
      <c r="D585" s="17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customHeight="1">
      <c r="A586" s="3"/>
      <c r="B586" s="3"/>
      <c r="C586" s="3"/>
      <c r="D586" s="17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customHeight="1">
      <c r="A587" s="3"/>
      <c r="B587" s="3"/>
      <c r="C587" s="3"/>
      <c r="D587" s="17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customHeight="1">
      <c r="A588" s="3"/>
      <c r="B588" s="3"/>
      <c r="C588" s="3"/>
      <c r="D588" s="17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customHeight="1">
      <c r="A589" s="3"/>
      <c r="B589" s="3"/>
      <c r="C589" s="3"/>
      <c r="D589" s="17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customHeight="1">
      <c r="A590" s="3"/>
      <c r="B590" s="3"/>
      <c r="C590" s="3"/>
      <c r="D590" s="17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customHeight="1">
      <c r="A591" s="3"/>
      <c r="B591" s="3"/>
      <c r="C591" s="3"/>
      <c r="D591" s="17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customHeight="1">
      <c r="A592" s="3"/>
      <c r="B592" s="3"/>
      <c r="C592" s="3"/>
      <c r="D592" s="17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customHeight="1">
      <c r="A593" s="3"/>
      <c r="B593" s="3"/>
      <c r="C593" s="3"/>
      <c r="D593" s="17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customHeight="1">
      <c r="A594" s="3"/>
      <c r="B594" s="3"/>
      <c r="C594" s="3"/>
      <c r="D594" s="17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customHeight="1">
      <c r="A595" s="3"/>
      <c r="B595" s="3"/>
      <c r="C595" s="3"/>
      <c r="D595" s="17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customHeight="1">
      <c r="A596" s="3"/>
      <c r="B596" s="3"/>
      <c r="C596" s="3"/>
      <c r="D596" s="17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customHeight="1">
      <c r="A597" s="3"/>
      <c r="B597" s="3"/>
      <c r="C597" s="3"/>
      <c r="D597" s="17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customHeight="1">
      <c r="A598" s="3"/>
      <c r="B598" s="3"/>
      <c r="C598" s="3"/>
      <c r="D598" s="17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customHeight="1">
      <c r="A599" s="3"/>
      <c r="B599" s="3"/>
      <c r="C599" s="3"/>
      <c r="D599" s="17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customHeight="1">
      <c r="A600" s="3"/>
      <c r="B600" s="3"/>
      <c r="C600" s="3"/>
      <c r="D600" s="17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customHeight="1">
      <c r="A601" s="3"/>
      <c r="B601" s="3"/>
      <c r="C601" s="3"/>
      <c r="D601" s="17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customHeight="1">
      <c r="A602" s="3"/>
      <c r="B602" s="3"/>
      <c r="C602" s="3"/>
      <c r="D602" s="17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customHeight="1">
      <c r="A603" s="3"/>
      <c r="B603" s="3"/>
      <c r="C603" s="3"/>
      <c r="D603" s="17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customHeight="1">
      <c r="A604" s="3"/>
      <c r="B604" s="3"/>
      <c r="C604" s="3"/>
      <c r="D604" s="17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customHeight="1">
      <c r="A605" s="3"/>
      <c r="B605" s="3"/>
      <c r="C605" s="3"/>
      <c r="D605" s="17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customHeight="1">
      <c r="A606" s="3"/>
      <c r="B606" s="3"/>
      <c r="C606" s="3"/>
      <c r="D606" s="17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customHeight="1">
      <c r="A607" s="3"/>
      <c r="B607" s="3"/>
      <c r="C607" s="3"/>
      <c r="D607" s="17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customHeight="1">
      <c r="A608" s="3"/>
      <c r="B608" s="3"/>
      <c r="C608" s="3"/>
      <c r="D608" s="17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customHeight="1">
      <c r="A609" s="3"/>
      <c r="B609" s="3"/>
      <c r="C609" s="3"/>
      <c r="D609" s="17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customHeight="1">
      <c r="A610" s="3"/>
      <c r="B610" s="3"/>
      <c r="C610" s="3"/>
      <c r="D610" s="17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customHeight="1">
      <c r="A611" s="3"/>
      <c r="B611" s="3"/>
      <c r="C611" s="3"/>
      <c r="D611" s="17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customHeight="1">
      <c r="A612" s="3"/>
      <c r="B612" s="3"/>
      <c r="C612" s="3"/>
      <c r="D612" s="17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customHeight="1">
      <c r="A613" s="3"/>
      <c r="B613" s="3"/>
      <c r="C613" s="3"/>
      <c r="D613" s="17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customHeight="1">
      <c r="A614" s="3"/>
      <c r="B614" s="3"/>
      <c r="C614" s="3"/>
      <c r="D614" s="17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customHeight="1">
      <c r="A615" s="3"/>
      <c r="B615" s="3"/>
      <c r="C615" s="3"/>
      <c r="D615" s="17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customHeight="1">
      <c r="A616" s="3"/>
      <c r="B616" s="3"/>
      <c r="C616" s="3"/>
      <c r="D616" s="17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customHeight="1">
      <c r="A617" s="3"/>
      <c r="B617" s="3"/>
      <c r="C617" s="3"/>
      <c r="D617" s="17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customHeight="1">
      <c r="A618" s="3"/>
      <c r="B618" s="3"/>
      <c r="C618" s="3"/>
      <c r="D618" s="17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customHeight="1">
      <c r="A619" s="3"/>
      <c r="B619" s="3"/>
      <c r="C619" s="3"/>
      <c r="D619" s="17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customHeight="1">
      <c r="A620" s="3"/>
      <c r="B620" s="3"/>
      <c r="C620" s="3"/>
      <c r="D620" s="17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customHeight="1">
      <c r="A621" s="3"/>
      <c r="B621" s="3"/>
      <c r="C621" s="3"/>
      <c r="D621" s="17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customHeight="1">
      <c r="A622" s="3"/>
      <c r="B622" s="3"/>
      <c r="C622" s="3"/>
      <c r="D622" s="17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customHeight="1">
      <c r="A623" s="3"/>
      <c r="B623" s="3"/>
      <c r="C623" s="3"/>
      <c r="D623" s="17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customHeight="1">
      <c r="A624" s="3"/>
      <c r="B624" s="3"/>
      <c r="C624" s="3"/>
      <c r="D624" s="17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customHeight="1">
      <c r="A625" s="3"/>
      <c r="B625" s="3"/>
      <c r="C625" s="3"/>
      <c r="D625" s="17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customHeight="1">
      <c r="A626" s="3"/>
      <c r="B626" s="3"/>
      <c r="C626" s="3"/>
      <c r="D626" s="17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customHeight="1">
      <c r="A627" s="3"/>
      <c r="B627" s="3"/>
      <c r="C627" s="3"/>
      <c r="D627" s="17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customHeight="1">
      <c r="A628" s="3"/>
      <c r="B628" s="3"/>
      <c r="C628" s="3"/>
      <c r="D628" s="17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customHeight="1">
      <c r="A629" s="3"/>
      <c r="B629" s="3"/>
      <c r="C629" s="3"/>
      <c r="D629" s="17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customHeight="1">
      <c r="A630" s="3"/>
      <c r="B630" s="3"/>
      <c r="C630" s="3"/>
      <c r="D630" s="17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customHeight="1">
      <c r="A631" s="3"/>
      <c r="B631" s="3"/>
      <c r="C631" s="3"/>
      <c r="D631" s="17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customHeight="1">
      <c r="A632" s="3"/>
      <c r="B632" s="3"/>
      <c r="C632" s="3"/>
      <c r="D632" s="17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customHeight="1">
      <c r="A633" s="3"/>
      <c r="B633" s="3"/>
      <c r="C633" s="3"/>
      <c r="D633" s="17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customHeight="1">
      <c r="A634" s="3"/>
      <c r="B634" s="3"/>
      <c r="C634" s="3"/>
      <c r="D634" s="17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customHeight="1">
      <c r="A635" s="3"/>
      <c r="B635" s="3"/>
      <c r="C635" s="3"/>
      <c r="D635" s="17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customHeight="1">
      <c r="A636" s="3"/>
      <c r="B636" s="3"/>
      <c r="C636" s="3"/>
      <c r="D636" s="17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customHeight="1">
      <c r="A637" s="3"/>
      <c r="B637" s="3"/>
      <c r="C637" s="3"/>
      <c r="D637" s="17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customHeight="1">
      <c r="A638" s="3"/>
      <c r="B638" s="3"/>
      <c r="C638" s="3"/>
      <c r="D638" s="17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customHeight="1">
      <c r="A639" s="3"/>
      <c r="B639" s="3"/>
      <c r="C639" s="3"/>
      <c r="D639" s="17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customHeight="1">
      <c r="A640" s="3"/>
      <c r="B640" s="3"/>
      <c r="C640" s="3"/>
      <c r="D640" s="17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customHeight="1">
      <c r="A641" s="3"/>
      <c r="B641" s="3"/>
      <c r="C641" s="3"/>
      <c r="D641" s="17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customHeight="1">
      <c r="A642" s="3"/>
      <c r="B642" s="3"/>
      <c r="C642" s="3"/>
      <c r="D642" s="17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customHeight="1">
      <c r="A643" s="3"/>
      <c r="B643" s="3"/>
      <c r="C643" s="3"/>
      <c r="D643" s="17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customHeight="1">
      <c r="A644" s="3"/>
      <c r="B644" s="3"/>
      <c r="C644" s="3"/>
      <c r="D644" s="17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customHeight="1">
      <c r="A645" s="3"/>
      <c r="B645" s="3"/>
      <c r="C645" s="3"/>
      <c r="D645" s="17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customHeight="1">
      <c r="A646" s="3"/>
      <c r="B646" s="3"/>
      <c r="C646" s="3"/>
      <c r="D646" s="17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customHeight="1">
      <c r="A647" s="3"/>
      <c r="B647" s="3"/>
      <c r="C647" s="3"/>
      <c r="D647" s="17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customHeight="1">
      <c r="A648" s="3"/>
      <c r="B648" s="3"/>
      <c r="C648" s="3"/>
      <c r="D648" s="17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customHeight="1">
      <c r="A649" s="3"/>
      <c r="B649" s="3"/>
      <c r="C649" s="3"/>
      <c r="D649" s="17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customHeight="1">
      <c r="A650" s="3"/>
      <c r="B650" s="3"/>
      <c r="C650" s="3"/>
      <c r="D650" s="17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customHeight="1">
      <c r="A651" s="3"/>
      <c r="B651" s="3"/>
      <c r="C651" s="3"/>
      <c r="D651" s="17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customHeight="1">
      <c r="A652" s="3"/>
      <c r="B652" s="3"/>
      <c r="C652" s="3"/>
      <c r="D652" s="17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customHeight="1">
      <c r="A653" s="3"/>
      <c r="B653" s="3"/>
      <c r="C653" s="3"/>
      <c r="D653" s="17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customHeight="1">
      <c r="A654" s="3"/>
      <c r="B654" s="3"/>
      <c r="C654" s="3"/>
      <c r="D654" s="17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customHeight="1">
      <c r="A655" s="3"/>
      <c r="B655" s="3"/>
      <c r="C655" s="3"/>
      <c r="D655" s="17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customHeight="1">
      <c r="A656" s="3"/>
      <c r="B656" s="3"/>
      <c r="C656" s="3"/>
      <c r="D656" s="17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customHeight="1">
      <c r="A657" s="3"/>
      <c r="B657" s="3"/>
      <c r="C657" s="3"/>
      <c r="D657" s="17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customHeight="1">
      <c r="A658" s="3"/>
      <c r="B658" s="3"/>
      <c r="C658" s="3"/>
      <c r="D658" s="17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customHeight="1">
      <c r="A659" s="3"/>
      <c r="B659" s="3"/>
      <c r="C659" s="3"/>
      <c r="D659" s="17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customHeight="1">
      <c r="A660" s="3"/>
      <c r="B660" s="3"/>
      <c r="C660" s="3"/>
      <c r="D660" s="17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customHeight="1">
      <c r="A661" s="3"/>
      <c r="B661" s="3"/>
      <c r="C661" s="3"/>
      <c r="D661" s="17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customHeight="1">
      <c r="A662" s="3"/>
      <c r="B662" s="3"/>
      <c r="C662" s="3"/>
      <c r="D662" s="17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customHeight="1">
      <c r="A663" s="3"/>
      <c r="B663" s="3"/>
      <c r="C663" s="3"/>
      <c r="D663" s="17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customHeight="1">
      <c r="A664" s="3"/>
      <c r="B664" s="3"/>
      <c r="C664" s="3"/>
      <c r="D664" s="17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customHeight="1">
      <c r="A665" s="3"/>
      <c r="B665" s="3"/>
      <c r="C665" s="3"/>
      <c r="D665" s="17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customHeight="1">
      <c r="A666" s="3"/>
      <c r="B666" s="3"/>
      <c r="C666" s="3"/>
      <c r="D666" s="17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customHeight="1">
      <c r="A667" s="3"/>
      <c r="B667" s="3"/>
      <c r="C667" s="3"/>
      <c r="D667" s="17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customHeight="1">
      <c r="A668" s="3"/>
      <c r="B668" s="3"/>
      <c r="C668" s="3"/>
      <c r="D668" s="17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customHeight="1">
      <c r="A669" s="3"/>
      <c r="B669" s="3"/>
      <c r="C669" s="3"/>
      <c r="D669" s="17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customHeight="1">
      <c r="A670" s="3"/>
      <c r="B670" s="3"/>
      <c r="C670" s="3"/>
      <c r="D670" s="17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customHeight="1">
      <c r="A671" s="3"/>
      <c r="B671" s="3"/>
      <c r="C671" s="3"/>
      <c r="D671" s="17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customHeight="1">
      <c r="A672" s="3"/>
      <c r="B672" s="3"/>
      <c r="C672" s="3"/>
      <c r="D672" s="17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customHeight="1">
      <c r="A673" s="3"/>
      <c r="B673" s="3"/>
      <c r="C673" s="3"/>
      <c r="D673" s="17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customHeight="1">
      <c r="A674" s="3"/>
      <c r="B674" s="3"/>
      <c r="C674" s="3"/>
      <c r="D674" s="17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customHeight="1">
      <c r="A675" s="3"/>
      <c r="B675" s="3"/>
      <c r="C675" s="3"/>
      <c r="D675" s="17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customHeight="1">
      <c r="A676" s="3"/>
      <c r="B676" s="3"/>
      <c r="C676" s="3"/>
      <c r="D676" s="17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customHeight="1">
      <c r="A677" s="3"/>
      <c r="B677" s="3"/>
      <c r="C677" s="3"/>
      <c r="D677" s="17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customHeight="1">
      <c r="A678" s="3"/>
      <c r="B678" s="3"/>
      <c r="C678" s="3"/>
      <c r="D678" s="17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customHeight="1">
      <c r="A679" s="3"/>
      <c r="B679" s="3"/>
      <c r="C679" s="3"/>
      <c r="D679" s="17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customHeight="1">
      <c r="A680" s="3"/>
      <c r="B680" s="3"/>
      <c r="C680" s="3"/>
      <c r="D680" s="17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customHeight="1">
      <c r="A681" s="3"/>
      <c r="B681" s="3"/>
      <c r="C681" s="3"/>
      <c r="D681" s="17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customHeight="1">
      <c r="A682" s="3"/>
      <c r="B682" s="3"/>
      <c r="C682" s="3"/>
      <c r="D682" s="17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customHeight="1">
      <c r="A683" s="3"/>
      <c r="B683" s="3"/>
      <c r="C683" s="3"/>
      <c r="D683" s="17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customHeight="1">
      <c r="A684" s="3"/>
      <c r="B684" s="3"/>
      <c r="C684" s="3"/>
      <c r="D684" s="17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customHeight="1">
      <c r="A685" s="3"/>
      <c r="B685" s="3"/>
      <c r="C685" s="3"/>
      <c r="D685" s="17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customHeight="1">
      <c r="A686" s="3"/>
      <c r="B686" s="3"/>
      <c r="C686" s="3"/>
      <c r="D686" s="17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customHeight="1">
      <c r="A687" s="3"/>
      <c r="B687" s="3"/>
      <c r="C687" s="3"/>
      <c r="D687" s="17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customHeight="1">
      <c r="A688" s="3"/>
      <c r="B688" s="3"/>
      <c r="C688" s="3"/>
      <c r="D688" s="17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customHeight="1">
      <c r="A689" s="3"/>
      <c r="B689" s="3"/>
      <c r="C689" s="3"/>
      <c r="D689" s="17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customHeight="1">
      <c r="A690" s="3"/>
      <c r="B690" s="3"/>
      <c r="C690" s="3"/>
      <c r="D690" s="17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customHeight="1">
      <c r="A691" s="3"/>
      <c r="B691" s="3"/>
      <c r="C691" s="3"/>
      <c r="D691" s="17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customHeight="1">
      <c r="A692" s="3"/>
      <c r="B692" s="3"/>
      <c r="C692" s="3"/>
      <c r="D692" s="17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customHeight="1">
      <c r="A693" s="3"/>
      <c r="B693" s="3"/>
      <c r="C693" s="3"/>
      <c r="D693" s="17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customHeight="1">
      <c r="A694" s="3"/>
      <c r="B694" s="3"/>
      <c r="C694" s="3"/>
      <c r="D694" s="17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customHeight="1">
      <c r="A695" s="3"/>
      <c r="B695" s="3"/>
      <c r="C695" s="3"/>
      <c r="D695" s="17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customHeight="1">
      <c r="A696" s="3"/>
      <c r="B696" s="3"/>
      <c r="C696" s="3"/>
      <c r="D696" s="17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customHeight="1">
      <c r="A697" s="3"/>
      <c r="B697" s="3"/>
      <c r="C697" s="3"/>
      <c r="D697" s="17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customHeight="1">
      <c r="A698" s="3"/>
      <c r="B698" s="3"/>
      <c r="C698" s="3"/>
      <c r="D698" s="17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customHeight="1">
      <c r="A699" s="3"/>
      <c r="B699" s="3"/>
      <c r="C699" s="3"/>
      <c r="D699" s="17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customHeight="1">
      <c r="A700" s="3"/>
      <c r="B700" s="3"/>
      <c r="C700" s="3"/>
      <c r="D700" s="17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customHeight="1">
      <c r="A701" s="3"/>
      <c r="B701" s="3"/>
      <c r="C701" s="3"/>
      <c r="D701" s="17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customHeight="1">
      <c r="A702" s="3"/>
      <c r="B702" s="3"/>
      <c r="C702" s="3"/>
      <c r="D702" s="17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customHeight="1">
      <c r="A703" s="3"/>
      <c r="B703" s="3"/>
      <c r="C703" s="3"/>
      <c r="D703" s="17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customHeight="1">
      <c r="A704" s="3"/>
      <c r="B704" s="3"/>
      <c r="C704" s="3"/>
      <c r="D704" s="17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customHeight="1">
      <c r="A705" s="3"/>
      <c r="B705" s="3"/>
      <c r="C705" s="3"/>
      <c r="D705" s="17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customHeight="1">
      <c r="A706" s="3"/>
      <c r="B706" s="3"/>
      <c r="C706" s="3"/>
      <c r="D706" s="17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customHeight="1">
      <c r="A707" s="3"/>
      <c r="B707" s="3"/>
      <c r="C707" s="3"/>
      <c r="D707" s="17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customHeight="1">
      <c r="A708" s="3"/>
      <c r="B708" s="3"/>
      <c r="C708" s="3"/>
      <c r="D708" s="17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customHeight="1">
      <c r="A709" s="3"/>
      <c r="B709" s="3"/>
      <c r="C709" s="3"/>
      <c r="D709" s="17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customHeight="1">
      <c r="A710" s="3"/>
      <c r="B710" s="3"/>
      <c r="C710" s="3"/>
      <c r="D710" s="17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customHeight="1">
      <c r="A711" s="3"/>
      <c r="B711" s="3"/>
      <c r="C711" s="3"/>
      <c r="D711" s="17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customHeight="1">
      <c r="A712" s="3"/>
      <c r="B712" s="3"/>
      <c r="C712" s="3"/>
      <c r="D712" s="17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customHeight="1">
      <c r="A713" s="3"/>
      <c r="B713" s="3"/>
      <c r="C713" s="3"/>
      <c r="D713" s="17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customHeight="1">
      <c r="A714" s="3"/>
      <c r="B714" s="3"/>
      <c r="C714" s="3"/>
      <c r="D714" s="17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customHeight="1">
      <c r="A715" s="3"/>
      <c r="B715" s="3"/>
      <c r="C715" s="3"/>
      <c r="D715" s="17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customHeight="1">
      <c r="A716" s="3"/>
      <c r="B716" s="3"/>
      <c r="C716" s="3"/>
      <c r="D716" s="17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customHeight="1">
      <c r="A717" s="3"/>
      <c r="B717" s="3"/>
      <c r="C717" s="3"/>
      <c r="D717" s="17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customHeight="1">
      <c r="A718" s="3"/>
      <c r="B718" s="3"/>
      <c r="C718" s="3"/>
      <c r="D718" s="17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customHeight="1">
      <c r="A719" s="3"/>
      <c r="B719" s="3"/>
      <c r="C719" s="3"/>
      <c r="D719" s="17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customHeight="1">
      <c r="A720" s="3"/>
      <c r="B720" s="3"/>
      <c r="C720" s="3"/>
      <c r="D720" s="17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customHeight="1">
      <c r="A721" s="3"/>
      <c r="B721" s="3"/>
      <c r="C721" s="3"/>
      <c r="D721" s="17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customHeight="1">
      <c r="A722" s="3"/>
      <c r="B722" s="3"/>
      <c r="C722" s="3"/>
      <c r="D722" s="17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customHeight="1">
      <c r="A723" s="3"/>
      <c r="B723" s="3"/>
      <c r="C723" s="3"/>
      <c r="D723" s="17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customHeight="1">
      <c r="A724" s="3"/>
      <c r="B724" s="3"/>
      <c r="C724" s="3"/>
      <c r="D724" s="17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customHeight="1">
      <c r="A725" s="3"/>
      <c r="B725" s="3"/>
      <c r="C725" s="3"/>
      <c r="D725" s="17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customHeight="1">
      <c r="A726" s="3"/>
      <c r="B726" s="3"/>
      <c r="C726" s="3"/>
      <c r="D726" s="17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customHeight="1">
      <c r="A727" s="3"/>
      <c r="B727" s="3"/>
      <c r="C727" s="3"/>
      <c r="D727" s="17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customHeight="1">
      <c r="A728" s="3"/>
      <c r="B728" s="3"/>
      <c r="C728" s="3"/>
      <c r="D728" s="17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customHeight="1">
      <c r="A729" s="3"/>
      <c r="B729" s="3"/>
      <c r="C729" s="3"/>
      <c r="D729" s="17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customHeight="1">
      <c r="A730" s="3"/>
      <c r="B730" s="3"/>
      <c r="C730" s="3"/>
      <c r="D730" s="17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customHeight="1">
      <c r="A731" s="3"/>
      <c r="B731" s="3"/>
      <c r="C731" s="3"/>
      <c r="D731" s="17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customHeight="1">
      <c r="A732" s="3"/>
      <c r="B732" s="3"/>
      <c r="C732" s="3"/>
      <c r="D732" s="17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customHeight="1">
      <c r="A733" s="3"/>
      <c r="B733" s="3"/>
      <c r="C733" s="3"/>
      <c r="D733" s="17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customHeight="1">
      <c r="A734" s="3"/>
      <c r="B734" s="3"/>
      <c r="C734" s="3"/>
      <c r="D734" s="17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customHeight="1">
      <c r="A735" s="3"/>
      <c r="B735" s="3"/>
      <c r="C735" s="3"/>
      <c r="D735" s="17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customHeight="1">
      <c r="A736" s="3"/>
      <c r="B736" s="3"/>
      <c r="C736" s="3"/>
      <c r="D736" s="17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customHeight="1">
      <c r="A737" s="3"/>
      <c r="B737" s="3"/>
      <c r="C737" s="3"/>
      <c r="D737" s="17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customHeight="1">
      <c r="A738" s="3"/>
      <c r="B738" s="3"/>
      <c r="C738" s="3"/>
      <c r="D738" s="17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customHeight="1">
      <c r="A739" s="3"/>
      <c r="B739" s="3"/>
      <c r="C739" s="3"/>
      <c r="D739" s="17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customHeight="1">
      <c r="A740" s="3"/>
      <c r="B740" s="3"/>
      <c r="C740" s="3"/>
      <c r="D740" s="17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customHeight="1">
      <c r="A741" s="3"/>
      <c r="B741" s="3"/>
      <c r="C741" s="3"/>
      <c r="D741" s="17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customHeight="1">
      <c r="A742" s="3"/>
      <c r="B742" s="3"/>
      <c r="C742" s="3"/>
      <c r="D742" s="17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customHeight="1">
      <c r="A743" s="3"/>
      <c r="B743" s="3"/>
      <c r="C743" s="3"/>
      <c r="D743" s="17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customHeight="1">
      <c r="A744" s="3"/>
      <c r="B744" s="3"/>
      <c r="C744" s="3"/>
      <c r="D744" s="17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customHeight="1">
      <c r="A745" s="3"/>
      <c r="B745" s="3"/>
      <c r="C745" s="3"/>
      <c r="D745" s="17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customHeight="1">
      <c r="A746" s="3"/>
      <c r="B746" s="3"/>
      <c r="C746" s="3"/>
      <c r="D746" s="17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customHeight="1">
      <c r="A747" s="3"/>
      <c r="B747" s="3"/>
      <c r="C747" s="3"/>
      <c r="D747" s="17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customHeight="1">
      <c r="A748" s="3"/>
      <c r="B748" s="3"/>
      <c r="C748" s="3"/>
      <c r="D748" s="17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customHeight="1">
      <c r="A749" s="3"/>
      <c r="B749" s="3"/>
      <c r="C749" s="3"/>
      <c r="D749" s="17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customHeight="1">
      <c r="A750" s="3"/>
      <c r="B750" s="3"/>
      <c r="C750" s="3"/>
      <c r="D750" s="17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customHeight="1">
      <c r="A751" s="3"/>
      <c r="B751" s="3"/>
      <c r="C751" s="3"/>
      <c r="D751" s="17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customHeight="1">
      <c r="A752" s="3"/>
      <c r="B752" s="3"/>
      <c r="C752" s="3"/>
      <c r="D752" s="17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customHeight="1">
      <c r="A753" s="3"/>
      <c r="B753" s="3"/>
      <c r="C753" s="3"/>
      <c r="D753" s="17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customHeight="1">
      <c r="A754" s="3"/>
      <c r="B754" s="3"/>
      <c r="C754" s="3"/>
      <c r="D754" s="17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customHeight="1">
      <c r="A755" s="3"/>
      <c r="B755" s="3"/>
      <c r="C755" s="3"/>
      <c r="D755" s="17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customHeight="1">
      <c r="A756" s="3"/>
      <c r="B756" s="3"/>
      <c r="C756" s="3"/>
      <c r="D756" s="17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customHeight="1">
      <c r="A757" s="3"/>
      <c r="B757" s="3"/>
      <c r="C757" s="3"/>
      <c r="D757" s="17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customHeight="1">
      <c r="A758" s="3"/>
      <c r="B758" s="3"/>
      <c r="C758" s="3"/>
      <c r="D758" s="17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customHeight="1">
      <c r="A759" s="3"/>
      <c r="B759" s="3"/>
      <c r="C759" s="3"/>
      <c r="D759" s="17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customHeight="1">
      <c r="A760" s="3"/>
      <c r="B760" s="3"/>
      <c r="C760" s="3"/>
      <c r="D760" s="17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customHeight="1">
      <c r="A761" s="3"/>
      <c r="B761" s="3"/>
      <c r="C761" s="3"/>
      <c r="D761" s="17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customHeight="1">
      <c r="A762" s="3"/>
      <c r="B762" s="3"/>
      <c r="C762" s="3"/>
      <c r="D762" s="17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customHeight="1">
      <c r="A763" s="3"/>
      <c r="B763" s="3"/>
      <c r="C763" s="3"/>
      <c r="D763" s="17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customHeight="1">
      <c r="A764" s="3"/>
      <c r="B764" s="3"/>
      <c r="C764" s="3"/>
      <c r="D764" s="17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customHeight="1">
      <c r="A765" s="3"/>
      <c r="B765" s="3"/>
      <c r="C765" s="3"/>
      <c r="D765" s="17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customHeight="1">
      <c r="A766" s="3"/>
      <c r="B766" s="3"/>
      <c r="C766" s="3"/>
      <c r="D766" s="17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customHeight="1">
      <c r="A767" s="3"/>
      <c r="B767" s="3"/>
      <c r="C767" s="3"/>
      <c r="D767" s="17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customHeight="1">
      <c r="A768" s="3"/>
      <c r="B768" s="3"/>
      <c r="C768" s="3"/>
      <c r="D768" s="17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customHeight="1">
      <c r="A769" s="3"/>
      <c r="B769" s="3"/>
      <c r="C769" s="3"/>
      <c r="D769" s="17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customHeight="1">
      <c r="A770" s="3"/>
      <c r="B770" s="3"/>
      <c r="C770" s="3"/>
      <c r="D770" s="17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customHeight="1">
      <c r="A771" s="3"/>
      <c r="B771" s="3"/>
      <c r="C771" s="3"/>
      <c r="D771" s="17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customHeight="1">
      <c r="A772" s="3"/>
      <c r="B772" s="3"/>
      <c r="C772" s="3"/>
      <c r="D772" s="17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customHeight="1">
      <c r="A773" s="3"/>
      <c r="B773" s="3"/>
      <c r="C773" s="3"/>
      <c r="D773" s="17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customHeight="1">
      <c r="A774" s="3"/>
      <c r="B774" s="3"/>
      <c r="C774" s="3"/>
      <c r="D774" s="17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customHeight="1">
      <c r="A775" s="3"/>
      <c r="B775" s="3"/>
      <c r="C775" s="3"/>
      <c r="D775" s="17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customHeight="1">
      <c r="A776" s="3"/>
      <c r="B776" s="3"/>
      <c r="C776" s="3"/>
      <c r="D776" s="17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customHeight="1">
      <c r="A777" s="3"/>
      <c r="B777" s="3"/>
      <c r="C777" s="3"/>
      <c r="D777" s="17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customHeight="1">
      <c r="A778" s="3"/>
      <c r="B778" s="3"/>
      <c r="C778" s="3"/>
      <c r="D778" s="17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customHeight="1">
      <c r="A779" s="3"/>
      <c r="B779" s="3"/>
      <c r="C779" s="3"/>
      <c r="D779" s="17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customHeight="1">
      <c r="A780" s="3"/>
      <c r="B780" s="3"/>
      <c r="C780" s="3"/>
      <c r="D780" s="17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customHeight="1">
      <c r="A781" s="3"/>
      <c r="B781" s="3"/>
      <c r="C781" s="3"/>
      <c r="D781" s="17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customHeight="1">
      <c r="A782" s="3"/>
      <c r="B782" s="3"/>
      <c r="C782" s="3"/>
      <c r="D782" s="17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customHeight="1">
      <c r="A783" s="3"/>
      <c r="B783" s="3"/>
      <c r="C783" s="3"/>
      <c r="D783" s="17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customHeight="1">
      <c r="A784" s="3"/>
      <c r="B784" s="3"/>
      <c r="C784" s="3"/>
      <c r="D784" s="17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customHeight="1">
      <c r="A785" s="3"/>
      <c r="B785" s="3"/>
      <c r="C785" s="3"/>
      <c r="D785" s="17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customHeight="1">
      <c r="A786" s="3"/>
      <c r="B786" s="3"/>
      <c r="C786" s="3"/>
      <c r="D786" s="17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customHeight="1">
      <c r="A787" s="3"/>
      <c r="B787" s="3"/>
      <c r="C787" s="3"/>
      <c r="D787" s="17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customHeight="1">
      <c r="A788" s="3"/>
      <c r="B788" s="3"/>
      <c r="C788" s="3"/>
      <c r="D788" s="17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customHeight="1">
      <c r="A789" s="3"/>
      <c r="B789" s="3"/>
      <c r="C789" s="3"/>
      <c r="D789" s="17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customHeight="1">
      <c r="A790" s="3"/>
      <c r="B790" s="3"/>
      <c r="C790" s="3"/>
      <c r="D790" s="17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customHeight="1">
      <c r="A791" s="3"/>
      <c r="B791" s="3"/>
      <c r="C791" s="3"/>
      <c r="D791" s="17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customHeight="1">
      <c r="A792" s="3"/>
      <c r="B792" s="3"/>
      <c r="C792" s="3"/>
      <c r="D792" s="17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customHeight="1">
      <c r="A793" s="3"/>
      <c r="B793" s="3"/>
      <c r="C793" s="3"/>
      <c r="D793" s="17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customHeight="1">
      <c r="A794" s="3"/>
      <c r="B794" s="3"/>
      <c r="C794" s="3"/>
      <c r="D794" s="17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customHeight="1">
      <c r="A795" s="3"/>
      <c r="B795" s="3"/>
      <c r="C795" s="3"/>
      <c r="D795" s="17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customHeight="1">
      <c r="A796" s="3"/>
      <c r="B796" s="3"/>
      <c r="C796" s="3"/>
      <c r="D796" s="17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customHeight="1">
      <c r="A797" s="3"/>
      <c r="B797" s="3"/>
      <c r="C797" s="3"/>
      <c r="D797" s="17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customHeight="1">
      <c r="A798" s="3"/>
      <c r="B798" s="3"/>
      <c r="C798" s="3"/>
      <c r="D798" s="17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customHeight="1">
      <c r="A799" s="3"/>
      <c r="B799" s="3"/>
      <c r="C799" s="3"/>
      <c r="D799" s="17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customHeight="1">
      <c r="A800" s="3"/>
      <c r="B800" s="3"/>
      <c r="C800" s="3"/>
      <c r="D800" s="17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customHeight="1">
      <c r="A801" s="3"/>
      <c r="B801" s="3"/>
      <c r="C801" s="3"/>
      <c r="D801" s="17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customHeight="1">
      <c r="A802" s="3"/>
      <c r="B802" s="3"/>
      <c r="C802" s="3"/>
      <c r="D802" s="17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customHeight="1">
      <c r="A803" s="3"/>
      <c r="B803" s="3"/>
      <c r="C803" s="3"/>
      <c r="D803" s="17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customHeight="1">
      <c r="A804" s="3"/>
      <c r="B804" s="3"/>
      <c r="C804" s="3"/>
      <c r="D804" s="17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customHeight="1">
      <c r="A805" s="3"/>
      <c r="B805" s="3"/>
      <c r="C805" s="3"/>
      <c r="D805" s="17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customHeight="1">
      <c r="A806" s="3"/>
      <c r="B806" s="3"/>
      <c r="C806" s="3"/>
      <c r="D806" s="17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customHeight="1">
      <c r="A807" s="3"/>
      <c r="B807" s="3"/>
      <c r="C807" s="3"/>
      <c r="D807" s="17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customHeight="1">
      <c r="A808" s="3"/>
      <c r="B808" s="3"/>
      <c r="C808" s="3"/>
      <c r="D808" s="17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customHeight="1">
      <c r="A809" s="3"/>
      <c r="B809" s="3"/>
      <c r="C809" s="3"/>
      <c r="D809" s="17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customHeight="1">
      <c r="A810" s="3"/>
      <c r="B810" s="3"/>
      <c r="C810" s="3"/>
      <c r="D810" s="17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customHeight="1">
      <c r="A811" s="3"/>
      <c r="B811" s="3"/>
      <c r="C811" s="3"/>
      <c r="D811" s="17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customHeight="1">
      <c r="A812" s="3"/>
      <c r="B812" s="3"/>
      <c r="C812" s="3"/>
      <c r="D812" s="17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customHeight="1">
      <c r="A813" s="3"/>
      <c r="B813" s="3"/>
      <c r="C813" s="3"/>
      <c r="D813" s="17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customHeight="1">
      <c r="A814" s="3"/>
      <c r="B814" s="3"/>
      <c r="C814" s="3"/>
      <c r="D814" s="17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customHeight="1">
      <c r="A815" s="3"/>
      <c r="B815" s="3"/>
      <c r="C815" s="3"/>
      <c r="D815" s="17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customHeight="1">
      <c r="A816" s="3"/>
      <c r="B816" s="3"/>
      <c r="C816" s="3"/>
      <c r="D816" s="17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customHeight="1">
      <c r="A817" s="3"/>
      <c r="B817" s="3"/>
      <c r="C817" s="3"/>
      <c r="D817" s="17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customHeight="1">
      <c r="A818" s="3"/>
      <c r="B818" s="3"/>
      <c r="C818" s="3"/>
      <c r="D818" s="17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customHeight="1">
      <c r="A819" s="3"/>
      <c r="B819" s="3"/>
      <c r="C819" s="3"/>
      <c r="D819" s="17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customHeight="1">
      <c r="A820" s="3"/>
      <c r="B820" s="3"/>
      <c r="C820" s="3"/>
      <c r="D820" s="17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customHeight="1">
      <c r="A821" s="3"/>
      <c r="B821" s="3"/>
      <c r="C821" s="3"/>
      <c r="D821" s="17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customHeight="1">
      <c r="A822" s="3"/>
      <c r="B822" s="3"/>
      <c r="C822" s="3"/>
      <c r="D822" s="17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customHeight="1">
      <c r="A823" s="3"/>
      <c r="B823" s="3"/>
      <c r="C823" s="3"/>
      <c r="D823" s="17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customHeight="1">
      <c r="A824" s="3"/>
      <c r="B824" s="3"/>
      <c r="C824" s="3"/>
      <c r="D824" s="17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customHeight="1">
      <c r="A825" s="3"/>
      <c r="B825" s="3"/>
      <c r="C825" s="3"/>
      <c r="D825" s="17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customHeight="1">
      <c r="A826" s="3"/>
      <c r="B826" s="3"/>
      <c r="C826" s="3"/>
      <c r="D826" s="17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customHeight="1">
      <c r="A827" s="3"/>
      <c r="B827" s="3"/>
      <c r="C827" s="3"/>
      <c r="D827" s="17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customHeight="1">
      <c r="A828" s="3"/>
      <c r="B828" s="3"/>
      <c r="C828" s="3"/>
      <c r="D828" s="17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customHeight="1">
      <c r="A829" s="3"/>
      <c r="B829" s="3"/>
      <c r="C829" s="3"/>
      <c r="D829" s="17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customHeight="1">
      <c r="A830" s="3"/>
      <c r="B830" s="3"/>
      <c r="C830" s="3"/>
      <c r="D830" s="17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customHeight="1">
      <c r="A831" s="3"/>
      <c r="B831" s="3"/>
      <c r="C831" s="3"/>
      <c r="D831" s="17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customHeight="1">
      <c r="A832" s="3"/>
      <c r="B832" s="3"/>
      <c r="C832" s="3"/>
      <c r="D832" s="17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customHeight="1">
      <c r="A833" s="3"/>
      <c r="B833" s="3"/>
      <c r="C833" s="3"/>
      <c r="D833" s="17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customHeight="1">
      <c r="A834" s="3"/>
      <c r="B834" s="3"/>
      <c r="C834" s="3"/>
      <c r="D834" s="17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customHeight="1">
      <c r="A835" s="3"/>
      <c r="B835" s="3"/>
      <c r="C835" s="3"/>
      <c r="D835" s="17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customHeight="1">
      <c r="A836" s="3"/>
      <c r="B836" s="3"/>
      <c r="C836" s="3"/>
      <c r="D836" s="17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customHeight="1">
      <c r="A837" s="3"/>
      <c r="B837" s="3"/>
      <c r="C837" s="3"/>
      <c r="D837" s="17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customHeight="1">
      <c r="A838" s="3"/>
      <c r="B838" s="3"/>
      <c r="C838" s="3"/>
      <c r="D838" s="17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customHeight="1">
      <c r="A839" s="3"/>
      <c r="B839" s="3"/>
      <c r="C839" s="3"/>
      <c r="D839" s="17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customHeight="1">
      <c r="A840" s="3"/>
      <c r="B840" s="3"/>
      <c r="C840" s="3"/>
      <c r="D840" s="17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customHeight="1">
      <c r="A841" s="3"/>
      <c r="B841" s="3"/>
      <c r="C841" s="3"/>
      <c r="D841" s="17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customHeight="1">
      <c r="A842" s="3"/>
      <c r="B842" s="3"/>
      <c r="C842" s="3"/>
      <c r="D842" s="17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customHeight="1">
      <c r="A843" s="3"/>
      <c r="B843" s="3"/>
      <c r="C843" s="3"/>
      <c r="D843" s="17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customHeight="1">
      <c r="A844" s="3"/>
      <c r="B844" s="3"/>
      <c r="C844" s="3"/>
      <c r="D844" s="17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customHeight="1">
      <c r="A845" s="3"/>
      <c r="B845" s="3"/>
      <c r="C845" s="3"/>
      <c r="D845" s="17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customHeight="1">
      <c r="A846" s="3"/>
      <c r="B846" s="3"/>
      <c r="C846" s="3"/>
      <c r="D846" s="17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customHeight="1">
      <c r="A847" s="3"/>
      <c r="B847" s="3"/>
      <c r="C847" s="3"/>
      <c r="D847" s="17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customHeight="1">
      <c r="A848" s="3"/>
      <c r="B848" s="3"/>
      <c r="C848" s="3"/>
      <c r="D848" s="17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customHeight="1">
      <c r="A849" s="3"/>
      <c r="B849" s="3"/>
      <c r="C849" s="3"/>
      <c r="D849" s="17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customHeight="1">
      <c r="A850" s="3"/>
      <c r="B850" s="3"/>
      <c r="C850" s="3"/>
      <c r="D850" s="17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customHeight="1">
      <c r="A851" s="3"/>
      <c r="B851" s="3"/>
      <c r="C851" s="3"/>
      <c r="D851" s="17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customHeight="1">
      <c r="A852" s="3"/>
      <c r="B852" s="3"/>
      <c r="C852" s="3"/>
      <c r="D852" s="17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customHeight="1">
      <c r="A853" s="3"/>
      <c r="B853" s="3"/>
      <c r="C853" s="3"/>
      <c r="D853" s="17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customHeight="1">
      <c r="A854" s="3"/>
      <c r="B854" s="3"/>
      <c r="C854" s="3"/>
      <c r="D854" s="17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customHeight="1">
      <c r="A855" s="3"/>
      <c r="B855" s="3"/>
      <c r="C855" s="3"/>
      <c r="D855" s="17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customHeight="1">
      <c r="A856" s="3"/>
      <c r="B856" s="3"/>
      <c r="C856" s="3"/>
      <c r="D856" s="17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customHeight="1">
      <c r="A857" s="3"/>
      <c r="B857" s="3"/>
      <c r="C857" s="3"/>
      <c r="D857" s="17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customHeight="1">
      <c r="A858" s="3"/>
      <c r="B858" s="3"/>
      <c r="C858" s="3"/>
      <c r="D858" s="17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customHeight="1">
      <c r="A859" s="3"/>
      <c r="B859" s="3"/>
      <c r="C859" s="3"/>
      <c r="D859" s="17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customHeight="1">
      <c r="A860" s="3"/>
      <c r="B860" s="3"/>
      <c r="C860" s="3"/>
      <c r="D860" s="17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customHeight="1">
      <c r="A861" s="3"/>
      <c r="B861" s="3"/>
      <c r="C861" s="3"/>
      <c r="D861" s="17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customHeight="1">
      <c r="A862" s="3"/>
      <c r="B862" s="3"/>
      <c r="C862" s="3"/>
      <c r="D862" s="17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customHeight="1">
      <c r="A863" s="3"/>
      <c r="B863" s="3"/>
      <c r="C863" s="3"/>
      <c r="D863" s="17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customHeight="1">
      <c r="A864" s="3"/>
      <c r="B864" s="3"/>
      <c r="C864" s="3"/>
      <c r="D864" s="17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customHeight="1">
      <c r="A865" s="3"/>
      <c r="B865" s="3"/>
      <c r="C865" s="3"/>
      <c r="D865" s="17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customHeight="1">
      <c r="A866" s="3"/>
      <c r="B866" s="3"/>
      <c r="C866" s="3"/>
      <c r="D866" s="17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customHeight="1">
      <c r="A867" s="3"/>
      <c r="B867" s="3"/>
      <c r="C867" s="3"/>
      <c r="D867" s="17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customHeight="1">
      <c r="A868" s="3"/>
      <c r="B868" s="3"/>
      <c r="C868" s="3"/>
      <c r="D868" s="17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customHeight="1">
      <c r="A869" s="3"/>
      <c r="B869" s="3"/>
      <c r="C869" s="3"/>
      <c r="D869" s="17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customHeight="1">
      <c r="A870" s="3"/>
      <c r="B870" s="3"/>
      <c r="C870" s="3"/>
      <c r="D870" s="17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customHeight="1">
      <c r="A871" s="3"/>
      <c r="B871" s="3"/>
      <c r="C871" s="3"/>
      <c r="D871" s="17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customHeight="1">
      <c r="A872" s="3"/>
      <c r="B872" s="3"/>
      <c r="C872" s="3"/>
      <c r="D872" s="17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customHeight="1">
      <c r="A873" s="3"/>
      <c r="B873" s="3"/>
      <c r="C873" s="3"/>
      <c r="D873" s="17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customHeight="1">
      <c r="A874" s="3"/>
      <c r="B874" s="3"/>
      <c r="C874" s="3"/>
      <c r="D874" s="17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customHeight="1">
      <c r="A875" s="3"/>
      <c r="B875" s="3"/>
      <c r="C875" s="3"/>
      <c r="D875" s="17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customHeight="1">
      <c r="A876" s="3"/>
      <c r="B876" s="3"/>
      <c r="C876" s="3"/>
      <c r="D876" s="17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customHeight="1">
      <c r="A877" s="3"/>
      <c r="B877" s="3"/>
      <c r="C877" s="3"/>
      <c r="D877" s="17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customHeight="1">
      <c r="A878" s="3"/>
      <c r="B878" s="3"/>
      <c r="C878" s="3"/>
      <c r="D878" s="17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customHeight="1">
      <c r="A879" s="3"/>
      <c r="B879" s="3"/>
      <c r="C879" s="3"/>
      <c r="D879" s="17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customHeight="1">
      <c r="A880" s="3"/>
      <c r="B880" s="3"/>
      <c r="C880" s="3"/>
      <c r="D880" s="17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customHeight="1">
      <c r="A881" s="3"/>
      <c r="B881" s="3"/>
      <c r="C881" s="3"/>
      <c r="D881" s="17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customHeight="1">
      <c r="A882" s="3"/>
      <c r="B882" s="3"/>
      <c r="C882" s="3"/>
      <c r="D882" s="17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customHeight="1">
      <c r="A883" s="3"/>
      <c r="B883" s="3"/>
      <c r="C883" s="3"/>
      <c r="D883" s="17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customHeight="1">
      <c r="A884" s="3"/>
      <c r="B884" s="3"/>
      <c r="C884" s="3"/>
      <c r="D884" s="17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customHeight="1">
      <c r="A885" s="3"/>
      <c r="B885" s="3"/>
      <c r="C885" s="3"/>
      <c r="D885" s="17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customHeight="1">
      <c r="A886" s="3"/>
      <c r="B886" s="3"/>
      <c r="C886" s="3"/>
      <c r="D886" s="17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customHeight="1">
      <c r="A887" s="3"/>
      <c r="B887" s="3"/>
      <c r="C887" s="3"/>
      <c r="D887" s="17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customHeight="1">
      <c r="A888" s="3"/>
      <c r="B888" s="3"/>
      <c r="C888" s="3"/>
      <c r="D888" s="17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customHeight="1">
      <c r="A889" s="3"/>
      <c r="B889" s="3"/>
      <c r="C889" s="3"/>
      <c r="D889" s="17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customHeight="1">
      <c r="A890" s="3"/>
      <c r="B890" s="3"/>
      <c r="C890" s="3"/>
      <c r="D890" s="17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customHeight="1">
      <c r="A891" s="3"/>
      <c r="B891" s="3"/>
      <c r="C891" s="3"/>
      <c r="D891" s="17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customHeight="1">
      <c r="A892" s="3"/>
      <c r="B892" s="3"/>
      <c r="C892" s="3"/>
      <c r="D892" s="17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customHeight="1">
      <c r="A893" s="3"/>
      <c r="B893" s="3"/>
      <c r="C893" s="3"/>
      <c r="D893" s="17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customHeight="1">
      <c r="A894" s="3"/>
      <c r="B894" s="3"/>
      <c r="C894" s="3"/>
      <c r="D894" s="17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customHeight="1">
      <c r="A895" s="3"/>
      <c r="B895" s="3"/>
      <c r="C895" s="3"/>
      <c r="D895" s="17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customHeight="1">
      <c r="A896" s="3"/>
      <c r="B896" s="3"/>
      <c r="C896" s="3"/>
      <c r="D896" s="17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customHeight="1">
      <c r="A897" s="3"/>
      <c r="B897" s="3"/>
      <c r="C897" s="3"/>
      <c r="D897" s="17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customHeight="1">
      <c r="A898" s="3"/>
      <c r="B898" s="3"/>
      <c r="C898" s="3"/>
      <c r="D898" s="17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customHeight="1">
      <c r="A899" s="3"/>
      <c r="B899" s="3"/>
      <c r="C899" s="3"/>
      <c r="D899" s="17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customHeight="1">
      <c r="A900" s="3"/>
      <c r="B900" s="3"/>
      <c r="C900" s="3"/>
      <c r="D900" s="17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customHeight="1">
      <c r="A901" s="3"/>
      <c r="B901" s="3"/>
      <c r="C901" s="3"/>
      <c r="D901" s="17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customHeight="1">
      <c r="A902" s="3"/>
      <c r="B902" s="3"/>
      <c r="C902" s="3"/>
      <c r="D902" s="17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customHeight="1">
      <c r="A903" s="3"/>
      <c r="B903" s="3"/>
      <c r="C903" s="3"/>
      <c r="D903" s="17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customHeight="1">
      <c r="A904" s="3"/>
      <c r="B904" s="3"/>
      <c r="C904" s="3"/>
      <c r="D904" s="17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customHeight="1">
      <c r="A905" s="3"/>
      <c r="B905" s="3"/>
      <c r="C905" s="3"/>
      <c r="D905" s="17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customHeight="1">
      <c r="A906" s="3"/>
      <c r="B906" s="3"/>
      <c r="C906" s="3"/>
      <c r="D906" s="17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customHeight="1">
      <c r="A907" s="3"/>
      <c r="B907" s="3"/>
      <c r="C907" s="3"/>
      <c r="D907" s="17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customHeight="1">
      <c r="A908" s="3"/>
      <c r="B908" s="3"/>
      <c r="C908" s="3"/>
      <c r="D908" s="17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customHeight="1">
      <c r="A909" s="3"/>
      <c r="B909" s="3"/>
      <c r="C909" s="3"/>
      <c r="D909" s="17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customHeight="1">
      <c r="A910" s="3"/>
      <c r="B910" s="3"/>
      <c r="C910" s="3"/>
      <c r="D910" s="17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customHeight="1">
      <c r="A911" s="3"/>
      <c r="B911" s="3"/>
      <c r="C911" s="3"/>
      <c r="D911" s="17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customHeight="1">
      <c r="A912" s="3"/>
      <c r="B912" s="3"/>
      <c r="C912" s="3"/>
      <c r="D912" s="17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customHeight="1">
      <c r="A913" s="3"/>
      <c r="B913" s="3"/>
      <c r="C913" s="3"/>
      <c r="D913" s="17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customHeight="1">
      <c r="A914" s="3"/>
      <c r="B914" s="3"/>
      <c r="C914" s="3"/>
      <c r="D914" s="17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customHeight="1">
      <c r="A915" s="3"/>
      <c r="B915" s="3"/>
      <c r="C915" s="3"/>
      <c r="D915" s="17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customHeight="1">
      <c r="A916" s="3"/>
      <c r="B916" s="3"/>
      <c r="C916" s="3"/>
      <c r="D916" s="17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customHeight="1">
      <c r="A917" s="3"/>
      <c r="B917" s="3"/>
      <c r="C917" s="3"/>
      <c r="D917" s="17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customHeight="1">
      <c r="A918" s="3"/>
      <c r="B918" s="3"/>
      <c r="C918" s="3"/>
      <c r="D918" s="17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customHeight="1">
      <c r="A919" s="3"/>
      <c r="B919" s="3"/>
      <c r="C919" s="3"/>
      <c r="D919" s="17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customHeight="1">
      <c r="A920" s="3"/>
      <c r="B920" s="3"/>
      <c r="C920" s="3"/>
      <c r="D920" s="17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customHeight="1">
      <c r="A921" s="3"/>
      <c r="B921" s="3"/>
      <c r="C921" s="3"/>
      <c r="D921" s="17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customHeight="1">
      <c r="A922" s="3"/>
      <c r="B922" s="3"/>
      <c r="C922" s="3"/>
      <c r="D922" s="17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customHeight="1">
      <c r="A923" s="3"/>
      <c r="B923" s="3"/>
      <c r="C923" s="3"/>
      <c r="D923" s="17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customHeight="1">
      <c r="A924" s="3"/>
      <c r="B924" s="3"/>
      <c r="C924" s="3"/>
      <c r="D924" s="17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customHeight="1">
      <c r="A925" s="3"/>
      <c r="B925" s="3"/>
      <c r="C925" s="3"/>
      <c r="D925" s="17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customHeight="1">
      <c r="A926" s="3"/>
      <c r="B926" s="3"/>
      <c r="C926" s="3"/>
      <c r="D926" s="17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customHeight="1">
      <c r="A927" s="3"/>
      <c r="B927" s="3"/>
      <c r="C927" s="3"/>
      <c r="D927" s="17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customHeight="1">
      <c r="A928" s="3"/>
      <c r="B928" s="3"/>
      <c r="C928" s="3"/>
      <c r="D928" s="17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customHeight="1">
      <c r="A929" s="3"/>
      <c r="B929" s="3"/>
      <c r="C929" s="3"/>
      <c r="D929" s="17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customHeight="1">
      <c r="A930" s="3"/>
      <c r="B930" s="3"/>
      <c r="C930" s="3"/>
      <c r="D930" s="17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customHeight="1">
      <c r="A931" s="3"/>
      <c r="B931" s="3"/>
      <c r="C931" s="3"/>
      <c r="D931" s="17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customHeight="1">
      <c r="A932" s="3"/>
      <c r="B932" s="3"/>
      <c r="C932" s="3"/>
      <c r="D932" s="17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customHeight="1">
      <c r="A933" s="3"/>
      <c r="B933" s="3"/>
      <c r="C933" s="3"/>
      <c r="D933" s="17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customHeight="1">
      <c r="A934" s="3"/>
      <c r="B934" s="3"/>
      <c r="C934" s="3"/>
      <c r="D934" s="17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customHeight="1">
      <c r="A935" s="3"/>
      <c r="B935" s="3"/>
      <c r="C935" s="3"/>
      <c r="D935" s="17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customHeight="1">
      <c r="A936" s="3"/>
      <c r="B936" s="3"/>
      <c r="C936" s="3"/>
      <c r="D936" s="17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customHeight="1">
      <c r="A937" s="3"/>
      <c r="B937" s="3"/>
      <c r="C937" s="3"/>
      <c r="D937" s="17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customHeight="1">
      <c r="A938" s="3"/>
      <c r="B938" s="3"/>
      <c r="C938" s="3"/>
      <c r="D938" s="17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customHeight="1">
      <c r="A939" s="3"/>
      <c r="B939" s="3"/>
      <c r="C939" s="3"/>
      <c r="D939" s="17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customHeight="1">
      <c r="A940" s="3"/>
      <c r="B940" s="3"/>
      <c r="C940" s="3"/>
      <c r="D940" s="17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customHeight="1">
      <c r="A941" s="3"/>
      <c r="B941" s="3"/>
      <c r="C941" s="3"/>
      <c r="D941" s="17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customHeight="1">
      <c r="A942" s="3"/>
      <c r="B942" s="3"/>
      <c r="C942" s="3"/>
      <c r="D942" s="17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customHeight="1">
      <c r="A943" s="3"/>
      <c r="B943" s="3"/>
      <c r="C943" s="3"/>
      <c r="D943" s="17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customHeight="1">
      <c r="A944" s="3"/>
      <c r="B944" s="3"/>
      <c r="C944" s="3"/>
      <c r="D944" s="17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customHeight="1">
      <c r="A945" s="3"/>
      <c r="B945" s="3"/>
      <c r="C945" s="3"/>
      <c r="D945" s="17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customHeight="1">
      <c r="A946" s="3"/>
      <c r="B946" s="3"/>
      <c r="C946" s="3"/>
      <c r="D946" s="17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customHeight="1">
      <c r="A947" s="3"/>
      <c r="B947" s="3"/>
      <c r="C947" s="3"/>
      <c r="D947" s="17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customHeight="1">
      <c r="A948" s="3"/>
      <c r="B948" s="3"/>
      <c r="C948" s="3"/>
      <c r="D948" s="17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customHeight="1">
      <c r="A949" s="3"/>
      <c r="B949" s="3"/>
      <c r="C949" s="3"/>
      <c r="D949" s="17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customHeight="1">
      <c r="A950" s="3"/>
      <c r="B950" s="3"/>
      <c r="C950" s="3"/>
      <c r="D950" s="17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customHeight="1">
      <c r="A951" s="3"/>
      <c r="B951" s="3"/>
      <c r="C951" s="3"/>
      <c r="D951" s="17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customHeight="1">
      <c r="A952" s="3"/>
      <c r="B952" s="3"/>
      <c r="C952" s="3"/>
      <c r="D952" s="17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customHeight="1">
      <c r="A953" s="3"/>
      <c r="B953" s="3"/>
      <c r="C953" s="3"/>
      <c r="D953" s="17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customHeight="1">
      <c r="A954" s="3"/>
      <c r="B954" s="3"/>
      <c r="C954" s="3"/>
      <c r="D954" s="17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customHeight="1">
      <c r="A955" s="3"/>
      <c r="B955" s="3"/>
      <c r="C955" s="3"/>
      <c r="D955" s="17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customHeight="1">
      <c r="A956" s="3"/>
      <c r="B956" s="3"/>
      <c r="C956" s="3"/>
      <c r="D956" s="17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customHeight="1">
      <c r="A957" s="3"/>
      <c r="B957" s="3"/>
      <c r="C957" s="3"/>
      <c r="D957" s="17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customHeight="1">
      <c r="A958" s="3"/>
      <c r="B958" s="3"/>
      <c r="C958" s="3"/>
      <c r="D958" s="17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customHeight="1">
      <c r="A959" s="3"/>
      <c r="B959" s="3"/>
      <c r="C959" s="3"/>
      <c r="D959" s="17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customHeight="1">
      <c r="A960" s="3"/>
      <c r="B960" s="3"/>
      <c r="C960" s="3"/>
      <c r="D960" s="17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customHeight="1">
      <c r="A961" s="3"/>
      <c r="B961" s="3"/>
      <c r="C961" s="3"/>
      <c r="D961" s="17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customHeight="1">
      <c r="A962" s="3"/>
      <c r="B962" s="3"/>
      <c r="C962" s="3"/>
      <c r="D962" s="17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customHeight="1">
      <c r="A963" s="3"/>
      <c r="B963" s="3"/>
      <c r="C963" s="3"/>
      <c r="D963" s="17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customHeight="1">
      <c r="A964" s="3"/>
      <c r="B964" s="3"/>
      <c r="C964" s="3"/>
      <c r="D964" s="17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customHeight="1">
      <c r="A965" s="3"/>
      <c r="B965" s="3"/>
      <c r="C965" s="3"/>
      <c r="D965" s="17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customHeight="1">
      <c r="A966" s="3"/>
      <c r="B966" s="3"/>
      <c r="C966" s="3"/>
      <c r="D966" s="17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customHeight="1">
      <c r="A967" s="3"/>
      <c r="B967" s="3"/>
      <c r="C967" s="3"/>
      <c r="D967" s="17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customHeight="1">
      <c r="A968" s="3"/>
      <c r="B968" s="3"/>
      <c r="C968" s="3"/>
      <c r="D968" s="17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customHeight="1">
      <c r="A969" s="3"/>
      <c r="B969" s="3"/>
      <c r="C969" s="3"/>
      <c r="D969" s="17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customHeight="1">
      <c r="A970" s="3"/>
      <c r="B970" s="3"/>
      <c r="C970" s="3"/>
      <c r="D970" s="17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customHeight="1">
      <c r="A971" s="3"/>
      <c r="B971" s="3"/>
      <c r="C971" s="3"/>
      <c r="D971" s="17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customHeight="1">
      <c r="A972" s="3"/>
      <c r="B972" s="3"/>
      <c r="C972" s="3"/>
      <c r="D972" s="17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customHeight="1">
      <c r="A973" s="3"/>
      <c r="B973" s="3"/>
      <c r="C973" s="3"/>
      <c r="D973" s="17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customHeight="1">
      <c r="A974" s="3"/>
      <c r="B974" s="3"/>
      <c r="C974" s="3"/>
      <c r="D974" s="17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customHeight="1">
      <c r="A975" s="3"/>
      <c r="B975" s="3"/>
      <c r="C975" s="3"/>
      <c r="D975" s="17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customHeight="1">
      <c r="A976" s="3"/>
      <c r="B976" s="3"/>
      <c r="C976" s="3"/>
      <c r="D976" s="17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customHeight="1">
      <c r="A977" s="3"/>
      <c r="B977" s="3"/>
      <c r="C977" s="3"/>
      <c r="D977" s="17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customHeight="1">
      <c r="A978" s="3"/>
      <c r="B978" s="3"/>
      <c r="C978" s="3"/>
      <c r="D978" s="17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customHeight="1">
      <c r="A979" s="3"/>
      <c r="B979" s="3"/>
      <c r="C979" s="3"/>
      <c r="D979" s="17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customHeight="1">
      <c r="A980" s="3"/>
      <c r="B980" s="3"/>
      <c r="C980" s="3"/>
      <c r="D980" s="17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customHeight="1">
      <c r="A981" s="3"/>
      <c r="B981" s="3"/>
      <c r="C981" s="3"/>
      <c r="D981" s="17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customHeight="1">
      <c r="A982" s="3"/>
      <c r="B982" s="3"/>
      <c r="C982" s="3"/>
      <c r="D982" s="17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customHeight="1">
      <c r="A983" s="3"/>
      <c r="B983" s="3"/>
      <c r="C983" s="3"/>
      <c r="D983" s="17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customHeight="1">
      <c r="A984" s="3"/>
      <c r="B984" s="3"/>
      <c r="C984" s="3"/>
      <c r="D984" s="17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customHeight="1">
      <c r="A985" s="3"/>
      <c r="B985" s="3"/>
      <c r="C985" s="3"/>
      <c r="D985" s="17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customHeight="1">
      <c r="A986" s="3"/>
      <c r="B986" s="3"/>
      <c r="C986" s="3"/>
      <c r="D986" s="17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customHeight="1">
      <c r="A987" s="3"/>
      <c r="B987" s="3"/>
      <c r="C987" s="3"/>
      <c r="D987" s="17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customHeight="1">
      <c r="A988" s="3"/>
      <c r="B988" s="3"/>
      <c r="C988" s="3"/>
      <c r="D988" s="17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customHeight="1">
      <c r="A989" s="3"/>
      <c r="B989" s="3"/>
      <c r="C989" s="3"/>
      <c r="D989" s="17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customHeight="1">
      <c r="A990" s="3"/>
      <c r="B990" s="3"/>
      <c r="C990" s="3"/>
      <c r="D990" s="17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customHeight="1">
      <c r="A991" s="3"/>
      <c r="B991" s="3"/>
      <c r="C991" s="3"/>
      <c r="D991" s="17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customHeight="1">
      <c r="A992" s="3"/>
      <c r="B992" s="3"/>
      <c r="C992" s="3"/>
      <c r="D992" s="17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customHeight="1">
      <c r="A993" s="3"/>
      <c r="B993" s="3"/>
      <c r="C993" s="3"/>
      <c r="D993" s="17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customHeight="1">
      <c r="A994" s="3"/>
      <c r="B994" s="3"/>
      <c r="C994" s="3"/>
      <c r="D994" s="17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customHeight="1">
      <c r="A995" s="3"/>
      <c r="B995" s="3"/>
      <c r="C995" s="3"/>
      <c r="D995" s="17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customHeight="1">
      <c r="A996" s="3"/>
      <c r="B996" s="3"/>
      <c r="C996" s="3"/>
      <c r="D996" s="17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customHeight="1">
      <c r="A997" s="3"/>
      <c r="B997" s="3"/>
      <c r="C997" s="3"/>
      <c r="D997" s="17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customHeight="1">
      <c r="A998" s="3"/>
      <c r="B998" s="3"/>
      <c r="C998" s="3"/>
      <c r="D998" s="17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customHeight="1">
      <c r="A999" s="3"/>
      <c r="B999" s="3"/>
      <c r="C999" s="3"/>
      <c r="D999" s="17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customHeight="1">
      <c r="A1000" s="3"/>
      <c r="B1000" s="3"/>
      <c r="C1000" s="3"/>
      <c r="D1000" s="17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511811024" right="0.511811024" top="0.78740157499999996" bottom="0.78740157499999996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245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12.625" defaultRowHeight="15" customHeight="1"/>
  <cols>
    <col min="1" max="1" width="2.875" customWidth="1"/>
    <col min="2" max="2" width="23.5" customWidth="1"/>
    <col min="3" max="3" width="12.875" customWidth="1"/>
    <col min="4" max="4" width="38.125" customWidth="1"/>
    <col min="5" max="5" width="8.25" customWidth="1"/>
    <col min="6" max="6" width="11.25" customWidth="1"/>
    <col min="7" max="7" width="10.375" customWidth="1"/>
    <col min="8" max="8" width="9.375" customWidth="1"/>
    <col min="9" max="10" width="8.625" customWidth="1"/>
    <col min="11" max="11" width="12.625" customWidth="1"/>
    <col min="12" max="26" width="8.625" customWidth="1"/>
  </cols>
  <sheetData>
    <row r="1" spans="1:26" ht="12.75" customHeight="1">
      <c r="A1" s="3"/>
      <c r="B1" s="3" t="s">
        <v>249</v>
      </c>
      <c r="C1" s="3" t="s">
        <v>250</v>
      </c>
      <c r="D1" s="3" t="s">
        <v>251</v>
      </c>
      <c r="E1" s="3" t="s">
        <v>252</v>
      </c>
      <c r="F1" s="3" t="s">
        <v>253</v>
      </c>
      <c r="G1" s="3" t="s">
        <v>254</v>
      </c>
      <c r="H1" s="3" t="s">
        <v>255</v>
      </c>
      <c r="I1" s="3" t="s">
        <v>256</v>
      </c>
      <c r="J1" s="3" t="s">
        <v>257</v>
      </c>
      <c r="K1" s="18" t="s">
        <v>258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hidden="1" customHeight="1">
      <c r="A2" s="19">
        <f t="shared" ref="A2:A64" si="0">A1+1</f>
        <v>1</v>
      </c>
      <c r="B2" s="3" t="s">
        <v>259</v>
      </c>
      <c r="C2" s="3" t="s">
        <v>260</v>
      </c>
      <c r="D2" s="3" t="s">
        <v>261</v>
      </c>
      <c r="E2" s="3"/>
      <c r="F2" s="3" t="s">
        <v>262</v>
      </c>
      <c r="G2" s="3" t="s">
        <v>263</v>
      </c>
      <c r="H2" s="20">
        <v>617096.65</v>
      </c>
      <c r="I2" s="21">
        <v>3.2613328856768244E-3</v>
      </c>
      <c r="J2" s="22">
        <v>44012</v>
      </c>
      <c r="K2" s="18" t="s">
        <v>264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2.75" hidden="1" customHeight="1">
      <c r="A3" s="19">
        <f t="shared" si="0"/>
        <v>2</v>
      </c>
      <c r="B3" s="3" t="s">
        <v>259</v>
      </c>
      <c r="C3" s="3" t="s">
        <v>265</v>
      </c>
      <c r="D3" s="3" t="s">
        <v>261</v>
      </c>
      <c r="E3" s="3"/>
      <c r="F3" s="3" t="s">
        <v>262</v>
      </c>
      <c r="G3" s="3" t="s">
        <v>263</v>
      </c>
      <c r="H3" s="20">
        <v>9295174.4399999995</v>
      </c>
      <c r="I3" s="21">
        <v>5.3817306855778761E-3</v>
      </c>
      <c r="J3" s="22">
        <v>44012</v>
      </c>
      <c r="K3" s="18" t="s">
        <v>264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.75" hidden="1" customHeight="1">
      <c r="A4" s="19">
        <f t="shared" si="0"/>
        <v>3</v>
      </c>
      <c r="B4" s="3" t="s">
        <v>259</v>
      </c>
      <c r="C4" s="3" t="s">
        <v>266</v>
      </c>
      <c r="D4" s="3" t="s">
        <v>261</v>
      </c>
      <c r="E4" s="3"/>
      <c r="F4" s="3" t="s">
        <v>262</v>
      </c>
      <c r="G4" s="3" t="s">
        <v>263</v>
      </c>
      <c r="H4" s="20">
        <v>5630378.0700000003</v>
      </c>
      <c r="I4" s="21">
        <v>6.7847021757126954E-3</v>
      </c>
      <c r="J4" s="22">
        <v>44012</v>
      </c>
      <c r="K4" s="18" t="s">
        <v>264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hidden="1" customHeight="1">
      <c r="A5" s="19">
        <f t="shared" si="0"/>
        <v>4</v>
      </c>
      <c r="B5" s="3" t="s">
        <v>259</v>
      </c>
      <c r="C5" s="3" t="s">
        <v>267</v>
      </c>
      <c r="D5" s="3" t="s">
        <v>261</v>
      </c>
      <c r="E5" s="3"/>
      <c r="F5" s="3" t="s">
        <v>262</v>
      </c>
      <c r="G5" s="3" t="s">
        <v>263</v>
      </c>
      <c r="H5" s="20">
        <v>8134159.8600000003</v>
      </c>
      <c r="I5" s="21">
        <v>7.1142483063191481E-3</v>
      </c>
      <c r="J5" s="22">
        <v>44012</v>
      </c>
      <c r="K5" s="18" t="s">
        <v>264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2.75" hidden="1" customHeight="1">
      <c r="A6" s="19">
        <f t="shared" si="0"/>
        <v>5</v>
      </c>
      <c r="B6" s="3" t="s">
        <v>53</v>
      </c>
      <c r="C6" s="3" t="s">
        <v>268</v>
      </c>
      <c r="D6" s="3" t="s">
        <v>269</v>
      </c>
      <c r="E6" s="3"/>
      <c r="F6" s="3" t="s">
        <v>262</v>
      </c>
      <c r="G6" s="3" t="s">
        <v>263</v>
      </c>
      <c r="H6" s="20">
        <v>17733000</v>
      </c>
      <c r="I6" s="21">
        <v>1.9654067138373144E-2</v>
      </c>
      <c r="J6" s="22">
        <v>44196</v>
      </c>
      <c r="K6" s="18" t="s">
        <v>270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hidden="1" customHeight="1">
      <c r="A7" s="19">
        <f t="shared" si="0"/>
        <v>6</v>
      </c>
      <c r="B7" s="3" t="s">
        <v>53</v>
      </c>
      <c r="C7" s="3" t="s">
        <v>271</v>
      </c>
      <c r="D7" s="3" t="s">
        <v>269</v>
      </c>
      <c r="E7" s="3"/>
      <c r="F7" s="3" t="s">
        <v>262</v>
      </c>
      <c r="G7" s="3" t="s">
        <v>263</v>
      </c>
      <c r="H7" s="20">
        <v>15460000</v>
      </c>
      <c r="I7" s="21">
        <v>1.1348079965060246E-2</v>
      </c>
      <c r="J7" s="22">
        <v>44196</v>
      </c>
      <c r="K7" s="18" t="s">
        <v>270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2.75" hidden="1" customHeight="1">
      <c r="A8" s="19">
        <f t="shared" si="0"/>
        <v>7</v>
      </c>
      <c r="B8" s="3" t="s">
        <v>53</v>
      </c>
      <c r="C8" s="3" t="s">
        <v>272</v>
      </c>
      <c r="D8" s="3" t="s">
        <v>269</v>
      </c>
      <c r="E8" s="3"/>
      <c r="F8" s="3" t="s">
        <v>262</v>
      </c>
      <c r="G8" s="3" t="s">
        <v>263</v>
      </c>
      <c r="H8" s="20">
        <v>5664000</v>
      </c>
      <c r="I8" s="21">
        <v>6.2601614334708636E-3</v>
      </c>
      <c r="J8" s="22">
        <v>44196</v>
      </c>
      <c r="K8" s="18" t="s">
        <v>270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hidden="1" customHeight="1">
      <c r="A9" s="19">
        <f t="shared" si="0"/>
        <v>8</v>
      </c>
      <c r="B9" s="3" t="s">
        <v>273</v>
      </c>
      <c r="C9" s="3" t="s">
        <v>274</v>
      </c>
      <c r="D9" s="3" t="s">
        <v>275</v>
      </c>
      <c r="E9" s="3"/>
      <c r="F9" s="3" t="s">
        <v>262</v>
      </c>
      <c r="G9" s="3" t="s">
        <v>263</v>
      </c>
      <c r="H9" s="20">
        <v>7938335.3799999999</v>
      </c>
      <c r="I9" s="21">
        <v>1.5456865104243563E-3</v>
      </c>
      <c r="J9" s="22">
        <v>44012</v>
      </c>
      <c r="K9" s="18" t="s">
        <v>264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hidden="1" customHeight="1">
      <c r="A10" s="19">
        <f t="shared" si="0"/>
        <v>9</v>
      </c>
      <c r="B10" s="3" t="s">
        <v>273</v>
      </c>
      <c r="C10" s="3" t="s">
        <v>276</v>
      </c>
      <c r="D10" s="3" t="s">
        <v>275</v>
      </c>
      <c r="E10" s="3"/>
      <c r="F10" s="3" t="s">
        <v>262</v>
      </c>
      <c r="G10" s="3" t="s">
        <v>263</v>
      </c>
      <c r="H10" s="20">
        <v>13665901.050000001</v>
      </c>
      <c r="I10" s="21">
        <v>2.975888883603416E-3</v>
      </c>
      <c r="J10" s="22">
        <v>44012</v>
      </c>
      <c r="K10" s="18" t="s">
        <v>264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hidden="1" customHeight="1">
      <c r="A11" s="19">
        <f t="shared" si="0"/>
        <v>10</v>
      </c>
      <c r="B11" s="3" t="s">
        <v>273</v>
      </c>
      <c r="C11" s="3" t="s">
        <v>274</v>
      </c>
      <c r="D11" s="3" t="s">
        <v>277</v>
      </c>
      <c r="E11" s="3"/>
      <c r="F11" s="3" t="s">
        <v>262</v>
      </c>
      <c r="G11" s="3" t="s">
        <v>263</v>
      </c>
      <c r="H11" s="20">
        <v>17086821.43</v>
      </c>
      <c r="I11" s="21">
        <v>3.3270034744212092E-3</v>
      </c>
      <c r="J11" s="22">
        <v>44012</v>
      </c>
      <c r="K11" s="18" t="s">
        <v>264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hidden="1" customHeight="1">
      <c r="A12" s="19">
        <f t="shared" si="0"/>
        <v>11</v>
      </c>
      <c r="B12" s="3" t="s">
        <v>273</v>
      </c>
      <c r="C12" s="3" t="s">
        <v>278</v>
      </c>
      <c r="D12" s="3" t="s">
        <v>277</v>
      </c>
      <c r="E12" s="3"/>
      <c r="F12" s="3" t="s">
        <v>262</v>
      </c>
      <c r="G12" s="3" t="s">
        <v>263</v>
      </c>
      <c r="H12" s="20">
        <v>1153867.79</v>
      </c>
      <c r="I12" s="21">
        <v>3.2890836616256457E-3</v>
      </c>
      <c r="J12" s="22">
        <v>44012</v>
      </c>
      <c r="K12" s="18" t="s">
        <v>264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hidden="1" customHeight="1">
      <c r="A13" s="19">
        <f t="shared" si="0"/>
        <v>12</v>
      </c>
      <c r="B13" s="3" t="s">
        <v>273</v>
      </c>
      <c r="C13" s="3" t="s">
        <v>276</v>
      </c>
      <c r="D13" s="3" t="s">
        <v>277</v>
      </c>
      <c r="E13" s="3"/>
      <c r="F13" s="3" t="s">
        <v>262</v>
      </c>
      <c r="G13" s="3" t="s">
        <v>263</v>
      </c>
      <c r="H13" s="20">
        <v>32134166.530000001</v>
      </c>
      <c r="I13" s="21">
        <v>6.9975414435250833E-3</v>
      </c>
      <c r="J13" s="22">
        <v>44012</v>
      </c>
      <c r="K13" s="18" t="s">
        <v>264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hidden="1" customHeight="1">
      <c r="A14" s="19">
        <f t="shared" si="0"/>
        <v>13</v>
      </c>
      <c r="B14" s="3" t="s">
        <v>273</v>
      </c>
      <c r="C14" s="3" t="s">
        <v>278</v>
      </c>
      <c r="D14" s="3" t="s">
        <v>277</v>
      </c>
      <c r="E14" s="3"/>
      <c r="F14" s="3" t="s">
        <v>262</v>
      </c>
      <c r="G14" s="3" t="s">
        <v>263</v>
      </c>
      <c r="H14" s="20">
        <v>273086.93</v>
      </c>
      <c r="I14" s="21">
        <v>4.4504543921748251E-3</v>
      </c>
      <c r="J14" s="22">
        <v>44012</v>
      </c>
      <c r="K14" s="18" t="s">
        <v>264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hidden="1" customHeight="1">
      <c r="A15" s="19">
        <f t="shared" si="0"/>
        <v>14</v>
      </c>
      <c r="B15" s="3" t="s">
        <v>279</v>
      </c>
      <c r="C15" s="3" t="s">
        <v>280</v>
      </c>
      <c r="D15" s="3" t="s">
        <v>281</v>
      </c>
      <c r="E15" s="3"/>
      <c r="F15" s="3" t="s">
        <v>262</v>
      </c>
      <c r="G15" s="3" t="s">
        <v>263</v>
      </c>
      <c r="H15" s="20">
        <v>22997378.93</v>
      </c>
      <c r="I15" s="21">
        <v>3.8439622173927043E-3</v>
      </c>
      <c r="J15" s="22">
        <v>44012</v>
      </c>
      <c r="K15" s="18" t="s">
        <v>270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hidden="1" customHeight="1">
      <c r="A16" s="19">
        <f t="shared" si="0"/>
        <v>15</v>
      </c>
      <c r="B16" s="3" t="s">
        <v>279</v>
      </c>
      <c r="C16" s="3" t="s">
        <v>282</v>
      </c>
      <c r="D16" s="3" t="s">
        <v>281</v>
      </c>
      <c r="E16" s="3"/>
      <c r="F16" s="3" t="s">
        <v>262</v>
      </c>
      <c r="G16" s="3" t="s">
        <v>263</v>
      </c>
      <c r="H16" s="20">
        <v>38023992.030000001</v>
      </c>
      <c r="I16" s="21">
        <v>3.6392369981805331E-3</v>
      </c>
      <c r="J16" s="22">
        <v>44012</v>
      </c>
      <c r="K16" s="18" t="s">
        <v>270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hidden="1" customHeight="1">
      <c r="A17" s="19">
        <f t="shared" si="0"/>
        <v>16</v>
      </c>
      <c r="B17" s="3" t="s">
        <v>279</v>
      </c>
      <c r="C17" s="3" t="s">
        <v>283</v>
      </c>
      <c r="D17" s="3" t="s">
        <v>281</v>
      </c>
      <c r="E17" s="3"/>
      <c r="F17" s="3" t="s">
        <v>262</v>
      </c>
      <c r="G17" s="3" t="s">
        <v>263</v>
      </c>
      <c r="H17" s="20">
        <v>162758.32999999999</v>
      </c>
      <c r="I17" s="21">
        <v>3.3967874281962802E-3</v>
      </c>
      <c r="J17" s="22">
        <v>44012</v>
      </c>
      <c r="K17" s="18" t="s">
        <v>270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hidden="1" customHeight="1">
      <c r="A18" s="19">
        <f t="shared" si="0"/>
        <v>17</v>
      </c>
      <c r="B18" s="3" t="s">
        <v>53</v>
      </c>
      <c r="C18" s="3" t="s">
        <v>268</v>
      </c>
      <c r="D18" s="3" t="s">
        <v>284</v>
      </c>
      <c r="E18" s="3"/>
      <c r="F18" s="3" t="s">
        <v>262</v>
      </c>
      <c r="G18" s="3" t="s">
        <v>263</v>
      </c>
      <c r="H18" s="20">
        <v>10887000</v>
      </c>
      <c r="I18" s="21">
        <v>1.206642017343193E-2</v>
      </c>
      <c r="J18" s="22">
        <v>44196</v>
      </c>
      <c r="K18" s="18" t="s">
        <v>270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hidden="1" customHeight="1">
      <c r="A19" s="19">
        <f t="shared" si="0"/>
        <v>18</v>
      </c>
      <c r="B19" s="3" t="s">
        <v>53</v>
      </c>
      <c r="C19" s="3" t="s">
        <v>271</v>
      </c>
      <c r="D19" s="3" t="s">
        <v>284</v>
      </c>
      <c r="E19" s="3"/>
      <c r="F19" s="3" t="s">
        <v>262</v>
      </c>
      <c r="G19" s="3" t="s">
        <v>263</v>
      </c>
      <c r="H19" s="20">
        <v>7888000</v>
      </c>
      <c r="I19" s="21">
        <v>5.7900164789388888E-3</v>
      </c>
      <c r="J19" s="22">
        <v>44196</v>
      </c>
      <c r="K19" s="18" t="s">
        <v>270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hidden="1" customHeight="1">
      <c r="A20" s="19">
        <f t="shared" si="0"/>
        <v>19</v>
      </c>
      <c r="B20" s="3" t="s">
        <v>53</v>
      </c>
      <c r="C20" s="3" t="s">
        <v>272</v>
      </c>
      <c r="D20" s="3" t="s">
        <v>284</v>
      </c>
      <c r="E20" s="3"/>
      <c r="F20" s="3" t="s">
        <v>262</v>
      </c>
      <c r="G20" s="3" t="s">
        <v>263</v>
      </c>
      <c r="H20" s="20">
        <v>2943000</v>
      </c>
      <c r="I20" s="21">
        <v>3.2527639651667994E-3</v>
      </c>
      <c r="J20" s="22">
        <v>44196</v>
      </c>
      <c r="K20" s="18" t="s">
        <v>270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hidden="1" customHeight="1">
      <c r="A21" s="19">
        <f t="shared" si="0"/>
        <v>20</v>
      </c>
      <c r="B21" s="3" t="s">
        <v>259</v>
      </c>
      <c r="C21" s="3" t="s">
        <v>260</v>
      </c>
      <c r="D21" s="3" t="s">
        <v>285</v>
      </c>
      <c r="E21" s="3"/>
      <c r="F21" s="3" t="s">
        <v>262</v>
      </c>
      <c r="G21" s="3" t="s">
        <v>263</v>
      </c>
      <c r="H21" s="20">
        <v>1969881.16</v>
      </c>
      <c r="I21" s="21">
        <v>1.0410748799208698E-2</v>
      </c>
      <c r="J21" s="22">
        <v>44012</v>
      </c>
      <c r="K21" s="18" t="s">
        <v>264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hidden="1" customHeight="1">
      <c r="A22" s="19">
        <f t="shared" si="0"/>
        <v>21</v>
      </c>
      <c r="B22" s="3" t="s">
        <v>259</v>
      </c>
      <c r="C22" s="3" t="s">
        <v>265</v>
      </c>
      <c r="D22" s="3" t="s">
        <v>285</v>
      </c>
      <c r="E22" s="3"/>
      <c r="F22" s="3" t="s">
        <v>262</v>
      </c>
      <c r="G22" s="3" t="s">
        <v>263</v>
      </c>
      <c r="H22" s="20">
        <v>20855717.039999999</v>
      </c>
      <c r="I22" s="21">
        <v>1.20750668089557E-2</v>
      </c>
      <c r="J22" s="22">
        <v>44012</v>
      </c>
      <c r="K22" s="18" t="s">
        <v>264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hidden="1" customHeight="1">
      <c r="A23" s="19">
        <f t="shared" si="0"/>
        <v>22</v>
      </c>
      <c r="B23" s="3" t="s">
        <v>259</v>
      </c>
      <c r="C23" s="3" t="s">
        <v>266</v>
      </c>
      <c r="D23" s="3" t="s">
        <v>285</v>
      </c>
      <c r="E23" s="3"/>
      <c r="F23" s="3" t="s">
        <v>262</v>
      </c>
      <c r="G23" s="3" t="s">
        <v>263</v>
      </c>
      <c r="H23" s="20">
        <v>10608788.359999999</v>
      </c>
      <c r="I23" s="21">
        <v>1.2783771990602313E-2</v>
      </c>
      <c r="J23" s="22">
        <v>44012</v>
      </c>
      <c r="K23" s="18" t="s">
        <v>264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hidden="1" customHeight="1">
      <c r="A24" s="19">
        <f t="shared" si="0"/>
        <v>23</v>
      </c>
      <c r="B24" s="3" t="s">
        <v>259</v>
      </c>
      <c r="C24" s="3" t="s">
        <v>267</v>
      </c>
      <c r="D24" s="3" t="s">
        <v>285</v>
      </c>
      <c r="E24" s="3"/>
      <c r="F24" s="3" t="s">
        <v>262</v>
      </c>
      <c r="G24" s="3" t="s">
        <v>263</v>
      </c>
      <c r="H24" s="20">
        <v>15006203.16</v>
      </c>
      <c r="I24" s="21">
        <v>1.3124632076669199E-2</v>
      </c>
      <c r="J24" s="22">
        <v>44012</v>
      </c>
      <c r="K24" s="18" t="s">
        <v>264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hidden="1" customHeight="1">
      <c r="A25" s="19">
        <f t="shared" si="0"/>
        <v>24</v>
      </c>
      <c r="B25" s="3" t="s">
        <v>33</v>
      </c>
      <c r="C25" s="3" t="s">
        <v>286</v>
      </c>
      <c r="D25" s="3" t="s">
        <v>287</v>
      </c>
      <c r="E25" s="3"/>
      <c r="F25" s="3" t="s">
        <v>262</v>
      </c>
      <c r="G25" s="3" t="s">
        <v>263</v>
      </c>
      <c r="H25" s="20">
        <v>10028208.41</v>
      </c>
      <c r="I25" s="21">
        <v>8.1491785646410596E-3</v>
      </c>
      <c r="J25" s="22">
        <v>44012</v>
      </c>
      <c r="K25" s="18" t="s">
        <v>270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hidden="1" customHeight="1">
      <c r="A26" s="19">
        <f t="shared" si="0"/>
        <v>25</v>
      </c>
      <c r="B26" s="3" t="s">
        <v>288</v>
      </c>
      <c r="C26" s="3" t="s">
        <v>289</v>
      </c>
      <c r="D26" s="3" t="s">
        <v>290</v>
      </c>
      <c r="E26" s="3"/>
      <c r="F26" s="3" t="s">
        <v>291</v>
      </c>
      <c r="G26" s="3" t="s">
        <v>263</v>
      </c>
      <c r="H26" s="20">
        <v>7000935.9800000004</v>
      </c>
      <c r="I26" s="21">
        <v>5.6791681487762709E-3</v>
      </c>
      <c r="J26" s="22">
        <v>44012</v>
      </c>
      <c r="K26" s="18" t="s">
        <v>270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19">
        <f t="shared" si="0"/>
        <v>26</v>
      </c>
      <c r="B27" s="3" t="s">
        <v>279</v>
      </c>
      <c r="C27" s="3" t="s">
        <v>280</v>
      </c>
      <c r="D27" s="3" t="s">
        <v>292</v>
      </c>
      <c r="E27" s="3"/>
      <c r="F27" s="3" t="s">
        <v>293</v>
      </c>
      <c r="G27" s="3" t="s">
        <v>294</v>
      </c>
      <c r="H27" s="20">
        <v>59716562.079999998</v>
      </c>
      <c r="I27" s="21">
        <v>9.9814943731983755E-3</v>
      </c>
      <c r="J27" s="22">
        <v>44012</v>
      </c>
      <c r="K27" s="18" t="s">
        <v>270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19">
        <f t="shared" si="0"/>
        <v>27</v>
      </c>
      <c r="B28" s="3" t="s">
        <v>273</v>
      </c>
      <c r="C28" s="3" t="s">
        <v>274</v>
      </c>
      <c r="D28" s="3" t="s">
        <v>292</v>
      </c>
      <c r="E28" s="3"/>
      <c r="F28" s="3" t="s">
        <v>293</v>
      </c>
      <c r="G28" s="3" t="s">
        <v>294</v>
      </c>
      <c r="H28" s="20">
        <v>4876152.3600000003</v>
      </c>
      <c r="I28" s="21">
        <v>9.4944375172341107E-4</v>
      </c>
      <c r="J28" s="22">
        <v>44012</v>
      </c>
      <c r="K28" s="18" t="s">
        <v>264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19">
        <f t="shared" si="0"/>
        <v>28</v>
      </c>
      <c r="B29" s="3" t="s">
        <v>273</v>
      </c>
      <c r="C29" s="3" t="s">
        <v>278</v>
      </c>
      <c r="D29" s="3" t="s">
        <v>292</v>
      </c>
      <c r="E29" s="3"/>
      <c r="F29" s="3" t="s">
        <v>293</v>
      </c>
      <c r="G29" s="3" t="s">
        <v>294</v>
      </c>
      <c r="H29" s="20">
        <v>222578.71</v>
      </c>
      <c r="I29" s="21">
        <v>6.3445743509896635E-4</v>
      </c>
      <c r="J29" s="22">
        <v>44012</v>
      </c>
      <c r="K29" s="18" t="s">
        <v>264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19">
        <f t="shared" si="0"/>
        <v>29</v>
      </c>
      <c r="B30" s="3" t="s">
        <v>273</v>
      </c>
      <c r="C30" s="3" t="s">
        <v>276</v>
      </c>
      <c r="D30" s="3" t="s">
        <v>292</v>
      </c>
      <c r="E30" s="3"/>
      <c r="F30" s="3" t="s">
        <v>293</v>
      </c>
      <c r="G30" s="3" t="s">
        <v>294</v>
      </c>
      <c r="H30" s="20">
        <v>10622102.52</v>
      </c>
      <c r="I30" s="21">
        <v>2.3130708099019805E-3</v>
      </c>
      <c r="J30" s="22">
        <v>44012</v>
      </c>
      <c r="K30" s="18" t="s">
        <v>264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19">
        <f t="shared" si="0"/>
        <v>30</v>
      </c>
      <c r="B31" s="3" t="s">
        <v>273</v>
      </c>
      <c r="C31" s="3" t="s">
        <v>278</v>
      </c>
      <c r="D31" s="3" t="s">
        <v>292</v>
      </c>
      <c r="E31" s="3"/>
      <c r="F31" s="3" t="s">
        <v>293</v>
      </c>
      <c r="G31" s="3" t="s">
        <v>294</v>
      </c>
      <c r="H31" s="20">
        <v>265747.59999999998</v>
      </c>
      <c r="I31" s="21">
        <v>4.330846495033353E-3</v>
      </c>
      <c r="J31" s="22">
        <v>44012</v>
      </c>
      <c r="K31" s="18" t="s">
        <v>264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hidden="1" customHeight="1">
      <c r="A32" s="19">
        <f t="shared" si="0"/>
        <v>31</v>
      </c>
      <c r="B32" s="3" t="s">
        <v>295</v>
      </c>
      <c r="C32" s="3" t="s">
        <v>296</v>
      </c>
      <c r="D32" s="3" t="s">
        <v>297</v>
      </c>
      <c r="E32" s="3"/>
      <c r="F32" s="3" t="s">
        <v>298</v>
      </c>
      <c r="G32" s="3" t="s">
        <v>263</v>
      </c>
      <c r="H32" s="20">
        <v>15459590.029999999</v>
      </c>
      <c r="I32" s="21">
        <v>7.8725242943546141E-3</v>
      </c>
      <c r="J32" s="22">
        <v>44196</v>
      </c>
      <c r="K32" s="18" t="s">
        <v>270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hidden="1" customHeight="1">
      <c r="A33" s="19">
        <f t="shared" si="0"/>
        <v>32</v>
      </c>
      <c r="B33" s="3" t="s">
        <v>259</v>
      </c>
      <c r="C33" s="3" t="s">
        <v>260</v>
      </c>
      <c r="D33" s="3" t="s">
        <v>299</v>
      </c>
      <c r="E33" s="3"/>
      <c r="F33" s="3" t="s">
        <v>300</v>
      </c>
      <c r="G33" s="3" t="s">
        <v>263</v>
      </c>
      <c r="H33" s="20">
        <v>787984.71</v>
      </c>
      <c r="I33" s="21">
        <v>4.1644699385963539E-3</v>
      </c>
      <c r="J33" s="22">
        <v>44012</v>
      </c>
      <c r="K33" s="18" t="s">
        <v>264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hidden="1" customHeight="1">
      <c r="A34" s="19">
        <f t="shared" si="0"/>
        <v>33</v>
      </c>
      <c r="B34" s="3" t="s">
        <v>259</v>
      </c>
      <c r="C34" s="3" t="s">
        <v>265</v>
      </c>
      <c r="D34" s="3" t="s">
        <v>299</v>
      </c>
      <c r="E34" s="3"/>
      <c r="F34" s="3" t="s">
        <v>300</v>
      </c>
      <c r="G34" s="3" t="s">
        <v>263</v>
      </c>
      <c r="H34" s="20">
        <v>8339804.3200000003</v>
      </c>
      <c r="I34" s="21">
        <v>4.8285894052203428E-3</v>
      </c>
      <c r="J34" s="22">
        <v>44012</v>
      </c>
      <c r="K34" s="18" t="s">
        <v>264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hidden="1" customHeight="1">
      <c r="A35" s="19">
        <f t="shared" si="0"/>
        <v>34</v>
      </c>
      <c r="B35" s="3" t="s">
        <v>259</v>
      </c>
      <c r="C35" s="3" t="s">
        <v>266</v>
      </c>
      <c r="D35" s="3" t="s">
        <v>299</v>
      </c>
      <c r="E35" s="3"/>
      <c r="F35" s="3" t="s">
        <v>300</v>
      </c>
      <c r="G35" s="3" t="s">
        <v>263</v>
      </c>
      <c r="H35" s="20">
        <v>4242060.75</v>
      </c>
      <c r="I35" s="21">
        <v>5.1117559855142066E-3</v>
      </c>
      <c r="J35" s="22">
        <v>44012</v>
      </c>
      <c r="K35" s="18" t="s">
        <v>264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hidden="1" customHeight="1">
      <c r="A36" s="19">
        <f t="shared" si="0"/>
        <v>35</v>
      </c>
      <c r="B36" s="3" t="s">
        <v>259</v>
      </c>
      <c r="C36" s="3" t="s">
        <v>267</v>
      </c>
      <c r="D36" s="3" t="s">
        <v>299</v>
      </c>
      <c r="E36" s="3"/>
      <c r="F36" s="3" t="s">
        <v>300</v>
      </c>
      <c r="G36" s="3" t="s">
        <v>263</v>
      </c>
      <c r="H36" s="20">
        <v>6000899.9299999997</v>
      </c>
      <c r="I36" s="21">
        <v>5.2484697741597116E-3</v>
      </c>
      <c r="J36" s="22">
        <v>44012</v>
      </c>
      <c r="K36" s="18" t="s">
        <v>264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hidden="1" customHeight="1">
      <c r="A37" s="19">
        <f t="shared" si="0"/>
        <v>36</v>
      </c>
      <c r="B37" s="3" t="s">
        <v>301</v>
      </c>
      <c r="C37" s="3" t="s">
        <v>302</v>
      </c>
      <c r="D37" s="3" t="s">
        <v>303</v>
      </c>
      <c r="E37" s="3"/>
      <c r="F37" s="3" t="s">
        <v>300</v>
      </c>
      <c r="G37" s="3" t="s">
        <v>263</v>
      </c>
      <c r="H37" s="20">
        <v>20316687.379999999</v>
      </c>
      <c r="I37" s="21">
        <v>5.6097422015649826E-3</v>
      </c>
      <c r="J37" s="22">
        <v>44196</v>
      </c>
      <c r="K37" s="18" t="s">
        <v>264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hidden="1" customHeight="1">
      <c r="A38" s="19">
        <f t="shared" si="0"/>
        <v>37</v>
      </c>
      <c r="B38" s="3" t="s">
        <v>301</v>
      </c>
      <c r="C38" s="3" t="s">
        <v>304</v>
      </c>
      <c r="D38" s="3" t="s">
        <v>303</v>
      </c>
      <c r="E38" s="3"/>
      <c r="F38" s="3" t="s">
        <v>300</v>
      </c>
      <c r="G38" s="3" t="s">
        <v>263</v>
      </c>
      <c r="H38" s="20">
        <v>2184043.9</v>
      </c>
      <c r="I38" s="21">
        <v>5.5783581016293224E-3</v>
      </c>
      <c r="J38" s="22">
        <v>44196</v>
      </c>
      <c r="K38" s="18" t="s">
        <v>264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hidden="1" customHeight="1">
      <c r="A39" s="19">
        <f t="shared" si="0"/>
        <v>38</v>
      </c>
      <c r="B39" s="3" t="s">
        <v>301</v>
      </c>
      <c r="C39" s="3" t="s">
        <v>305</v>
      </c>
      <c r="D39" s="3" t="s">
        <v>303</v>
      </c>
      <c r="E39" s="3"/>
      <c r="F39" s="3" t="s">
        <v>300</v>
      </c>
      <c r="G39" s="3" t="s">
        <v>263</v>
      </c>
      <c r="H39" s="20">
        <v>2031668.74</v>
      </c>
      <c r="I39" s="21">
        <v>6.3724017628030974E-3</v>
      </c>
      <c r="J39" s="22">
        <v>44196</v>
      </c>
      <c r="K39" s="18" t="s">
        <v>264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hidden="1" customHeight="1">
      <c r="A40" s="19">
        <f t="shared" si="0"/>
        <v>39</v>
      </c>
      <c r="B40" s="3" t="s">
        <v>306</v>
      </c>
      <c r="C40" s="3" t="s">
        <v>307</v>
      </c>
      <c r="D40" s="3" t="s">
        <v>308</v>
      </c>
      <c r="E40" s="3"/>
      <c r="F40" s="3" t="s">
        <v>300</v>
      </c>
      <c r="G40" s="3" t="s">
        <v>263</v>
      </c>
      <c r="H40" s="20">
        <v>1030868.59</v>
      </c>
      <c r="I40" s="21">
        <v>5.2026417107401482E-3</v>
      </c>
      <c r="J40" s="22">
        <v>44012</v>
      </c>
      <c r="K40" s="18" t="s">
        <v>264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hidden="1" customHeight="1">
      <c r="A41" s="19">
        <f t="shared" si="0"/>
        <v>40</v>
      </c>
      <c r="B41" s="3" t="s">
        <v>309</v>
      </c>
      <c r="C41" s="3" t="s">
        <v>286</v>
      </c>
      <c r="D41" s="3" t="s">
        <v>310</v>
      </c>
      <c r="E41" s="3"/>
      <c r="F41" s="3" t="s">
        <v>300</v>
      </c>
      <c r="G41" s="3" t="s">
        <v>263</v>
      </c>
      <c r="H41" s="20">
        <v>7644786.25</v>
      </c>
      <c r="I41" s="21">
        <v>3.185929709438283E-2</v>
      </c>
      <c r="J41" s="22">
        <v>44135</v>
      </c>
      <c r="K41" s="18" t="s">
        <v>264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hidden="1" customHeight="1">
      <c r="A42" s="19">
        <f t="shared" si="0"/>
        <v>41</v>
      </c>
      <c r="B42" s="3" t="s">
        <v>301</v>
      </c>
      <c r="C42" s="3" t="s">
        <v>304</v>
      </c>
      <c r="D42" s="3" t="s">
        <v>311</v>
      </c>
      <c r="E42" s="3"/>
      <c r="F42" s="3" t="s">
        <v>312</v>
      </c>
      <c r="G42" s="3" t="s">
        <v>263</v>
      </c>
      <c r="H42" s="20">
        <v>104627.93</v>
      </c>
      <c r="I42" s="21">
        <v>2.6723458304670779E-4</v>
      </c>
      <c r="J42" s="22">
        <v>44196</v>
      </c>
      <c r="K42" s="18" t="s">
        <v>264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hidden="1" customHeight="1">
      <c r="A43" s="19">
        <f t="shared" si="0"/>
        <v>42</v>
      </c>
      <c r="B43" s="3" t="s">
        <v>288</v>
      </c>
      <c r="C43" s="3" t="s">
        <v>289</v>
      </c>
      <c r="D43" s="3" t="s">
        <v>313</v>
      </c>
      <c r="E43" s="3"/>
      <c r="F43" s="3" t="s">
        <v>312</v>
      </c>
      <c r="G43" s="3" t="s">
        <v>263</v>
      </c>
      <c r="H43" s="20">
        <v>6590179.1500000004</v>
      </c>
      <c r="I43" s="21">
        <v>5.3459616871699318E-3</v>
      </c>
      <c r="J43" s="22">
        <v>44012</v>
      </c>
      <c r="K43" s="18" t="s">
        <v>270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hidden="1" customHeight="1">
      <c r="A44" s="19">
        <f t="shared" si="0"/>
        <v>43</v>
      </c>
      <c r="B44" s="3" t="s">
        <v>306</v>
      </c>
      <c r="C44" s="3" t="s">
        <v>307</v>
      </c>
      <c r="D44" s="3" t="s">
        <v>313</v>
      </c>
      <c r="E44" s="3"/>
      <c r="F44" s="3" t="s">
        <v>312</v>
      </c>
      <c r="G44" s="3" t="s">
        <v>263</v>
      </c>
      <c r="H44" s="20">
        <v>323087.5</v>
      </c>
      <c r="I44" s="21">
        <v>1.6305749539994789E-3</v>
      </c>
      <c r="J44" s="22">
        <v>44012</v>
      </c>
      <c r="K44" s="18" t="s">
        <v>264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hidden="1" customHeight="1">
      <c r="A45" s="19">
        <f t="shared" si="0"/>
        <v>44</v>
      </c>
      <c r="B45" s="3" t="s">
        <v>295</v>
      </c>
      <c r="C45" s="3" t="s">
        <v>296</v>
      </c>
      <c r="D45" s="3" t="s">
        <v>314</v>
      </c>
      <c r="E45" s="3"/>
      <c r="F45" s="3" t="s">
        <v>312</v>
      </c>
      <c r="G45" s="3" t="s">
        <v>263</v>
      </c>
      <c r="H45" s="20">
        <v>24764088.149999999</v>
      </c>
      <c r="I45" s="21">
        <v>1.2610676299312848E-2</v>
      </c>
      <c r="J45" s="22">
        <v>44196</v>
      </c>
      <c r="K45" s="18" t="s">
        <v>270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hidden="1" customHeight="1">
      <c r="A46" s="19">
        <f t="shared" si="0"/>
        <v>45</v>
      </c>
      <c r="B46" s="3" t="s">
        <v>301</v>
      </c>
      <c r="C46" s="3" t="s">
        <v>302</v>
      </c>
      <c r="D46" s="3" t="s">
        <v>315</v>
      </c>
      <c r="E46" s="3"/>
      <c r="F46" s="3" t="s">
        <v>312</v>
      </c>
      <c r="G46" s="3" t="s">
        <v>263</v>
      </c>
      <c r="H46" s="20">
        <v>41654556.979999997</v>
      </c>
      <c r="I46" s="21">
        <v>1.1501448135104356E-2</v>
      </c>
      <c r="J46" s="22">
        <v>44196</v>
      </c>
      <c r="K46" s="18" t="s">
        <v>264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hidden="1" customHeight="1">
      <c r="A47" s="19">
        <f t="shared" si="0"/>
        <v>46</v>
      </c>
      <c r="B47" s="3" t="s">
        <v>301</v>
      </c>
      <c r="C47" s="3" t="s">
        <v>304</v>
      </c>
      <c r="D47" s="3" t="s">
        <v>315</v>
      </c>
      <c r="E47" s="3"/>
      <c r="F47" s="3" t="s">
        <v>312</v>
      </c>
      <c r="G47" s="3" t="s">
        <v>263</v>
      </c>
      <c r="H47" s="20">
        <v>5288684.26</v>
      </c>
      <c r="I47" s="21">
        <v>1.3508050222218737E-2</v>
      </c>
      <c r="J47" s="22">
        <v>44196</v>
      </c>
      <c r="K47" s="18" t="s">
        <v>264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hidden="1" customHeight="1">
      <c r="A48" s="19">
        <f t="shared" si="0"/>
        <v>47</v>
      </c>
      <c r="B48" s="3" t="s">
        <v>301</v>
      </c>
      <c r="C48" s="3" t="s">
        <v>305</v>
      </c>
      <c r="D48" s="3" t="s">
        <v>315</v>
      </c>
      <c r="E48" s="3"/>
      <c r="F48" s="3" t="s">
        <v>312</v>
      </c>
      <c r="G48" s="3" t="s">
        <v>263</v>
      </c>
      <c r="H48" s="20">
        <v>4576185.1100000003</v>
      </c>
      <c r="I48" s="21">
        <v>1.4353368483622623E-2</v>
      </c>
      <c r="J48" s="22">
        <v>44196</v>
      </c>
      <c r="K48" s="18" t="s">
        <v>264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hidden="1" customHeight="1">
      <c r="A49" s="19">
        <f t="shared" si="0"/>
        <v>48</v>
      </c>
      <c r="B49" s="3" t="s">
        <v>273</v>
      </c>
      <c r="C49" s="3" t="s">
        <v>274</v>
      </c>
      <c r="D49" s="3" t="s">
        <v>316</v>
      </c>
      <c r="E49" s="3"/>
      <c r="F49" s="3" t="s">
        <v>312</v>
      </c>
      <c r="G49" s="3" t="s">
        <v>263</v>
      </c>
      <c r="H49" s="20">
        <v>16851533.120000001</v>
      </c>
      <c r="I49" s="21">
        <v>3.2811900954924467E-3</v>
      </c>
      <c r="J49" s="22">
        <v>44012</v>
      </c>
      <c r="K49" s="18" t="s">
        <v>264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hidden="1" customHeight="1">
      <c r="A50" s="19">
        <f t="shared" si="0"/>
        <v>49</v>
      </c>
      <c r="B50" s="3" t="s">
        <v>273</v>
      </c>
      <c r="C50" s="3" t="s">
        <v>278</v>
      </c>
      <c r="D50" s="3" t="s">
        <v>316</v>
      </c>
      <c r="E50" s="3"/>
      <c r="F50" s="3" t="s">
        <v>312</v>
      </c>
      <c r="G50" s="3" t="s">
        <v>263</v>
      </c>
      <c r="H50" s="20">
        <v>1981368.74</v>
      </c>
      <c r="I50" s="21">
        <v>5.6478633053703596E-3</v>
      </c>
      <c r="J50" s="22">
        <v>44012</v>
      </c>
      <c r="K50" s="18" t="s">
        <v>264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hidden="1" customHeight="1">
      <c r="A51" s="19">
        <f t="shared" si="0"/>
        <v>50</v>
      </c>
      <c r="B51" s="3" t="s">
        <v>273</v>
      </c>
      <c r="C51" s="3" t="s">
        <v>276</v>
      </c>
      <c r="D51" s="3" t="s">
        <v>316</v>
      </c>
      <c r="E51" s="3"/>
      <c r="F51" s="3" t="s">
        <v>312</v>
      </c>
      <c r="G51" s="3" t="s">
        <v>263</v>
      </c>
      <c r="H51" s="20">
        <v>33679116.240000002</v>
      </c>
      <c r="I51" s="21">
        <v>7.33396994910945E-3</v>
      </c>
      <c r="J51" s="22">
        <v>44012</v>
      </c>
      <c r="K51" s="18" t="s">
        <v>264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hidden="1" customHeight="1">
      <c r="A52" s="19">
        <f t="shared" si="0"/>
        <v>51</v>
      </c>
      <c r="B52" s="3" t="s">
        <v>273</v>
      </c>
      <c r="C52" s="3" t="s">
        <v>278</v>
      </c>
      <c r="D52" s="3" t="s">
        <v>316</v>
      </c>
      <c r="E52" s="3"/>
      <c r="F52" s="3" t="s">
        <v>312</v>
      </c>
      <c r="G52" s="3" t="s">
        <v>263</v>
      </c>
      <c r="H52" s="20">
        <v>468932.32</v>
      </c>
      <c r="I52" s="21">
        <v>7.6421156559075562E-3</v>
      </c>
      <c r="J52" s="22">
        <v>44012</v>
      </c>
      <c r="K52" s="18" t="s">
        <v>264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19">
        <f t="shared" si="0"/>
        <v>52</v>
      </c>
      <c r="B53" s="3" t="s">
        <v>259</v>
      </c>
      <c r="C53" s="3" t="s">
        <v>260</v>
      </c>
      <c r="D53" s="3" t="s">
        <v>317</v>
      </c>
      <c r="E53" s="3"/>
      <c r="F53" s="3" t="s">
        <v>318</v>
      </c>
      <c r="G53" s="3" t="s">
        <v>294</v>
      </c>
      <c r="H53" s="20">
        <v>73043.48</v>
      </c>
      <c r="I53" s="21">
        <v>3.8603208007737102E-4</v>
      </c>
      <c r="J53" s="22">
        <v>44012</v>
      </c>
      <c r="K53" s="18" t="s">
        <v>264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19">
        <f t="shared" si="0"/>
        <v>53</v>
      </c>
      <c r="B54" s="3" t="s">
        <v>259</v>
      </c>
      <c r="C54" s="3" t="s">
        <v>265</v>
      </c>
      <c r="D54" s="3" t="s">
        <v>317</v>
      </c>
      <c r="E54" s="3"/>
      <c r="F54" s="3" t="s">
        <v>318</v>
      </c>
      <c r="G54" s="3" t="s">
        <v>294</v>
      </c>
      <c r="H54" s="20">
        <v>500239.67</v>
      </c>
      <c r="I54" s="21">
        <v>2.8962933396894382E-4</v>
      </c>
      <c r="J54" s="22">
        <v>44012</v>
      </c>
      <c r="K54" s="18" t="s">
        <v>264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19">
        <f t="shared" si="0"/>
        <v>54</v>
      </c>
      <c r="B55" s="3" t="s">
        <v>259</v>
      </c>
      <c r="C55" s="3" t="s">
        <v>266</v>
      </c>
      <c r="D55" s="3" t="s">
        <v>317</v>
      </c>
      <c r="E55" s="3"/>
      <c r="F55" s="3" t="s">
        <v>318</v>
      </c>
      <c r="G55" s="3" t="s">
        <v>294</v>
      </c>
      <c r="H55" s="20">
        <v>611299.38</v>
      </c>
      <c r="I55" s="21">
        <v>7.3662624106835895E-4</v>
      </c>
      <c r="J55" s="22">
        <v>44012</v>
      </c>
      <c r="K55" s="18" t="s">
        <v>264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19">
        <f t="shared" si="0"/>
        <v>55</v>
      </c>
      <c r="B56" s="3" t="s">
        <v>259</v>
      </c>
      <c r="C56" s="3" t="s">
        <v>267</v>
      </c>
      <c r="D56" s="3" t="s">
        <v>317</v>
      </c>
      <c r="E56" s="3"/>
      <c r="F56" s="3" t="s">
        <v>318</v>
      </c>
      <c r="G56" s="3" t="s">
        <v>294</v>
      </c>
      <c r="H56" s="20">
        <v>737641.55</v>
      </c>
      <c r="I56" s="21">
        <v>6.4515146469694916E-4</v>
      </c>
      <c r="J56" s="22">
        <v>44012</v>
      </c>
      <c r="K56" s="18" t="s">
        <v>264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hidden="1" customHeight="1">
      <c r="A57" s="19">
        <f t="shared" si="0"/>
        <v>56</v>
      </c>
      <c r="B57" s="3" t="s">
        <v>319</v>
      </c>
      <c r="C57" s="3" t="s">
        <v>320</v>
      </c>
      <c r="D57" s="3" t="s">
        <v>321</v>
      </c>
      <c r="E57" s="3"/>
      <c r="F57" s="3"/>
      <c r="G57" s="3" t="s">
        <v>263</v>
      </c>
      <c r="H57" s="20">
        <v>1461</v>
      </c>
      <c r="I57" s="21">
        <v>4.5507837111142913E-7</v>
      </c>
      <c r="J57" s="22">
        <v>44012</v>
      </c>
      <c r="K57" s="18" t="s">
        <v>264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hidden="1" customHeight="1">
      <c r="A58" s="19">
        <f t="shared" si="0"/>
        <v>57</v>
      </c>
      <c r="B58" s="3" t="s">
        <v>322</v>
      </c>
      <c r="C58" s="3" t="s">
        <v>304</v>
      </c>
      <c r="D58" s="3" t="s">
        <v>323</v>
      </c>
      <c r="E58" s="3"/>
      <c r="F58" s="3" t="s">
        <v>324</v>
      </c>
      <c r="G58" s="3" t="s">
        <v>263</v>
      </c>
      <c r="H58" s="20">
        <v>9603937.0899999999</v>
      </c>
      <c r="I58" s="21">
        <v>5.4465225587069805E-3</v>
      </c>
      <c r="J58" s="22">
        <v>44012</v>
      </c>
      <c r="K58" s="18" t="s">
        <v>264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hidden="1" customHeight="1">
      <c r="A59" s="19">
        <f t="shared" si="0"/>
        <v>58</v>
      </c>
      <c r="B59" s="3" t="s">
        <v>306</v>
      </c>
      <c r="C59" s="3" t="s">
        <v>307</v>
      </c>
      <c r="D59" s="3" t="s">
        <v>323</v>
      </c>
      <c r="E59" s="3"/>
      <c r="F59" s="3" t="s">
        <v>324</v>
      </c>
      <c r="G59" s="3" t="s">
        <v>263</v>
      </c>
      <c r="H59" s="20">
        <v>2697693.84</v>
      </c>
      <c r="I59" s="21">
        <v>1.3614862874802267E-2</v>
      </c>
      <c r="J59" s="22">
        <v>44012</v>
      </c>
      <c r="K59" s="18" t="s">
        <v>264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hidden="1" customHeight="1">
      <c r="A60" s="19">
        <f t="shared" si="0"/>
        <v>59</v>
      </c>
      <c r="B60" s="3" t="s">
        <v>259</v>
      </c>
      <c r="C60" s="3" t="s">
        <v>260</v>
      </c>
      <c r="D60" s="3" t="s">
        <v>325</v>
      </c>
      <c r="E60" s="3"/>
      <c r="F60" s="3" t="s">
        <v>324</v>
      </c>
      <c r="G60" s="3" t="s">
        <v>263</v>
      </c>
      <c r="H60" s="20">
        <v>1528451.75</v>
      </c>
      <c r="I60" s="21">
        <v>8.0778107553254302E-3</v>
      </c>
      <c r="J60" s="22">
        <v>44012</v>
      </c>
      <c r="K60" s="18" t="s">
        <v>264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hidden="1" customHeight="1">
      <c r="A61" s="19">
        <f t="shared" si="0"/>
        <v>60</v>
      </c>
      <c r="B61" s="3" t="s">
        <v>259</v>
      </c>
      <c r="C61" s="3" t="s">
        <v>265</v>
      </c>
      <c r="D61" s="3" t="s">
        <v>325</v>
      </c>
      <c r="E61" s="3"/>
      <c r="F61" s="3" t="s">
        <v>324</v>
      </c>
      <c r="G61" s="3" t="s">
        <v>263</v>
      </c>
      <c r="H61" s="20">
        <v>22933006.949999999</v>
      </c>
      <c r="I61" s="21">
        <v>1.3277778487327205E-2</v>
      </c>
      <c r="J61" s="22">
        <v>44012</v>
      </c>
      <c r="K61" s="18" t="s">
        <v>264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hidden="1" customHeight="1">
      <c r="A62" s="19">
        <f t="shared" si="0"/>
        <v>61</v>
      </c>
      <c r="B62" s="3" t="s">
        <v>259</v>
      </c>
      <c r="C62" s="3" t="s">
        <v>266</v>
      </c>
      <c r="D62" s="3" t="s">
        <v>325</v>
      </c>
      <c r="E62" s="3"/>
      <c r="F62" s="3" t="s">
        <v>324</v>
      </c>
      <c r="G62" s="3" t="s">
        <v>263</v>
      </c>
      <c r="H62" s="20">
        <v>12705996.26</v>
      </c>
      <c r="I62" s="21">
        <v>1.5310943492258125E-2</v>
      </c>
      <c r="J62" s="22">
        <v>44012</v>
      </c>
      <c r="K62" s="18" t="s">
        <v>264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hidden="1" customHeight="1">
      <c r="A63" s="19">
        <f t="shared" si="0"/>
        <v>62</v>
      </c>
      <c r="B63" s="3" t="s">
        <v>259</v>
      </c>
      <c r="C63" s="3" t="s">
        <v>267</v>
      </c>
      <c r="D63" s="3" t="s">
        <v>325</v>
      </c>
      <c r="E63" s="3"/>
      <c r="F63" s="3" t="s">
        <v>324</v>
      </c>
      <c r="G63" s="3" t="s">
        <v>263</v>
      </c>
      <c r="H63" s="20">
        <v>19439241.329999998</v>
      </c>
      <c r="I63" s="21">
        <v>1.7001828349619091E-2</v>
      </c>
      <c r="J63" s="22">
        <v>44012</v>
      </c>
      <c r="K63" s="18" t="s">
        <v>264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19">
        <f t="shared" si="0"/>
        <v>63</v>
      </c>
      <c r="B64" s="3" t="s">
        <v>319</v>
      </c>
      <c r="C64" s="3" t="s">
        <v>320</v>
      </c>
      <c r="D64" s="3" t="s">
        <v>326</v>
      </c>
      <c r="E64" s="3"/>
      <c r="F64" s="3"/>
      <c r="G64" s="3" t="s">
        <v>294</v>
      </c>
      <c r="H64" s="20">
        <v>7428433</v>
      </c>
      <c r="I64" s="21">
        <v>2.313839281006425E-3</v>
      </c>
      <c r="J64" s="22">
        <v>44012</v>
      </c>
      <c r="K64" s="18" t="s">
        <v>264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19">
        <v>1</v>
      </c>
      <c r="B65" s="3" t="s">
        <v>288</v>
      </c>
      <c r="C65" s="3" t="s">
        <v>289</v>
      </c>
      <c r="D65" s="3" t="s">
        <v>327</v>
      </c>
      <c r="E65" s="3"/>
      <c r="F65" s="3"/>
      <c r="G65" s="3" t="s">
        <v>294</v>
      </c>
      <c r="H65" s="20">
        <v>1522210.13</v>
      </c>
      <c r="I65" s="21">
        <v>1.2348187886215445E-3</v>
      </c>
      <c r="J65" s="22">
        <v>44012</v>
      </c>
      <c r="K65" s="18" t="s">
        <v>270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19">
        <f t="shared" ref="A66:A1245" si="1">A65+1</f>
        <v>2</v>
      </c>
      <c r="B66" s="3" t="s">
        <v>322</v>
      </c>
      <c r="C66" s="3" t="s">
        <v>304</v>
      </c>
      <c r="D66" s="3" t="s">
        <v>327</v>
      </c>
      <c r="E66" s="3"/>
      <c r="F66" s="3"/>
      <c r="G66" s="3" t="s">
        <v>294</v>
      </c>
      <c r="H66" s="20">
        <v>4558971.5</v>
      </c>
      <c r="I66" s="21">
        <f>H66/H61</f>
        <v>0.19879519113824715</v>
      </c>
      <c r="J66" s="22">
        <v>44012</v>
      </c>
      <c r="K66" s="18" t="s">
        <v>264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19">
        <f t="shared" si="1"/>
        <v>3</v>
      </c>
      <c r="B67" s="3" t="s">
        <v>328</v>
      </c>
      <c r="C67" s="3" t="s">
        <v>329</v>
      </c>
      <c r="D67" s="3" t="s">
        <v>327</v>
      </c>
      <c r="E67" s="3"/>
      <c r="F67" s="3" t="s">
        <v>330</v>
      </c>
      <c r="G67" s="3" t="s">
        <v>294</v>
      </c>
      <c r="H67" s="20">
        <v>26881237.710000001</v>
      </c>
      <c r="I67" s="21">
        <v>1.1359253565302114E-2</v>
      </c>
      <c r="J67" s="22">
        <v>44012</v>
      </c>
      <c r="K67" s="18" t="s">
        <v>264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19">
        <f t="shared" si="1"/>
        <v>4</v>
      </c>
      <c r="B68" s="3" t="s">
        <v>328</v>
      </c>
      <c r="C68" s="3" t="s">
        <v>331</v>
      </c>
      <c r="D68" s="3" t="s">
        <v>327</v>
      </c>
      <c r="E68" s="3"/>
      <c r="F68" s="3" t="s">
        <v>330</v>
      </c>
      <c r="G68" s="3" t="s">
        <v>294</v>
      </c>
      <c r="H68" s="20">
        <v>8404008.0700000003</v>
      </c>
      <c r="I68" s="21">
        <v>5.5615116033934063E-3</v>
      </c>
      <c r="J68" s="22">
        <v>44012</v>
      </c>
      <c r="K68" s="18" t="s">
        <v>264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19">
        <f t="shared" si="1"/>
        <v>5</v>
      </c>
      <c r="B69" s="3" t="s">
        <v>319</v>
      </c>
      <c r="C69" s="3" t="s">
        <v>320</v>
      </c>
      <c r="D69" s="3" t="s">
        <v>332</v>
      </c>
      <c r="E69" s="3"/>
      <c r="F69" s="3"/>
      <c r="G69" s="3" t="s">
        <v>294</v>
      </c>
      <c r="H69" s="20">
        <v>3267696</v>
      </c>
      <c r="I69" s="21">
        <v>1.0178355735573803E-3</v>
      </c>
      <c r="J69" s="22">
        <v>44012</v>
      </c>
      <c r="K69" s="18" t="s">
        <v>264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19">
        <f t="shared" si="1"/>
        <v>6</v>
      </c>
      <c r="B70" s="3" t="s">
        <v>333</v>
      </c>
      <c r="C70" s="3" t="s">
        <v>304</v>
      </c>
      <c r="D70" s="3" t="s">
        <v>334</v>
      </c>
      <c r="E70" s="3"/>
      <c r="F70" s="3" t="s">
        <v>335</v>
      </c>
      <c r="G70" s="3" t="s">
        <v>294</v>
      </c>
      <c r="H70" s="20">
        <v>1320550.45</v>
      </c>
      <c r="I70" s="21">
        <v>8.5755037294353727E-4</v>
      </c>
      <c r="J70" s="22">
        <v>44253</v>
      </c>
      <c r="K70" s="18" t="s">
        <v>270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hidden="1" customHeight="1">
      <c r="A71" s="19">
        <f t="shared" si="1"/>
        <v>7</v>
      </c>
      <c r="B71" s="3" t="s">
        <v>295</v>
      </c>
      <c r="C71" s="3" t="s">
        <v>296</v>
      </c>
      <c r="D71" s="3" t="s">
        <v>336</v>
      </c>
      <c r="E71" s="3"/>
      <c r="F71" s="3" t="s">
        <v>335</v>
      </c>
      <c r="G71" s="3" t="s">
        <v>263</v>
      </c>
      <c r="H71" s="20">
        <v>10100600.59</v>
      </c>
      <c r="I71" s="21">
        <v>5.1435531846601981E-3</v>
      </c>
      <c r="J71" s="22">
        <v>44196</v>
      </c>
      <c r="K71" s="18" t="s">
        <v>270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19">
        <f t="shared" si="1"/>
        <v>8</v>
      </c>
      <c r="B72" s="3" t="s">
        <v>288</v>
      </c>
      <c r="C72" s="3" t="s">
        <v>289</v>
      </c>
      <c r="D72" s="3" t="s">
        <v>337</v>
      </c>
      <c r="E72" s="3"/>
      <c r="F72" s="3" t="s">
        <v>335</v>
      </c>
      <c r="G72" s="3" t="s">
        <v>294</v>
      </c>
      <c r="H72" s="20">
        <v>4756294.53</v>
      </c>
      <c r="I72" s="21">
        <v>3.8583121568517478E-3</v>
      </c>
      <c r="J72" s="22">
        <v>44012</v>
      </c>
      <c r="K72" s="18" t="s">
        <v>270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19">
        <f t="shared" si="1"/>
        <v>9</v>
      </c>
      <c r="B73" s="3" t="s">
        <v>322</v>
      </c>
      <c r="C73" s="3" t="s">
        <v>304</v>
      </c>
      <c r="D73" s="3" t="s">
        <v>337</v>
      </c>
      <c r="E73" s="3"/>
      <c r="F73" s="3" t="s">
        <v>335</v>
      </c>
      <c r="G73" s="3" t="s">
        <v>294</v>
      </c>
      <c r="H73" s="20">
        <v>5435765.7699999996</v>
      </c>
      <c r="I73" s="21">
        <f>H73/H67</f>
        <v>0.2022141178409303</v>
      </c>
      <c r="J73" s="22">
        <v>44012</v>
      </c>
      <c r="K73" s="18" t="s">
        <v>264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19">
        <f t="shared" si="1"/>
        <v>10</v>
      </c>
      <c r="B74" s="3" t="s">
        <v>279</v>
      </c>
      <c r="C74" s="3" t="s">
        <v>280</v>
      </c>
      <c r="D74" s="3" t="s">
        <v>337</v>
      </c>
      <c r="E74" s="3"/>
      <c r="F74" s="3" t="s">
        <v>335</v>
      </c>
      <c r="G74" s="3" t="s">
        <v>294</v>
      </c>
      <c r="H74" s="20">
        <v>33973532.840000004</v>
      </c>
      <c r="I74" s="21">
        <v>5.6786026366662246E-3</v>
      </c>
      <c r="J74" s="22">
        <v>44012</v>
      </c>
      <c r="K74" s="18" t="s">
        <v>270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19">
        <f t="shared" si="1"/>
        <v>11</v>
      </c>
      <c r="B75" s="3" t="s">
        <v>301</v>
      </c>
      <c r="C75" s="3" t="s">
        <v>302</v>
      </c>
      <c r="D75" s="3" t="s">
        <v>338</v>
      </c>
      <c r="E75" s="3"/>
      <c r="F75" s="3" t="s">
        <v>335</v>
      </c>
      <c r="G75" s="3" t="s">
        <v>294</v>
      </c>
      <c r="H75" s="20">
        <v>7205343.3600000003</v>
      </c>
      <c r="I75" s="21">
        <v>1.989503405124405E-3</v>
      </c>
      <c r="J75" s="22">
        <v>44196</v>
      </c>
      <c r="K75" s="18" t="s">
        <v>264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19">
        <f t="shared" si="1"/>
        <v>12</v>
      </c>
      <c r="B76" s="3" t="s">
        <v>328</v>
      </c>
      <c r="C76" s="3" t="s">
        <v>329</v>
      </c>
      <c r="D76" s="3" t="s">
        <v>339</v>
      </c>
      <c r="E76" s="3"/>
      <c r="F76" s="3" t="s">
        <v>335</v>
      </c>
      <c r="G76" s="3" t="s">
        <v>294</v>
      </c>
      <c r="H76" s="20">
        <v>11897433.380000001</v>
      </c>
      <c r="I76" s="21">
        <v>5.0275200866005581E-3</v>
      </c>
      <c r="J76" s="22">
        <v>44012</v>
      </c>
      <c r="K76" s="18" t="s">
        <v>264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19">
        <f t="shared" si="1"/>
        <v>13</v>
      </c>
      <c r="B77" s="3" t="s">
        <v>328</v>
      </c>
      <c r="C77" s="3" t="s">
        <v>331</v>
      </c>
      <c r="D77" s="3" t="s">
        <v>339</v>
      </c>
      <c r="E77" s="3"/>
      <c r="F77" s="3" t="s">
        <v>335</v>
      </c>
      <c r="G77" s="3" t="s">
        <v>294</v>
      </c>
      <c r="H77" s="20">
        <v>6249963.4900000002</v>
      </c>
      <c r="I77" s="21">
        <v>4.136031781609195E-3</v>
      </c>
      <c r="J77" s="22">
        <v>44012</v>
      </c>
      <c r="K77" s="18" t="s">
        <v>264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19">
        <f t="shared" si="1"/>
        <v>14</v>
      </c>
      <c r="B78" s="3" t="s">
        <v>279</v>
      </c>
      <c r="C78" s="3" t="s">
        <v>280</v>
      </c>
      <c r="D78" s="3" t="s">
        <v>339</v>
      </c>
      <c r="E78" s="3"/>
      <c r="F78" s="3" t="s">
        <v>335</v>
      </c>
      <c r="G78" s="3" t="s">
        <v>294</v>
      </c>
      <c r="H78" s="20">
        <v>16221436.539999999</v>
      </c>
      <c r="I78" s="21">
        <v>2.7113780818844575E-3</v>
      </c>
      <c r="J78" s="22">
        <v>44012</v>
      </c>
      <c r="K78" s="18" t="s">
        <v>270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19">
        <f t="shared" si="1"/>
        <v>15</v>
      </c>
      <c r="B79" s="3" t="s">
        <v>279</v>
      </c>
      <c r="C79" s="3" t="s">
        <v>282</v>
      </c>
      <c r="D79" s="3" t="s">
        <v>339</v>
      </c>
      <c r="E79" s="3"/>
      <c r="F79" s="3" t="s">
        <v>335</v>
      </c>
      <c r="G79" s="3" t="s">
        <v>294</v>
      </c>
      <c r="H79" s="20">
        <v>14019905.02</v>
      </c>
      <c r="I79" s="21">
        <v>1.3418306268186166E-3</v>
      </c>
      <c r="J79" s="22">
        <v>44012</v>
      </c>
      <c r="K79" s="18" t="s">
        <v>270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hidden="1" customHeight="1">
      <c r="A80" s="19">
        <f t="shared" si="1"/>
        <v>16</v>
      </c>
      <c r="B80" s="3" t="s">
        <v>279</v>
      </c>
      <c r="C80" s="3" t="s">
        <v>280</v>
      </c>
      <c r="D80" s="3" t="s">
        <v>340</v>
      </c>
      <c r="E80" s="3"/>
      <c r="F80" s="3" t="s">
        <v>341</v>
      </c>
      <c r="G80" s="3" t="s">
        <v>263</v>
      </c>
      <c r="H80" s="20">
        <v>19986989.309999999</v>
      </c>
      <c r="I80" s="21">
        <v>3.3407820943824346E-3</v>
      </c>
      <c r="J80" s="22">
        <v>44012</v>
      </c>
      <c r="K80" s="18" t="s">
        <v>270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hidden="1" customHeight="1">
      <c r="A81" s="19">
        <f t="shared" si="1"/>
        <v>17</v>
      </c>
      <c r="B81" s="3" t="s">
        <v>279</v>
      </c>
      <c r="C81" s="3" t="s">
        <v>282</v>
      </c>
      <c r="D81" s="3" t="s">
        <v>340</v>
      </c>
      <c r="E81" s="3"/>
      <c r="F81" s="3" t="s">
        <v>341</v>
      </c>
      <c r="G81" s="3" t="s">
        <v>263</v>
      </c>
      <c r="H81" s="20">
        <v>33046597.379999999</v>
      </c>
      <c r="I81" s="21">
        <v>3.1628556979074207E-3</v>
      </c>
      <c r="J81" s="22">
        <v>44012</v>
      </c>
      <c r="K81" s="18" t="s">
        <v>270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hidden="1" customHeight="1">
      <c r="A82" s="19">
        <f t="shared" si="1"/>
        <v>18</v>
      </c>
      <c r="B82" s="3" t="s">
        <v>279</v>
      </c>
      <c r="C82" s="3" t="s">
        <v>283</v>
      </c>
      <c r="D82" s="3" t="s">
        <v>340</v>
      </c>
      <c r="E82" s="3"/>
      <c r="F82" s="3" t="s">
        <v>341</v>
      </c>
      <c r="G82" s="3" t="s">
        <v>263</v>
      </c>
      <c r="H82" s="20">
        <v>141453.04</v>
      </c>
      <c r="I82" s="21">
        <v>2.9521432663516859E-3</v>
      </c>
      <c r="J82" s="22">
        <v>44012</v>
      </c>
      <c r="K82" s="18" t="s">
        <v>270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hidden="1" customHeight="1">
      <c r="A83" s="19">
        <f t="shared" si="1"/>
        <v>19</v>
      </c>
      <c r="B83" s="3" t="s">
        <v>333</v>
      </c>
      <c r="C83" s="3" t="s">
        <v>304</v>
      </c>
      <c r="D83" s="3" t="s">
        <v>342</v>
      </c>
      <c r="E83" s="3"/>
      <c r="F83" s="3" t="s">
        <v>343</v>
      </c>
      <c r="G83" s="3" t="s">
        <v>263</v>
      </c>
      <c r="H83" s="20">
        <v>3389268.33</v>
      </c>
      <c r="I83" s="21">
        <v>2.2009521259844485E-3</v>
      </c>
      <c r="J83" s="22">
        <v>44253</v>
      </c>
      <c r="K83" s="18" t="s">
        <v>270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hidden="1" customHeight="1">
      <c r="A84" s="19">
        <f t="shared" si="1"/>
        <v>20</v>
      </c>
      <c r="B84" s="3" t="s">
        <v>279</v>
      </c>
      <c r="C84" s="3" t="s">
        <v>280</v>
      </c>
      <c r="D84" s="3" t="s">
        <v>344</v>
      </c>
      <c r="E84" s="3"/>
      <c r="F84" s="3" t="s">
        <v>343</v>
      </c>
      <c r="G84" s="3" t="s">
        <v>263</v>
      </c>
      <c r="H84" s="20">
        <v>7522992.9199999999</v>
      </c>
      <c r="I84" s="21">
        <v>1.2574520180849503E-3</v>
      </c>
      <c r="J84" s="22">
        <v>44012</v>
      </c>
      <c r="K84" s="18" t="s">
        <v>270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hidden="1" customHeight="1">
      <c r="A85" s="19">
        <f t="shared" si="1"/>
        <v>21</v>
      </c>
      <c r="B85" s="3" t="s">
        <v>279</v>
      </c>
      <c r="C85" s="3" t="s">
        <v>282</v>
      </c>
      <c r="D85" s="3" t="s">
        <v>344</v>
      </c>
      <c r="E85" s="3"/>
      <c r="F85" s="3" t="s">
        <v>343</v>
      </c>
      <c r="G85" s="3" t="s">
        <v>263</v>
      </c>
      <c r="H85" s="20">
        <v>10747132.74</v>
      </c>
      <c r="I85" s="21">
        <v>1.0285969726931202E-3</v>
      </c>
      <c r="J85" s="22">
        <v>44012</v>
      </c>
      <c r="K85" s="18" t="s">
        <v>270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hidden="1" customHeight="1">
      <c r="A86" s="19">
        <f t="shared" si="1"/>
        <v>22</v>
      </c>
      <c r="B86" s="3" t="s">
        <v>279</v>
      </c>
      <c r="C86" s="3" t="s">
        <v>283</v>
      </c>
      <c r="D86" s="3" t="s">
        <v>344</v>
      </c>
      <c r="E86" s="3"/>
      <c r="F86" s="3" t="s">
        <v>343</v>
      </c>
      <c r="G86" s="3" t="s">
        <v>263</v>
      </c>
      <c r="H86" s="20">
        <v>40839.1</v>
      </c>
      <c r="I86" s="21">
        <v>8.5231730664016216E-4</v>
      </c>
      <c r="J86" s="22">
        <v>44012</v>
      </c>
      <c r="K86" s="18" t="s">
        <v>270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hidden="1" customHeight="1">
      <c r="A87" s="19">
        <f t="shared" si="1"/>
        <v>23</v>
      </c>
      <c r="B87" s="3" t="s">
        <v>33</v>
      </c>
      <c r="C87" s="3" t="s">
        <v>286</v>
      </c>
      <c r="D87" s="3" t="s">
        <v>345</v>
      </c>
      <c r="E87" s="3"/>
      <c r="F87" s="3" t="s">
        <v>346</v>
      </c>
      <c r="G87" s="3" t="s">
        <v>263</v>
      </c>
      <c r="H87" s="20">
        <v>26472468.469999999</v>
      </c>
      <c r="I87" s="21">
        <v>2.151220475172198E-2</v>
      </c>
      <c r="J87" s="22">
        <v>44012</v>
      </c>
      <c r="K87" s="18" t="s">
        <v>270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hidden="1" customHeight="1">
      <c r="A88" s="19">
        <f t="shared" si="1"/>
        <v>24</v>
      </c>
      <c r="B88" s="3" t="s">
        <v>259</v>
      </c>
      <c r="C88" s="3" t="s">
        <v>260</v>
      </c>
      <c r="D88" s="3" t="s">
        <v>347</v>
      </c>
      <c r="E88" s="3"/>
      <c r="F88" s="3" t="s">
        <v>348</v>
      </c>
      <c r="G88" s="3" t="s">
        <v>263</v>
      </c>
      <c r="H88" s="20">
        <v>1030439.74</v>
      </c>
      <c r="I88" s="21">
        <v>5.445835771058353E-3</v>
      </c>
      <c r="J88" s="22">
        <v>44012</v>
      </c>
      <c r="K88" s="18" t="s">
        <v>264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hidden="1" customHeight="1">
      <c r="A89" s="19">
        <f t="shared" si="1"/>
        <v>25</v>
      </c>
      <c r="B89" s="3" t="s">
        <v>259</v>
      </c>
      <c r="C89" s="3" t="s">
        <v>265</v>
      </c>
      <c r="D89" s="3" t="s">
        <v>347</v>
      </c>
      <c r="E89" s="3"/>
      <c r="F89" s="3" t="s">
        <v>348</v>
      </c>
      <c r="G89" s="3" t="s">
        <v>263</v>
      </c>
      <c r="H89" s="20">
        <v>15495869.91</v>
      </c>
      <c r="I89" s="21">
        <v>8.9718164121264064E-3</v>
      </c>
      <c r="J89" s="22">
        <v>44012</v>
      </c>
      <c r="K89" s="18" t="s">
        <v>264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hidden="1" customHeight="1">
      <c r="A90" s="19">
        <f t="shared" si="1"/>
        <v>26</v>
      </c>
      <c r="B90" s="3" t="s">
        <v>259</v>
      </c>
      <c r="C90" s="3" t="s">
        <v>266</v>
      </c>
      <c r="D90" s="3" t="s">
        <v>347</v>
      </c>
      <c r="E90" s="3"/>
      <c r="F90" s="3" t="s">
        <v>348</v>
      </c>
      <c r="G90" s="3" t="s">
        <v>263</v>
      </c>
      <c r="H90" s="20">
        <v>9387823.1300000008</v>
      </c>
      <c r="I90" s="21">
        <v>1.1312487940142351E-2</v>
      </c>
      <c r="J90" s="22">
        <v>44012</v>
      </c>
      <c r="K90" s="18" t="s">
        <v>264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hidden="1" customHeight="1">
      <c r="A91" s="19">
        <f t="shared" si="1"/>
        <v>27</v>
      </c>
      <c r="B91" s="3" t="s">
        <v>259</v>
      </c>
      <c r="C91" s="3" t="s">
        <v>267</v>
      </c>
      <c r="D91" s="3" t="s">
        <v>347</v>
      </c>
      <c r="E91" s="3"/>
      <c r="F91" s="3" t="s">
        <v>348</v>
      </c>
      <c r="G91" s="3" t="s">
        <v>263</v>
      </c>
      <c r="H91" s="20">
        <v>13559909.810000001</v>
      </c>
      <c r="I91" s="21">
        <v>1.1859683982118455E-2</v>
      </c>
      <c r="J91" s="22">
        <v>44012</v>
      </c>
      <c r="K91" s="18" t="s">
        <v>264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hidden="1" customHeight="1">
      <c r="A92" s="19">
        <f t="shared" si="1"/>
        <v>28</v>
      </c>
      <c r="B92" s="3" t="s">
        <v>306</v>
      </c>
      <c r="C92" s="3" t="s">
        <v>307</v>
      </c>
      <c r="D92" s="3" t="s">
        <v>349</v>
      </c>
      <c r="E92" s="3"/>
      <c r="F92" s="3" t="s">
        <v>348</v>
      </c>
      <c r="G92" s="3" t="s">
        <v>263</v>
      </c>
      <c r="H92" s="20">
        <v>600000</v>
      </c>
      <c r="I92" s="21">
        <v>3.0281114942536844E-3</v>
      </c>
      <c r="J92" s="22">
        <v>44012</v>
      </c>
      <c r="K92" s="18" t="s">
        <v>264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19">
        <f t="shared" si="1"/>
        <v>29</v>
      </c>
      <c r="B93" s="3" t="s">
        <v>333</v>
      </c>
      <c r="C93" s="3" t="s">
        <v>304</v>
      </c>
      <c r="D93" s="3" t="s">
        <v>350</v>
      </c>
      <c r="E93" s="3"/>
      <c r="F93" s="3" t="s">
        <v>351</v>
      </c>
      <c r="G93" s="3" t="s">
        <v>294</v>
      </c>
      <c r="H93" s="20">
        <v>3724976.91</v>
      </c>
      <c r="I93" s="21">
        <v>2.418957441858102E-3</v>
      </c>
      <c r="J93" s="22">
        <v>44253</v>
      </c>
      <c r="K93" s="18" t="s">
        <v>270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hidden="1" customHeight="1">
      <c r="A94" s="19">
        <f t="shared" si="1"/>
        <v>30</v>
      </c>
      <c r="B94" s="3" t="s">
        <v>279</v>
      </c>
      <c r="C94" s="3" t="s">
        <v>280</v>
      </c>
      <c r="D94" s="3" t="s">
        <v>352</v>
      </c>
      <c r="E94" s="3"/>
      <c r="F94" s="3" t="s">
        <v>312</v>
      </c>
      <c r="G94" s="3" t="s">
        <v>263</v>
      </c>
      <c r="H94" s="20">
        <v>20737685.579999998</v>
      </c>
      <c r="I94" s="21">
        <v>3.4662593545259075E-3</v>
      </c>
      <c r="J94" s="22">
        <v>44012</v>
      </c>
      <c r="K94" s="18" t="s">
        <v>270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hidden="1" customHeight="1">
      <c r="A95" s="19">
        <f t="shared" si="1"/>
        <v>31</v>
      </c>
      <c r="B95" s="3" t="s">
        <v>279</v>
      </c>
      <c r="C95" s="3" t="s">
        <v>282</v>
      </c>
      <c r="D95" s="3" t="s">
        <v>352</v>
      </c>
      <c r="E95" s="3"/>
      <c r="F95" s="3" t="s">
        <v>312</v>
      </c>
      <c r="G95" s="3" t="s">
        <v>263</v>
      </c>
      <c r="H95" s="20">
        <v>34287802.689999998</v>
      </c>
      <c r="I95" s="21">
        <v>3.2816501759550254E-3</v>
      </c>
      <c r="J95" s="22">
        <v>44012</v>
      </c>
      <c r="K95" s="18" t="s">
        <v>270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hidden="1" customHeight="1">
      <c r="A96" s="19">
        <f t="shared" si="1"/>
        <v>32</v>
      </c>
      <c r="B96" s="3" t="s">
        <v>279</v>
      </c>
      <c r="C96" s="3" t="s">
        <v>283</v>
      </c>
      <c r="D96" s="3" t="s">
        <v>352</v>
      </c>
      <c r="E96" s="3"/>
      <c r="F96" s="3" t="s">
        <v>312</v>
      </c>
      <c r="G96" s="3" t="s">
        <v>263</v>
      </c>
      <c r="H96" s="20">
        <v>146765.9</v>
      </c>
      <c r="I96" s="21">
        <v>3.0630233426941185E-3</v>
      </c>
      <c r="J96" s="22">
        <v>44012</v>
      </c>
      <c r="K96" s="18" t="s">
        <v>270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hidden="1" customHeight="1">
      <c r="A97" s="19">
        <f t="shared" si="1"/>
        <v>33</v>
      </c>
      <c r="B97" s="3" t="s">
        <v>279</v>
      </c>
      <c r="C97" s="3" t="s">
        <v>280</v>
      </c>
      <c r="D97" s="3" t="s">
        <v>353</v>
      </c>
      <c r="E97" s="3"/>
      <c r="F97" s="3" t="s">
        <v>354</v>
      </c>
      <c r="G97" s="3" t="s">
        <v>263</v>
      </c>
      <c r="H97" s="20">
        <v>11961716.16</v>
      </c>
      <c r="I97" s="21">
        <v>1.9993750207000544E-3</v>
      </c>
      <c r="J97" s="22">
        <v>44012</v>
      </c>
      <c r="K97" s="18" t="s">
        <v>270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hidden="1" customHeight="1">
      <c r="A98" s="19">
        <f t="shared" si="1"/>
        <v>34</v>
      </c>
      <c r="B98" s="3" t="s">
        <v>279</v>
      </c>
      <c r="C98" s="3" t="s">
        <v>282</v>
      </c>
      <c r="D98" s="3" t="s">
        <v>353</v>
      </c>
      <c r="E98" s="3"/>
      <c r="F98" s="3" t="s">
        <v>354</v>
      </c>
      <c r="G98" s="3" t="s">
        <v>263</v>
      </c>
      <c r="H98" s="20">
        <v>19777566.890000001</v>
      </c>
      <c r="I98" s="21">
        <v>1.8928904966972321E-3</v>
      </c>
      <c r="J98" s="22">
        <v>44012</v>
      </c>
      <c r="K98" s="18" t="s">
        <v>270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hidden="1" customHeight="1">
      <c r="A99" s="19">
        <f t="shared" si="1"/>
        <v>35</v>
      </c>
      <c r="B99" s="3" t="s">
        <v>279</v>
      </c>
      <c r="C99" s="3" t="s">
        <v>283</v>
      </c>
      <c r="D99" s="3" t="s">
        <v>353</v>
      </c>
      <c r="E99" s="3"/>
      <c r="F99" s="3" t="s">
        <v>354</v>
      </c>
      <c r="G99" s="3" t="s">
        <v>263</v>
      </c>
      <c r="H99" s="20">
        <v>84656.12</v>
      </c>
      <c r="I99" s="21">
        <v>1.7667841893921846E-3</v>
      </c>
      <c r="J99" s="22">
        <v>44012</v>
      </c>
      <c r="K99" s="18" t="s">
        <v>270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hidden="1" customHeight="1">
      <c r="A100" s="19">
        <f t="shared" si="1"/>
        <v>36</v>
      </c>
      <c r="B100" s="3" t="s">
        <v>279</v>
      </c>
      <c r="C100" s="3" t="s">
        <v>280</v>
      </c>
      <c r="D100" s="3" t="s">
        <v>355</v>
      </c>
      <c r="E100" s="3"/>
      <c r="F100" s="3" t="s">
        <v>356</v>
      </c>
      <c r="G100" s="3" t="s">
        <v>263</v>
      </c>
      <c r="H100" s="20">
        <v>34912532.740000002</v>
      </c>
      <c r="I100" s="21">
        <v>5.8355544418576839E-3</v>
      </c>
      <c r="J100" s="22">
        <v>44012</v>
      </c>
      <c r="K100" s="18" t="s">
        <v>270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hidden="1" customHeight="1">
      <c r="A101" s="19">
        <f t="shared" si="1"/>
        <v>37</v>
      </c>
      <c r="B101" s="3" t="s">
        <v>279</v>
      </c>
      <c r="C101" s="3" t="s">
        <v>282</v>
      </c>
      <c r="D101" s="3" t="s">
        <v>355</v>
      </c>
      <c r="E101" s="3"/>
      <c r="F101" s="3" t="s">
        <v>356</v>
      </c>
      <c r="G101" s="3" t="s">
        <v>263</v>
      </c>
      <c r="H101" s="20">
        <v>57724572.469999999</v>
      </c>
      <c r="I101" s="21">
        <v>5.5247592012757276E-3</v>
      </c>
      <c r="J101" s="22">
        <v>44012</v>
      </c>
      <c r="K101" s="18" t="s">
        <v>270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hidden="1" customHeight="1">
      <c r="A102" s="19">
        <f t="shared" si="1"/>
        <v>38</v>
      </c>
      <c r="B102" s="3" t="s">
        <v>279</v>
      </c>
      <c r="C102" s="3" t="s">
        <v>283</v>
      </c>
      <c r="D102" s="3" t="s">
        <v>355</v>
      </c>
      <c r="E102" s="3"/>
      <c r="F102" s="3" t="s">
        <v>356</v>
      </c>
      <c r="G102" s="3" t="s">
        <v>263</v>
      </c>
      <c r="H102" s="20">
        <v>247084.92</v>
      </c>
      <c r="I102" s="21">
        <v>5.1566942838064496E-3</v>
      </c>
      <c r="J102" s="22">
        <v>44012</v>
      </c>
      <c r="K102" s="18" t="s">
        <v>270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hidden="1" customHeight="1">
      <c r="A103" s="19">
        <f t="shared" si="1"/>
        <v>39</v>
      </c>
      <c r="B103" s="3" t="s">
        <v>279</v>
      </c>
      <c r="C103" s="3" t="s">
        <v>280</v>
      </c>
      <c r="D103" s="3" t="s">
        <v>357</v>
      </c>
      <c r="E103" s="3"/>
      <c r="F103" s="3" t="s">
        <v>358</v>
      </c>
      <c r="G103" s="3" t="s">
        <v>263</v>
      </c>
      <c r="H103" s="20">
        <v>11247089.76</v>
      </c>
      <c r="I103" s="21">
        <v>1.8799267614217799E-3</v>
      </c>
      <c r="J103" s="22">
        <v>44012</v>
      </c>
      <c r="K103" s="18" t="s">
        <v>270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hidden="1" customHeight="1">
      <c r="A104" s="19">
        <f t="shared" si="1"/>
        <v>40</v>
      </c>
      <c r="B104" s="3" t="s">
        <v>279</v>
      </c>
      <c r="C104" s="3" t="s">
        <v>282</v>
      </c>
      <c r="D104" s="3" t="s">
        <v>357</v>
      </c>
      <c r="E104" s="3"/>
      <c r="F104" s="3" t="s">
        <v>358</v>
      </c>
      <c r="G104" s="3" t="s">
        <v>263</v>
      </c>
      <c r="H104" s="20">
        <v>18595999.68</v>
      </c>
      <c r="I104" s="21">
        <v>1.7798039195941139E-3</v>
      </c>
      <c r="J104" s="22">
        <v>44012</v>
      </c>
      <c r="K104" s="18" t="s">
        <v>270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hidden="1" customHeight="1">
      <c r="A105" s="19">
        <f t="shared" si="1"/>
        <v>41</v>
      </c>
      <c r="B105" s="3" t="s">
        <v>279</v>
      </c>
      <c r="C105" s="3" t="s">
        <v>283</v>
      </c>
      <c r="D105" s="3" t="s">
        <v>357</v>
      </c>
      <c r="E105" s="3"/>
      <c r="F105" s="3" t="s">
        <v>358</v>
      </c>
      <c r="G105" s="3" t="s">
        <v>263</v>
      </c>
      <c r="H105" s="20">
        <v>79598.53</v>
      </c>
      <c r="I105" s="21">
        <v>1.6612316310133219E-3</v>
      </c>
      <c r="J105" s="22">
        <v>44012</v>
      </c>
      <c r="K105" s="18" t="s">
        <v>270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hidden="1" customHeight="1">
      <c r="A106" s="19">
        <f t="shared" si="1"/>
        <v>42</v>
      </c>
      <c r="B106" s="3" t="s">
        <v>279</v>
      </c>
      <c r="C106" s="3" t="s">
        <v>280</v>
      </c>
      <c r="D106" s="3" t="s">
        <v>359</v>
      </c>
      <c r="E106" s="3"/>
      <c r="F106" s="3" t="s">
        <v>360</v>
      </c>
      <c r="G106" s="3" t="s">
        <v>263</v>
      </c>
      <c r="H106" s="20">
        <v>29943068.710000001</v>
      </c>
      <c r="I106" s="21">
        <v>5.0049192625115264E-3</v>
      </c>
      <c r="J106" s="22">
        <v>44012</v>
      </c>
      <c r="K106" s="18" t="s">
        <v>270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hidden="1" customHeight="1">
      <c r="A107" s="19">
        <f t="shared" si="1"/>
        <v>43</v>
      </c>
      <c r="B107" s="3" t="s">
        <v>279</v>
      </c>
      <c r="C107" s="3" t="s">
        <v>282</v>
      </c>
      <c r="D107" s="3" t="s">
        <v>359</v>
      </c>
      <c r="E107" s="3"/>
      <c r="F107" s="3" t="s">
        <v>360</v>
      </c>
      <c r="G107" s="3" t="s">
        <v>263</v>
      </c>
      <c r="H107" s="20">
        <v>49508033.479999997</v>
      </c>
      <c r="I107" s="21">
        <v>4.7383627422766562E-3</v>
      </c>
      <c r="J107" s="22">
        <v>44012</v>
      </c>
      <c r="K107" s="18" t="s">
        <v>270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hidden="1" customHeight="1">
      <c r="A108" s="19">
        <f t="shared" si="1"/>
        <v>44</v>
      </c>
      <c r="B108" s="3" t="s">
        <v>279</v>
      </c>
      <c r="C108" s="3" t="s">
        <v>283</v>
      </c>
      <c r="D108" s="3" t="s">
        <v>359</v>
      </c>
      <c r="E108" s="3"/>
      <c r="F108" s="3" t="s">
        <v>360</v>
      </c>
      <c r="G108" s="3" t="s">
        <v>263</v>
      </c>
      <c r="H108" s="20">
        <v>211914.76</v>
      </c>
      <c r="I108" s="21">
        <v>4.4226884892295962E-3</v>
      </c>
      <c r="J108" s="22">
        <v>44012</v>
      </c>
      <c r="K108" s="18" t="s">
        <v>270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19">
        <f t="shared" si="1"/>
        <v>45</v>
      </c>
      <c r="B109" s="3" t="s">
        <v>295</v>
      </c>
      <c r="C109" s="3" t="s">
        <v>296</v>
      </c>
      <c r="D109" s="3" t="s">
        <v>361</v>
      </c>
      <c r="E109" s="3"/>
      <c r="F109" s="3"/>
      <c r="G109" s="3" t="s">
        <v>294</v>
      </c>
      <c r="H109" s="20">
        <v>4139552.23</v>
      </c>
      <c r="I109" s="21">
        <v>2.1079941599476439E-3</v>
      </c>
      <c r="J109" s="22">
        <v>44196</v>
      </c>
      <c r="K109" s="18" t="s">
        <v>270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19">
        <f t="shared" si="1"/>
        <v>46</v>
      </c>
      <c r="B110" s="3" t="s">
        <v>279</v>
      </c>
      <c r="C110" s="3" t="s">
        <v>280</v>
      </c>
      <c r="D110" s="3" t="s">
        <v>362</v>
      </c>
      <c r="E110" s="3"/>
      <c r="F110" s="3"/>
      <c r="G110" s="3" t="s">
        <v>294</v>
      </c>
      <c r="H110" s="20">
        <v>20516667.449999999</v>
      </c>
      <c r="I110" s="21">
        <v>3.4293166514611463E-3</v>
      </c>
      <c r="J110" s="22">
        <v>44012</v>
      </c>
      <c r="K110" s="18" t="s">
        <v>270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19">
        <f t="shared" si="1"/>
        <v>47</v>
      </c>
      <c r="B111" s="3" t="s">
        <v>279</v>
      </c>
      <c r="C111" s="3" t="s">
        <v>282</v>
      </c>
      <c r="D111" s="3" t="s">
        <v>362</v>
      </c>
      <c r="E111" s="3"/>
      <c r="F111" s="3"/>
      <c r="G111" s="3" t="s">
        <v>294</v>
      </c>
      <c r="H111" s="20">
        <v>12945018.380000001</v>
      </c>
      <c r="I111" s="21">
        <v>1.2389543368685329E-3</v>
      </c>
      <c r="J111" s="22">
        <v>44012</v>
      </c>
      <c r="K111" s="18" t="s">
        <v>270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19">
        <f t="shared" si="1"/>
        <v>48</v>
      </c>
      <c r="B112" s="3" t="s">
        <v>273</v>
      </c>
      <c r="C112" s="3" t="s">
        <v>274</v>
      </c>
      <c r="D112" s="3" t="s">
        <v>362</v>
      </c>
      <c r="E112" s="3"/>
      <c r="F112" s="3"/>
      <c r="G112" s="3" t="s">
        <v>294</v>
      </c>
      <c r="H112" s="20">
        <v>2470219.9300000002</v>
      </c>
      <c r="I112" s="21">
        <v>4.8098063898912745E-4</v>
      </c>
      <c r="J112" s="22">
        <v>44012</v>
      </c>
      <c r="K112" s="18" t="s">
        <v>264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19">
        <f t="shared" si="1"/>
        <v>49</v>
      </c>
      <c r="B113" s="3" t="s">
        <v>273</v>
      </c>
      <c r="C113" s="3" t="s">
        <v>278</v>
      </c>
      <c r="D113" s="3" t="s">
        <v>362</v>
      </c>
      <c r="E113" s="3"/>
      <c r="F113" s="3"/>
      <c r="G113" s="3" t="s">
        <v>294</v>
      </c>
      <c r="H113" s="20">
        <v>2197230.11</v>
      </c>
      <c r="I113" s="21">
        <v>6.2631730587027826E-3</v>
      </c>
      <c r="J113" s="22">
        <v>44012</v>
      </c>
      <c r="K113" s="18" t="s">
        <v>264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19">
        <f t="shared" si="1"/>
        <v>50</v>
      </c>
      <c r="B114" s="3" t="s">
        <v>273</v>
      </c>
      <c r="C114" s="3" t="s">
        <v>276</v>
      </c>
      <c r="D114" s="3" t="s">
        <v>362</v>
      </c>
      <c r="E114" s="3"/>
      <c r="F114" s="3"/>
      <c r="G114" s="3" t="s">
        <v>294</v>
      </c>
      <c r="H114" s="20">
        <v>5381072.5</v>
      </c>
      <c r="I114" s="21">
        <v>1.1717832418092944E-3</v>
      </c>
      <c r="J114" s="22">
        <v>44012</v>
      </c>
      <c r="K114" s="18" t="s">
        <v>264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19">
        <f t="shared" si="1"/>
        <v>51</v>
      </c>
      <c r="B115" s="3" t="s">
        <v>273</v>
      </c>
      <c r="C115" s="3" t="s">
        <v>278</v>
      </c>
      <c r="D115" s="3" t="s">
        <v>362</v>
      </c>
      <c r="E115" s="3"/>
      <c r="F115" s="3"/>
      <c r="G115" s="3" t="s">
        <v>294</v>
      </c>
      <c r="H115" s="20">
        <v>134625.62</v>
      </c>
      <c r="I115" s="21">
        <v>2.1939723802536395E-3</v>
      </c>
      <c r="J115" s="22">
        <v>44012</v>
      </c>
      <c r="K115" s="18" t="s">
        <v>264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19">
        <f t="shared" si="1"/>
        <v>52</v>
      </c>
      <c r="B116" s="3" t="s">
        <v>301</v>
      </c>
      <c r="C116" s="3" t="s">
        <v>302</v>
      </c>
      <c r="D116" s="3" t="s">
        <v>363</v>
      </c>
      <c r="E116" s="3"/>
      <c r="F116" s="3"/>
      <c r="G116" s="3" t="s">
        <v>294</v>
      </c>
      <c r="H116" s="20">
        <v>18848484.190000001</v>
      </c>
      <c r="I116" s="21">
        <v>5.2043492730148699E-3</v>
      </c>
      <c r="J116" s="22">
        <v>44196</v>
      </c>
      <c r="K116" s="18" t="s">
        <v>264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hidden="1" customHeight="1">
      <c r="A117" s="19">
        <f t="shared" si="1"/>
        <v>53</v>
      </c>
      <c r="B117" s="3" t="s">
        <v>288</v>
      </c>
      <c r="C117" s="3" t="s">
        <v>289</v>
      </c>
      <c r="D117" s="3" t="s">
        <v>364</v>
      </c>
      <c r="E117" s="3"/>
      <c r="F117" s="3" t="s">
        <v>365</v>
      </c>
      <c r="G117" s="3" t="s">
        <v>263</v>
      </c>
      <c r="H117" s="20">
        <v>6214429.3899999997</v>
      </c>
      <c r="I117" s="21">
        <v>5.0411530051596258E-3</v>
      </c>
      <c r="J117" s="22">
        <v>44012</v>
      </c>
      <c r="K117" s="18" t="s">
        <v>270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hidden="1" customHeight="1">
      <c r="A118" s="19">
        <f t="shared" si="1"/>
        <v>54</v>
      </c>
      <c r="B118" s="3" t="s">
        <v>322</v>
      </c>
      <c r="C118" s="3" t="s">
        <v>304</v>
      </c>
      <c r="D118" s="3" t="s">
        <v>364</v>
      </c>
      <c r="E118" s="3"/>
      <c r="F118" s="3" t="s">
        <v>365</v>
      </c>
      <c r="G118" s="3" t="s">
        <v>263</v>
      </c>
      <c r="H118" s="20">
        <v>6730865.8600000003</v>
      </c>
      <c r="I118" s="21">
        <v>3.817165023320729E-3</v>
      </c>
      <c r="J118" s="22">
        <v>44012</v>
      </c>
      <c r="K118" s="18" t="s">
        <v>264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hidden="1" customHeight="1">
      <c r="A119" s="19">
        <f t="shared" si="1"/>
        <v>55</v>
      </c>
      <c r="B119" s="3" t="s">
        <v>259</v>
      </c>
      <c r="C119" s="3" t="s">
        <v>260</v>
      </c>
      <c r="D119" s="3" t="s">
        <v>366</v>
      </c>
      <c r="E119" s="3"/>
      <c r="F119" s="3" t="s">
        <v>365</v>
      </c>
      <c r="G119" s="3" t="s">
        <v>263</v>
      </c>
      <c r="H119" s="20">
        <v>826834.8</v>
      </c>
      <c r="I119" s="21">
        <v>4.3697912219455744E-3</v>
      </c>
      <c r="J119" s="22">
        <v>44012</v>
      </c>
      <c r="K119" s="18" t="s">
        <v>264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hidden="1" customHeight="1">
      <c r="A120" s="19">
        <f t="shared" si="1"/>
        <v>56</v>
      </c>
      <c r="B120" s="3" t="s">
        <v>259</v>
      </c>
      <c r="C120" s="3" t="s">
        <v>265</v>
      </c>
      <c r="D120" s="3" t="s">
        <v>366</v>
      </c>
      <c r="E120" s="3"/>
      <c r="F120" s="3" t="s">
        <v>365</v>
      </c>
      <c r="G120" s="3" t="s">
        <v>263</v>
      </c>
      <c r="H120" s="20">
        <v>12377239.720000001</v>
      </c>
      <c r="I120" s="21">
        <v>7.1661883522303564E-3</v>
      </c>
      <c r="J120" s="22">
        <v>44012</v>
      </c>
      <c r="K120" s="18" t="s">
        <v>264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hidden="1" customHeight="1">
      <c r="A121" s="19">
        <f t="shared" si="1"/>
        <v>57</v>
      </c>
      <c r="B121" s="3" t="s">
        <v>259</v>
      </c>
      <c r="C121" s="3" t="s">
        <v>266</v>
      </c>
      <c r="D121" s="3" t="s">
        <v>366</v>
      </c>
      <c r="E121" s="3"/>
      <c r="F121" s="3" t="s">
        <v>365</v>
      </c>
      <c r="G121" s="3" t="s">
        <v>263</v>
      </c>
      <c r="H121" s="20">
        <v>7497283.8899999997</v>
      </c>
      <c r="I121" s="21">
        <v>9.0343557196362004E-3</v>
      </c>
      <c r="J121" s="22">
        <v>44012</v>
      </c>
      <c r="K121" s="18" t="s">
        <v>264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hidden="1" customHeight="1">
      <c r="A122" s="19">
        <f t="shared" si="1"/>
        <v>58</v>
      </c>
      <c r="B122" s="3" t="s">
        <v>259</v>
      </c>
      <c r="C122" s="3" t="s">
        <v>267</v>
      </c>
      <c r="D122" s="3" t="s">
        <v>366</v>
      </c>
      <c r="E122" s="3"/>
      <c r="F122" s="3" t="s">
        <v>365</v>
      </c>
      <c r="G122" s="3" t="s">
        <v>263</v>
      </c>
      <c r="H122" s="20">
        <v>10815399.310000001</v>
      </c>
      <c r="I122" s="21">
        <v>9.4592972781005532E-3</v>
      </c>
      <c r="J122" s="22">
        <v>44012</v>
      </c>
      <c r="K122" s="18" t="s">
        <v>264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19">
        <f t="shared" si="1"/>
        <v>59</v>
      </c>
      <c r="B123" s="3" t="s">
        <v>288</v>
      </c>
      <c r="C123" s="3" t="s">
        <v>289</v>
      </c>
      <c r="D123" s="3" t="s">
        <v>367</v>
      </c>
      <c r="E123" s="3"/>
      <c r="F123" s="3"/>
      <c r="G123" s="3" t="s">
        <v>294</v>
      </c>
      <c r="H123" s="20">
        <v>7039772.7699999996</v>
      </c>
      <c r="I123" s="21">
        <v>5.710672602094913E-3</v>
      </c>
      <c r="J123" s="22">
        <v>44012</v>
      </c>
      <c r="K123" s="18" t="s">
        <v>270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19">
        <f t="shared" si="1"/>
        <v>60</v>
      </c>
      <c r="B124" s="3" t="s">
        <v>259</v>
      </c>
      <c r="C124" s="3" t="s">
        <v>265</v>
      </c>
      <c r="D124" s="3" t="s">
        <v>368</v>
      </c>
      <c r="E124" s="3"/>
      <c r="F124" s="3"/>
      <c r="G124" s="3" t="s">
        <v>294</v>
      </c>
      <c r="H124" s="20">
        <v>12.28</v>
      </c>
      <c r="I124" s="21">
        <v>7.1098883883771757E-9</v>
      </c>
      <c r="J124" s="22">
        <v>44012</v>
      </c>
      <c r="K124" s="18" t="s">
        <v>264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19">
        <f t="shared" si="1"/>
        <v>61</v>
      </c>
      <c r="B125" s="3" t="s">
        <v>259</v>
      </c>
      <c r="C125" s="3" t="s">
        <v>266</v>
      </c>
      <c r="D125" s="3" t="s">
        <v>368</v>
      </c>
      <c r="E125" s="3"/>
      <c r="F125" s="3"/>
      <c r="G125" s="3" t="s">
        <v>294</v>
      </c>
      <c r="H125" s="20">
        <v>15.01</v>
      </c>
      <c r="I125" s="21">
        <v>1.8087307529145648E-8</v>
      </c>
      <c r="J125" s="22">
        <v>44012</v>
      </c>
      <c r="K125" s="18" t="s">
        <v>264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19">
        <f t="shared" si="1"/>
        <v>62</v>
      </c>
      <c r="B126" s="3" t="s">
        <v>259</v>
      </c>
      <c r="C126" s="3" t="s">
        <v>267</v>
      </c>
      <c r="D126" s="3" t="s">
        <v>368</v>
      </c>
      <c r="E126" s="3"/>
      <c r="F126" s="3"/>
      <c r="G126" s="3" t="s">
        <v>294</v>
      </c>
      <c r="H126" s="20">
        <v>18.14</v>
      </c>
      <c r="I126" s="21">
        <v>1.5865493978210225E-8</v>
      </c>
      <c r="J126" s="22">
        <v>44012</v>
      </c>
      <c r="K126" s="18" t="s">
        <v>264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19">
        <f t="shared" si="1"/>
        <v>63</v>
      </c>
      <c r="B127" s="3" t="s">
        <v>301</v>
      </c>
      <c r="C127" s="3" t="s">
        <v>302</v>
      </c>
      <c r="D127" s="3" t="s">
        <v>369</v>
      </c>
      <c r="E127" s="3"/>
      <c r="F127" s="3" t="s">
        <v>370</v>
      </c>
      <c r="G127" s="3" t="s">
        <v>294</v>
      </c>
      <c r="H127" s="20">
        <v>5003915.01</v>
      </c>
      <c r="I127" s="21">
        <v>1.3816560091520914E-3</v>
      </c>
      <c r="J127" s="22">
        <v>44196</v>
      </c>
      <c r="K127" s="18" t="s">
        <v>264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19">
        <f t="shared" si="1"/>
        <v>64</v>
      </c>
      <c r="B128" s="3" t="s">
        <v>301</v>
      </c>
      <c r="C128" s="3" t="s">
        <v>302</v>
      </c>
      <c r="D128" s="3" t="s">
        <v>371</v>
      </c>
      <c r="E128" s="3"/>
      <c r="F128" s="3" t="s">
        <v>370</v>
      </c>
      <c r="G128" s="3" t="s">
        <v>294</v>
      </c>
      <c r="H128" s="20">
        <v>5385126.1200000001</v>
      </c>
      <c r="I128" s="21">
        <v>1.4869141160213045E-3</v>
      </c>
      <c r="J128" s="22">
        <v>44196</v>
      </c>
      <c r="K128" s="18" t="s">
        <v>264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19">
        <f t="shared" si="1"/>
        <v>65</v>
      </c>
      <c r="B129" s="3" t="s">
        <v>301</v>
      </c>
      <c r="C129" s="3" t="s">
        <v>302</v>
      </c>
      <c r="D129" s="3" t="s">
        <v>371</v>
      </c>
      <c r="E129" s="3"/>
      <c r="F129" s="3" t="s">
        <v>370</v>
      </c>
      <c r="G129" s="3" t="s">
        <v>294</v>
      </c>
      <c r="H129" s="20">
        <v>673140.89</v>
      </c>
      <c r="I129" s="21">
        <v>1.7192973718474583E-3</v>
      </c>
      <c r="J129" s="22">
        <v>44196</v>
      </c>
      <c r="K129" s="18" t="s">
        <v>264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19">
        <f t="shared" si="1"/>
        <v>66</v>
      </c>
      <c r="B130" s="3" t="s">
        <v>301</v>
      </c>
      <c r="C130" s="3" t="s">
        <v>305</v>
      </c>
      <c r="D130" s="3" t="s">
        <v>371</v>
      </c>
      <c r="E130" s="3"/>
      <c r="F130" s="3" t="s">
        <v>370</v>
      </c>
      <c r="G130" s="3" t="s">
        <v>294</v>
      </c>
      <c r="H130" s="20">
        <v>673140.89</v>
      </c>
      <c r="I130" s="21">
        <v>2.1113305085605862E-3</v>
      </c>
      <c r="J130" s="22">
        <v>44196</v>
      </c>
      <c r="K130" s="18" t="s">
        <v>264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19">
        <f t="shared" si="1"/>
        <v>67</v>
      </c>
      <c r="B131" s="3" t="s">
        <v>279</v>
      </c>
      <c r="C131" s="3" t="s">
        <v>280</v>
      </c>
      <c r="D131" s="3" t="s">
        <v>372</v>
      </c>
      <c r="E131" s="3"/>
      <c r="F131" s="3"/>
      <c r="G131" s="3" t="s">
        <v>294</v>
      </c>
      <c r="H131" s="20">
        <v>14051731.73</v>
      </c>
      <c r="I131" s="21">
        <v>2.3487166091174299E-3</v>
      </c>
      <c r="J131" s="22">
        <v>44012</v>
      </c>
      <c r="K131" s="18" t="s">
        <v>270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19">
        <f t="shared" si="1"/>
        <v>68</v>
      </c>
      <c r="B132" s="3" t="s">
        <v>273</v>
      </c>
      <c r="C132" s="3" t="s">
        <v>274</v>
      </c>
      <c r="D132" s="3" t="s">
        <v>372</v>
      </c>
      <c r="E132" s="3"/>
      <c r="F132" s="3"/>
      <c r="G132" s="3" t="s">
        <v>294</v>
      </c>
      <c r="H132" s="20">
        <v>14301955.640000001</v>
      </c>
      <c r="I132" s="21">
        <v>2.7847576156999733E-3</v>
      </c>
      <c r="J132" s="22">
        <v>44012</v>
      </c>
      <c r="K132" s="18" t="s">
        <v>264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19">
        <f t="shared" si="1"/>
        <v>69</v>
      </c>
      <c r="B133" s="3" t="s">
        <v>273</v>
      </c>
      <c r="C133" s="3" t="s">
        <v>278</v>
      </c>
      <c r="D133" s="3" t="s">
        <v>372</v>
      </c>
      <c r="E133" s="3"/>
      <c r="F133" s="3"/>
      <c r="G133" s="3" t="s">
        <v>294</v>
      </c>
      <c r="H133" s="20">
        <v>749130.33</v>
      </c>
      <c r="I133" s="21">
        <v>2.135385310331982E-3</v>
      </c>
      <c r="J133" s="22">
        <v>44012</v>
      </c>
      <c r="K133" s="18" t="s">
        <v>264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19">
        <f t="shared" si="1"/>
        <v>70</v>
      </c>
      <c r="B134" s="3" t="s">
        <v>273</v>
      </c>
      <c r="C134" s="3" t="s">
        <v>276</v>
      </c>
      <c r="D134" s="3" t="s">
        <v>372</v>
      </c>
      <c r="E134" s="3"/>
      <c r="F134" s="3"/>
      <c r="G134" s="3" t="s">
        <v>294</v>
      </c>
      <c r="H134" s="20">
        <v>31155064.039999999</v>
      </c>
      <c r="I134" s="21">
        <v>6.7843319225985854E-3</v>
      </c>
      <c r="J134" s="22">
        <v>44012</v>
      </c>
      <c r="K134" s="18" t="s">
        <v>264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19">
        <f t="shared" si="1"/>
        <v>71</v>
      </c>
      <c r="B135" s="3" t="s">
        <v>273</v>
      </c>
      <c r="C135" s="3" t="s">
        <v>278</v>
      </c>
      <c r="D135" s="3" t="s">
        <v>372</v>
      </c>
      <c r="E135" s="3"/>
      <c r="F135" s="3"/>
      <c r="G135" s="3" t="s">
        <v>294</v>
      </c>
      <c r="H135" s="20">
        <v>779448.66</v>
      </c>
      <c r="I135" s="21">
        <v>1.2702551207308904E-2</v>
      </c>
      <c r="J135" s="22">
        <v>44012</v>
      </c>
      <c r="K135" s="18" t="s">
        <v>264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19">
        <f t="shared" si="1"/>
        <v>72</v>
      </c>
      <c r="B136" s="3" t="s">
        <v>279</v>
      </c>
      <c r="C136" s="3" t="s">
        <v>280</v>
      </c>
      <c r="D136" s="3" t="s">
        <v>373</v>
      </c>
      <c r="E136" s="3"/>
      <c r="F136" s="3"/>
      <c r="G136" s="3" t="s">
        <v>294</v>
      </c>
      <c r="H136" s="20">
        <v>1545546.9</v>
      </c>
      <c r="I136" s="21">
        <v>2.5833482619440492E-4</v>
      </c>
      <c r="J136" s="22">
        <v>44012</v>
      </c>
      <c r="K136" s="18" t="s">
        <v>270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19">
        <f t="shared" si="1"/>
        <v>73</v>
      </c>
      <c r="B137" s="3" t="s">
        <v>273</v>
      </c>
      <c r="C137" s="3" t="s">
        <v>274</v>
      </c>
      <c r="D137" s="3" t="s">
        <v>373</v>
      </c>
      <c r="E137" s="3"/>
      <c r="F137" s="3"/>
      <c r="G137" s="3" t="s">
        <v>294</v>
      </c>
      <c r="H137" s="20">
        <v>1448783.53</v>
      </c>
      <c r="I137" s="21">
        <v>2.8209505540517752E-4</v>
      </c>
      <c r="J137" s="22">
        <v>44012</v>
      </c>
      <c r="K137" s="18" t="s">
        <v>264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19">
        <f t="shared" si="1"/>
        <v>74</v>
      </c>
      <c r="B138" s="3" t="s">
        <v>273</v>
      </c>
      <c r="C138" s="3" t="s">
        <v>278</v>
      </c>
      <c r="D138" s="3" t="s">
        <v>373</v>
      </c>
      <c r="E138" s="3"/>
      <c r="F138" s="3"/>
      <c r="G138" s="3" t="s">
        <v>294</v>
      </c>
      <c r="H138" s="20">
        <v>1662190.16</v>
      </c>
      <c r="I138" s="21">
        <v>4.7380493199926463E-3</v>
      </c>
      <c r="J138" s="22">
        <v>44012</v>
      </c>
      <c r="K138" s="18" t="s">
        <v>264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19">
        <f t="shared" si="1"/>
        <v>75</v>
      </c>
      <c r="B139" s="3" t="s">
        <v>273</v>
      </c>
      <c r="C139" s="3" t="s">
        <v>276</v>
      </c>
      <c r="D139" s="3" t="s">
        <v>373</v>
      </c>
      <c r="E139" s="3"/>
      <c r="F139" s="3"/>
      <c r="G139" s="3" t="s">
        <v>294</v>
      </c>
      <c r="H139" s="20">
        <v>3155998.03</v>
      </c>
      <c r="I139" s="21">
        <v>6.872506554663865E-4</v>
      </c>
      <c r="J139" s="22">
        <v>44012</v>
      </c>
      <c r="K139" s="18" t="s">
        <v>264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19">
        <f t="shared" si="1"/>
        <v>76</v>
      </c>
      <c r="B140" s="3" t="s">
        <v>273</v>
      </c>
      <c r="C140" s="3" t="s">
        <v>278</v>
      </c>
      <c r="D140" s="3" t="s">
        <v>373</v>
      </c>
      <c r="E140" s="3"/>
      <c r="F140" s="3"/>
      <c r="G140" s="3" t="s">
        <v>294</v>
      </c>
      <c r="H140" s="20">
        <v>78957.899999999994</v>
      </c>
      <c r="I140" s="21">
        <v>1.2867643751822931E-3</v>
      </c>
      <c r="J140" s="22">
        <v>44012</v>
      </c>
      <c r="K140" s="18" t="s">
        <v>264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19">
        <f t="shared" si="1"/>
        <v>77</v>
      </c>
      <c r="B141" s="3" t="s">
        <v>279</v>
      </c>
      <c r="C141" s="3" t="s">
        <v>280</v>
      </c>
      <c r="D141" s="3" t="s">
        <v>374</v>
      </c>
      <c r="E141" s="3"/>
      <c r="F141" s="3"/>
      <c r="G141" s="3" t="s">
        <v>294</v>
      </c>
      <c r="H141" s="20">
        <v>1674831</v>
      </c>
      <c r="I141" s="21">
        <v>2.7994438427588413E-4</v>
      </c>
      <c r="J141" s="22">
        <v>44012</v>
      </c>
      <c r="K141" s="18" t="s">
        <v>270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19">
        <f t="shared" si="1"/>
        <v>78</v>
      </c>
      <c r="B142" s="3" t="s">
        <v>279</v>
      </c>
      <c r="C142" s="3" t="s">
        <v>282</v>
      </c>
      <c r="D142" s="3" t="s">
        <v>374</v>
      </c>
      <c r="E142" s="3"/>
      <c r="F142" s="3"/>
      <c r="G142" s="3" t="s">
        <v>294</v>
      </c>
      <c r="H142" s="20">
        <v>1427852.96</v>
      </c>
      <c r="I142" s="21">
        <v>1.3665833182096814E-4</v>
      </c>
      <c r="J142" s="22">
        <v>44012</v>
      </c>
      <c r="K142" s="18" t="s">
        <v>270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19">
        <f t="shared" si="1"/>
        <v>79</v>
      </c>
      <c r="B143" s="3" t="s">
        <v>53</v>
      </c>
      <c r="C143" s="3" t="s">
        <v>268</v>
      </c>
      <c r="D143" s="3" t="s">
        <v>375</v>
      </c>
      <c r="E143" s="3"/>
      <c r="F143" s="3" t="s">
        <v>376</v>
      </c>
      <c r="G143" s="3" t="s">
        <v>294</v>
      </c>
      <c r="H143" s="20">
        <v>3334000</v>
      </c>
      <c r="I143" s="21">
        <v>3.6951818552605912E-3</v>
      </c>
      <c r="J143" s="22">
        <v>44196</v>
      </c>
      <c r="K143" s="18" t="s">
        <v>270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19">
        <f t="shared" si="1"/>
        <v>80</v>
      </c>
      <c r="B144" s="3" t="s">
        <v>53</v>
      </c>
      <c r="C144" s="3" t="s">
        <v>271</v>
      </c>
      <c r="D144" s="3" t="s">
        <v>375</v>
      </c>
      <c r="E144" s="3"/>
      <c r="F144" s="3" t="s">
        <v>376</v>
      </c>
      <c r="G144" s="3" t="s">
        <v>294</v>
      </c>
      <c r="H144" s="20">
        <v>2325000</v>
      </c>
      <c r="I144" s="21">
        <v>1.7066161655087367E-3</v>
      </c>
      <c r="J144" s="22">
        <v>44196</v>
      </c>
      <c r="K144" s="18" t="s">
        <v>270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19">
        <f t="shared" si="1"/>
        <v>81</v>
      </c>
      <c r="B145" s="3" t="s">
        <v>53</v>
      </c>
      <c r="C145" s="3" t="s">
        <v>272</v>
      </c>
      <c r="D145" s="3" t="s">
        <v>375</v>
      </c>
      <c r="E145" s="3"/>
      <c r="F145" s="3" t="s">
        <v>376</v>
      </c>
      <c r="G145" s="3" t="s">
        <v>294</v>
      </c>
      <c r="H145" s="20">
        <v>885000</v>
      </c>
      <c r="I145" s="21">
        <v>9.7815022397982243E-4</v>
      </c>
      <c r="J145" s="22">
        <v>44196</v>
      </c>
      <c r="K145" s="18" t="s">
        <v>270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19">
        <f t="shared" si="1"/>
        <v>82</v>
      </c>
      <c r="B146" s="3" t="s">
        <v>328</v>
      </c>
      <c r="C146" s="3" t="s">
        <v>329</v>
      </c>
      <c r="D146" s="3" t="s">
        <v>377</v>
      </c>
      <c r="E146" s="3"/>
      <c r="F146" s="3"/>
      <c r="G146" s="3" t="s">
        <v>294</v>
      </c>
      <c r="H146" s="20">
        <v>4180598.24</v>
      </c>
      <c r="I146" s="21">
        <v>1.7666030104391255E-3</v>
      </c>
      <c r="J146" s="22">
        <v>44012</v>
      </c>
      <c r="K146" s="18" t="s">
        <v>264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19">
        <f t="shared" si="1"/>
        <v>83</v>
      </c>
      <c r="B147" s="3" t="s">
        <v>328</v>
      </c>
      <c r="C147" s="3" t="s">
        <v>331</v>
      </c>
      <c r="D147" s="3" t="s">
        <v>377</v>
      </c>
      <c r="E147" s="3"/>
      <c r="F147" s="3"/>
      <c r="G147" s="3" t="s">
        <v>294</v>
      </c>
      <c r="H147" s="20">
        <v>2194261.87</v>
      </c>
      <c r="I147" s="21">
        <v>1.4520943755934202E-3</v>
      </c>
      <c r="J147" s="22">
        <v>44012</v>
      </c>
      <c r="K147" s="18" t="s">
        <v>264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hidden="1" customHeight="1">
      <c r="A148" s="19">
        <f t="shared" si="1"/>
        <v>84</v>
      </c>
      <c r="B148" s="3" t="s">
        <v>182</v>
      </c>
      <c r="C148" s="3" t="s">
        <v>329</v>
      </c>
      <c r="D148" s="3" t="s">
        <v>378</v>
      </c>
      <c r="E148" s="3"/>
      <c r="F148" s="3" t="s">
        <v>379</v>
      </c>
      <c r="G148" s="3" t="s">
        <v>263</v>
      </c>
      <c r="H148" s="20">
        <v>5411011.0700000003</v>
      </c>
      <c r="I148" s="21">
        <v>1.7094754911717584E-2</v>
      </c>
      <c r="J148" s="22">
        <v>44255</v>
      </c>
      <c r="K148" s="18" t="s">
        <v>264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hidden="1" customHeight="1">
      <c r="A149" s="19">
        <f t="shared" si="1"/>
        <v>85</v>
      </c>
      <c r="B149" s="3" t="s">
        <v>182</v>
      </c>
      <c r="C149" s="3" t="s">
        <v>329</v>
      </c>
      <c r="D149" s="3" t="s">
        <v>380</v>
      </c>
      <c r="E149" s="3"/>
      <c r="F149" s="3" t="s">
        <v>381</v>
      </c>
      <c r="G149" s="3" t="s">
        <v>263</v>
      </c>
      <c r="H149" s="20">
        <v>5043529.57</v>
      </c>
      <c r="I149" s="21">
        <v>1.5933787747573463E-2</v>
      </c>
      <c r="J149" s="22">
        <v>44255</v>
      </c>
      <c r="K149" s="18" t="s">
        <v>264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hidden="1" customHeight="1">
      <c r="A150" s="19">
        <f t="shared" si="1"/>
        <v>86</v>
      </c>
      <c r="B150" s="3" t="s">
        <v>309</v>
      </c>
      <c r="C150" s="3" t="s">
        <v>286</v>
      </c>
      <c r="D150" s="3" t="s">
        <v>382</v>
      </c>
      <c r="E150" s="3"/>
      <c r="F150" s="3" t="s">
        <v>365</v>
      </c>
      <c r="G150" s="3" t="s">
        <v>263</v>
      </c>
      <c r="H150" s="20">
        <v>8337782.2000000002</v>
      </c>
      <c r="I150" s="21">
        <v>3.4747326024721338E-2</v>
      </c>
      <c r="J150" s="22">
        <v>44135</v>
      </c>
      <c r="K150" s="18" t="s">
        <v>264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hidden="1" customHeight="1">
      <c r="A151" s="19">
        <f t="shared" si="1"/>
        <v>87</v>
      </c>
      <c r="B151" s="3" t="s">
        <v>295</v>
      </c>
      <c r="C151" s="3" t="s">
        <v>296</v>
      </c>
      <c r="D151" s="3" t="s">
        <v>383</v>
      </c>
      <c r="E151" s="3"/>
      <c r="F151" s="3" t="s">
        <v>384</v>
      </c>
      <c r="G151" s="3" t="s">
        <v>263</v>
      </c>
      <c r="H151" s="20">
        <v>20669518.760000002</v>
      </c>
      <c r="I151" s="21">
        <v>1.0525588859403827E-2</v>
      </c>
      <c r="J151" s="22">
        <v>44196</v>
      </c>
      <c r="K151" s="18" t="s">
        <v>270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hidden="1" customHeight="1">
      <c r="A152" s="19">
        <f t="shared" si="1"/>
        <v>88</v>
      </c>
      <c r="B152" s="3" t="s">
        <v>279</v>
      </c>
      <c r="C152" s="3" t="s">
        <v>280</v>
      </c>
      <c r="D152" s="3" t="s">
        <v>385</v>
      </c>
      <c r="E152" s="3"/>
      <c r="F152" s="3" t="s">
        <v>386</v>
      </c>
      <c r="G152" s="3" t="s">
        <v>263</v>
      </c>
      <c r="H152" s="20">
        <v>11618767.529999999</v>
      </c>
      <c r="I152" s="21">
        <v>1.9420518979111831E-3</v>
      </c>
      <c r="J152" s="22">
        <v>44012</v>
      </c>
      <c r="K152" s="18" t="s">
        <v>270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hidden="1" customHeight="1">
      <c r="A153" s="19">
        <f t="shared" si="1"/>
        <v>89</v>
      </c>
      <c r="B153" s="3" t="s">
        <v>279</v>
      </c>
      <c r="C153" s="3" t="s">
        <v>282</v>
      </c>
      <c r="D153" s="3" t="s">
        <v>385</v>
      </c>
      <c r="E153" s="3"/>
      <c r="F153" s="3" t="s">
        <v>386</v>
      </c>
      <c r="G153" s="3" t="s">
        <v>263</v>
      </c>
      <c r="H153" s="20">
        <v>18285822.77</v>
      </c>
      <c r="I153" s="21">
        <v>1.7501172079526137E-3</v>
      </c>
      <c r="J153" s="22">
        <v>44012</v>
      </c>
      <c r="K153" s="18" t="s">
        <v>270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hidden="1" customHeight="1">
      <c r="A154" s="19">
        <f t="shared" si="1"/>
        <v>90</v>
      </c>
      <c r="B154" s="3" t="s">
        <v>279</v>
      </c>
      <c r="C154" s="3" t="s">
        <v>283</v>
      </c>
      <c r="D154" s="3" t="s">
        <v>385</v>
      </c>
      <c r="E154" s="3"/>
      <c r="F154" s="3" t="s">
        <v>386</v>
      </c>
      <c r="G154" s="3" t="s">
        <v>263</v>
      </c>
      <c r="H154" s="20">
        <v>93642.48</v>
      </c>
      <c r="I154" s="21">
        <v>1.9543306865407234E-3</v>
      </c>
      <c r="J154" s="22">
        <v>44012</v>
      </c>
      <c r="K154" s="18" t="s">
        <v>270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19">
        <f t="shared" si="1"/>
        <v>91</v>
      </c>
      <c r="B155" s="3" t="s">
        <v>333</v>
      </c>
      <c r="C155" s="3" t="s">
        <v>304</v>
      </c>
      <c r="D155" s="3" t="s">
        <v>387</v>
      </c>
      <c r="E155" s="3"/>
      <c r="F155" s="3" t="s">
        <v>388</v>
      </c>
      <c r="G155" s="3" t="s">
        <v>294</v>
      </c>
      <c r="H155" s="20">
        <v>3859223.93</v>
      </c>
      <c r="I155" s="21">
        <v>2.5061359226708256E-3</v>
      </c>
      <c r="J155" s="22">
        <v>44253</v>
      </c>
      <c r="K155" s="18" t="s">
        <v>270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19">
        <f t="shared" si="1"/>
        <v>92</v>
      </c>
      <c r="B156" s="3" t="s">
        <v>288</v>
      </c>
      <c r="C156" s="3" t="s">
        <v>289</v>
      </c>
      <c r="D156" s="3" t="s">
        <v>389</v>
      </c>
      <c r="E156" s="3"/>
      <c r="F156" s="3" t="s">
        <v>388</v>
      </c>
      <c r="G156" s="3" t="s">
        <v>294</v>
      </c>
      <c r="H156" s="20">
        <v>2939715.55</v>
      </c>
      <c r="I156" s="21">
        <v>2.3847009836565191E-3</v>
      </c>
      <c r="J156" s="22">
        <v>44012</v>
      </c>
      <c r="K156" s="18" t="s">
        <v>270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19">
        <f t="shared" si="1"/>
        <v>93</v>
      </c>
      <c r="B157" s="3" t="s">
        <v>328</v>
      </c>
      <c r="C157" s="3" t="s">
        <v>390</v>
      </c>
      <c r="D157" s="3" t="s">
        <v>389</v>
      </c>
      <c r="E157" s="3"/>
      <c r="F157" s="3" t="s">
        <v>388</v>
      </c>
      <c r="G157" s="3" t="s">
        <v>294</v>
      </c>
      <c r="H157" s="20">
        <v>4409573.3600000003</v>
      </c>
      <c r="I157" s="21">
        <v>1.2369113871376067E-3</v>
      </c>
      <c r="J157" s="22">
        <v>44012</v>
      </c>
      <c r="K157" s="18" t="s">
        <v>264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19">
        <f t="shared" si="1"/>
        <v>94</v>
      </c>
      <c r="B158" s="3" t="s">
        <v>328</v>
      </c>
      <c r="C158" s="3" t="s">
        <v>329</v>
      </c>
      <c r="D158" s="3" t="s">
        <v>389</v>
      </c>
      <c r="E158" s="3"/>
      <c r="F158" s="3" t="s">
        <v>388</v>
      </c>
      <c r="G158" s="3" t="s">
        <v>294</v>
      </c>
      <c r="H158" s="20">
        <v>2351772.44</v>
      </c>
      <c r="I158" s="21">
        <v>9.9379276215065516E-4</v>
      </c>
      <c r="J158" s="22">
        <v>44012</v>
      </c>
      <c r="K158" s="18" t="s">
        <v>264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19">
        <f t="shared" si="1"/>
        <v>95</v>
      </c>
      <c r="B159" s="3" t="s">
        <v>328</v>
      </c>
      <c r="C159" s="3" t="s">
        <v>331</v>
      </c>
      <c r="D159" s="3" t="s">
        <v>389</v>
      </c>
      <c r="E159" s="3"/>
      <c r="F159" s="3" t="s">
        <v>388</v>
      </c>
      <c r="G159" s="3" t="s">
        <v>294</v>
      </c>
      <c r="H159" s="20">
        <v>2057800.89</v>
      </c>
      <c r="I159" s="21">
        <v>1.3617887360272702E-3</v>
      </c>
      <c r="J159" s="22">
        <v>44012</v>
      </c>
      <c r="K159" s="18" t="s">
        <v>264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19">
        <f t="shared" si="1"/>
        <v>96</v>
      </c>
      <c r="B160" s="3" t="s">
        <v>301</v>
      </c>
      <c r="C160" s="3" t="s">
        <v>302</v>
      </c>
      <c r="D160" s="3" t="s">
        <v>391</v>
      </c>
      <c r="E160" s="3"/>
      <c r="F160" s="3" t="s">
        <v>388</v>
      </c>
      <c r="G160" s="3" t="s">
        <v>294</v>
      </c>
      <c r="H160" s="20">
        <v>3589278.81</v>
      </c>
      <c r="I160" s="21">
        <v>9.9105373021888469E-4</v>
      </c>
      <c r="J160" s="22">
        <v>44196</v>
      </c>
      <c r="K160" s="18" t="s">
        <v>264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19">
        <f t="shared" si="1"/>
        <v>97</v>
      </c>
      <c r="B161" s="3" t="s">
        <v>301</v>
      </c>
      <c r="C161" s="3" t="s">
        <v>304</v>
      </c>
      <c r="D161" s="3" t="s">
        <v>391</v>
      </c>
      <c r="E161" s="3"/>
      <c r="F161" s="3" t="s">
        <v>388</v>
      </c>
      <c r="G161" s="3" t="s">
        <v>294</v>
      </c>
      <c r="H161" s="20">
        <v>1435711.5</v>
      </c>
      <c r="I161" s="21">
        <v>3.6670109413219154E-3</v>
      </c>
      <c r="J161" s="22">
        <v>44196</v>
      </c>
      <c r="K161" s="18" t="s">
        <v>264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19">
        <f t="shared" si="1"/>
        <v>98</v>
      </c>
      <c r="B162" s="3" t="s">
        <v>301</v>
      </c>
      <c r="C162" s="3" t="s">
        <v>305</v>
      </c>
      <c r="D162" s="3" t="s">
        <v>391</v>
      </c>
      <c r="E162" s="3"/>
      <c r="F162" s="3" t="s">
        <v>388</v>
      </c>
      <c r="G162" s="3" t="s">
        <v>294</v>
      </c>
      <c r="H162" s="20">
        <v>717855.71</v>
      </c>
      <c r="I162" s="21">
        <v>2.2515801428545229E-3</v>
      </c>
      <c r="J162" s="22">
        <v>44196</v>
      </c>
      <c r="K162" s="18" t="s">
        <v>264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hidden="1" customHeight="1">
      <c r="A163" s="19">
        <f t="shared" si="1"/>
        <v>99</v>
      </c>
      <c r="B163" s="3" t="s">
        <v>33</v>
      </c>
      <c r="C163" s="3" t="s">
        <v>286</v>
      </c>
      <c r="D163" s="3" t="s">
        <v>392</v>
      </c>
      <c r="E163" s="3"/>
      <c r="F163" s="3" t="s">
        <v>393</v>
      </c>
      <c r="G163" s="3" t="s">
        <v>263</v>
      </c>
      <c r="H163" s="20">
        <v>11215716.35</v>
      </c>
      <c r="I163" s="21">
        <v>9.1141778800062113E-3</v>
      </c>
      <c r="J163" s="22">
        <v>44012</v>
      </c>
      <c r="K163" s="18" t="s">
        <v>270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hidden="1" customHeight="1">
      <c r="A164" s="19">
        <f t="shared" si="1"/>
        <v>100</v>
      </c>
      <c r="B164" s="3" t="s">
        <v>279</v>
      </c>
      <c r="C164" s="3" t="s">
        <v>280</v>
      </c>
      <c r="D164" s="3" t="s">
        <v>394</v>
      </c>
      <c r="E164" s="3"/>
      <c r="F164" s="3" t="s">
        <v>393</v>
      </c>
      <c r="G164" s="3" t="s">
        <v>263</v>
      </c>
      <c r="H164" s="20">
        <v>7212483.1399999997</v>
      </c>
      <c r="I164" s="21">
        <v>1.2055509790107153E-3</v>
      </c>
      <c r="J164" s="22">
        <v>44012</v>
      </c>
      <c r="K164" s="18" t="s">
        <v>270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hidden="1" customHeight="1">
      <c r="A165" s="19">
        <f t="shared" si="1"/>
        <v>101</v>
      </c>
      <c r="B165" s="3" t="s">
        <v>279</v>
      </c>
      <c r="C165" s="3" t="s">
        <v>282</v>
      </c>
      <c r="D165" s="3" t="s">
        <v>394</v>
      </c>
      <c r="E165" s="3"/>
      <c r="F165" s="3" t="s">
        <v>393</v>
      </c>
      <c r="G165" s="3" t="s">
        <v>263</v>
      </c>
      <c r="H165" s="20">
        <v>9973980.0899999999</v>
      </c>
      <c r="I165" s="21">
        <v>9.5459933123292313E-4</v>
      </c>
      <c r="J165" s="22">
        <v>44012</v>
      </c>
      <c r="K165" s="18" t="s">
        <v>270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hidden="1" customHeight="1">
      <c r="A166" s="19">
        <f t="shared" si="1"/>
        <v>102</v>
      </c>
      <c r="B166" s="3" t="s">
        <v>279</v>
      </c>
      <c r="C166" s="3" t="s">
        <v>283</v>
      </c>
      <c r="D166" s="3" t="s">
        <v>394</v>
      </c>
      <c r="E166" s="3"/>
      <c r="F166" s="3" t="s">
        <v>393</v>
      </c>
      <c r="G166" s="3" t="s">
        <v>263</v>
      </c>
      <c r="H166" s="20">
        <v>42362.66</v>
      </c>
      <c r="I166" s="21">
        <v>8.8411420117761989E-4</v>
      </c>
      <c r="J166" s="22">
        <v>44012</v>
      </c>
      <c r="K166" s="18" t="s">
        <v>270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hidden="1" customHeight="1">
      <c r="A167" s="19">
        <f t="shared" si="1"/>
        <v>103</v>
      </c>
      <c r="B167" s="3" t="s">
        <v>259</v>
      </c>
      <c r="C167" s="3" t="s">
        <v>260</v>
      </c>
      <c r="D167" s="3" t="s">
        <v>395</v>
      </c>
      <c r="E167" s="3"/>
      <c r="F167" s="3" t="s">
        <v>396</v>
      </c>
      <c r="G167" s="3" t="s">
        <v>263</v>
      </c>
      <c r="H167" s="20">
        <v>452130.41</v>
      </c>
      <c r="I167" s="21">
        <v>2.3894924316110707E-3</v>
      </c>
      <c r="J167" s="22">
        <v>44012</v>
      </c>
      <c r="K167" s="18" t="s">
        <v>264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hidden="1" customHeight="1">
      <c r="A168" s="19">
        <f t="shared" si="1"/>
        <v>104</v>
      </c>
      <c r="B168" s="3" t="s">
        <v>259</v>
      </c>
      <c r="C168" s="3" t="s">
        <v>265</v>
      </c>
      <c r="D168" s="3" t="s">
        <v>395</v>
      </c>
      <c r="E168" s="3"/>
      <c r="F168" s="3" t="s">
        <v>396</v>
      </c>
      <c r="G168" s="3" t="s">
        <v>263</v>
      </c>
      <c r="H168" s="20">
        <v>4787920.4400000004</v>
      </c>
      <c r="I168" s="21">
        <v>2.7721156303607284E-3</v>
      </c>
      <c r="J168" s="22">
        <v>44012</v>
      </c>
      <c r="K168" s="18" t="s">
        <v>264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hidden="1" customHeight="1">
      <c r="A169" s="19">
        <f t="shared" si="1"/>
        <v>105</v>
      </c>
      <c r="B169" s="3" t="s">
        <v>259</v>
      </c>
      <c r="C169" s="3" t="s">
        <v>266</v>
      </c>
      <c r="D169" s="3" t="s">
        <v>395</v>
      </c>
      <c r="E169" s="3"/>
      <c r="F169" s="3" t="s">
        <v>396</v>
      </c>
      <c r="G169" s="3" t="s">
        <v>263</v>
      </c>
      <c r="H169" s="20">
        <v>2435569.7799999998</v>
      </c>
      <c r="I169" s="21">
        <v>2.9349033723886481E-3</v>
      </c>
      <c r="J169" s="22">
        <v>44012</v>
      </c>
      <c r="K169" s="18" t="s">
        <v>264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hidden="1" customHeight="1">
      <c r="A170" s="19">
        <f t="shared" si="1"/>
        <v>106</v>
      </c>
      <c r="B170" s="3" t="s">
        <v>259</v>
      </c>
      <c r="C170" s="3" t="s">
        <v>267</v>
      </c>
      <c r="D170" s="3" t="s">
        <v>395</v>
      </c>
      <c r="E170" s="3"/>
      <c r="F170" s="3" t="s">
        <v>396</v>
      </c>
      <c r="G170" s="3" t="s">
        <v>263</v>
      </c>
      <c r="H170" s="20">
        <v>3444948.44</v>
      </c>
      <c r="I170" s="21">
        <v>3.0129993787246256E-3</v>
      </c>
      <c r="J170" s="22">
        <v>44012</v>
      </c>
      <c r="K170" s="18" t="s">
        <v>264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19">
        <f t="shared" si="1"/>
        <v>107</v>
      </c>
      <c r="B171" s="3" t="s">
        <v>328</v>
      </c>
      <c r="C171" s="3" t="s">
        <v>390</v>
      </c>
      <c r="D171" s="3" t="s">
        <v>397</v>
      </c>
      <c r="E171" s="3"/>
      <c r="F171" s="3"/>
      <c r="G171" s="3" t="s">
        <v>294</v>
      </c>
      <c r="H171" s="20">
        <v>44165.84</v>
      </c>
      <c r="I171" s="21">
        <v>1.2388779130890248E-5</v>
      </c>
      <c r="J171" s="22">
        <v>44012</v>
      </c>
      <c r="K171" s="18" t="s">
        <v>264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19">
        <f t="shared" si="1"/>
        <v>108</v>
      </c>
      <c r="B172" s="3" t="s">
        <v>328</v>
      </c>
      <c r="C172" s="3" t="s">
        <v>329</v>
      </c>
      <c r="D172" s="3" t="s">
        <v>397</v>
      </c>
      <c r="E172" s="3"/>
      <c r="F172" s="3"/>
      <c r="G172" s="3" t="s">
        <v>294</v>
      </c>
      <c r="H172" s="20">
        <v>311983.64</v>
      </c>
      <c r="I172" s="21">
        <v>1.3183549482424228E-4</v>
      </c>
      <c r="J172" s="22">
        <v>44012</v>
      </c>
      <c r="K172" s="18" t="s">
        <v>264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19">
        <f t="shared" si="1"/>
        <v>109</v>
      </c>
      <c r="B173" s="3" t="s">
        <v>328</v>
      </c>
      <c r="C173" s="3" t="s">
        <v>331</v>
      </c>
      <c r="D173" s="3" t="s">
        <v>397</v>
      </c>
      <c r="E173" s="3"/>
      <c r="F173" s="3"/>
      <c r="G173" s="3" t="s">
        <v>294</v>
      </c>
      <c r="H173" s="20">
        <v>140342.71</v>
      </c>
      <c r="I173" s="21">
        <v>9.2874447955721188E-5</v>
      </c>
      <c r="J173" s="22">
        <v>44012</v>
      </c>
      <c r="K173" s="18" t="s">
        <v>264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19">
        <f t="shared" si="1"/>
        <v>110</v>
      </c>
      <c r="B174" s="3" t="s">
        <v>279</v>
      </c>
      <c r="C174" s="3" t="s">
        <v>280</v>
      </c>
      <c r="D174" s="3" t="s">
        <v>397</v>
      </c>
      <c r="E174" s="3"/>
      <c r="F174" s="3"/>
      <c r="G174" s="3" t="s">
        <v>294</v>
      </c>
      <c r="H174" s="20">
        <v>523829.68</v>
      </c>
      <c r="I174" s="21">
        <v>8.7556999621474287E-5</v>
      </c>
      <c r="J174" s="22">
        <v>44012</v>
      </c>
      <c r="K174" s="18" t="s">
        <v>270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19">
        <f t="shared" si="1"/>
        <v>111</v>
      </c>
      <c r="B175" s="3" t="s">
        <v>319</v>
      </c>
      <c r="C175" s="3" t="s">
        <v>320</v>
      </c>
      <c r="D175" s="3" t="s">
        <v>398</v>
      </c>
      <c r="E175" s="3"/>
      <c r="F175" s="3"/>
      <c r="G175" s="3" t="s">
        <v>294</v>
      </c>
      <c r="H175" s="20">
        <v>40663</v>
      </c>
      <c r="I175" s="21">
        <v>1.2665880769681071E-5</v>
      </c>
      <c r="J175" s="22">
        <v>44012</v>
      </c>
      <c r="K175" s="18" t="s">
        <v>264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19">
        <f t="shared" si="1"/>
        <v>112</v>
      </c>
      <c r="B176" s="3" t="s">
        <v>259</v>
      </c>
      <c r="C176" s="3" t="s">
        <v>265</v>
      </c>
      <c r="D176" s="3" t="s">
        <v>399</v>
      </c>
      <c r="E176" s="3"/>
      <c r="F176" s="3"/>
      <c r="G176" s="3" t="s">
        <v>294</v>
      </c>
      <c r="H176" s="20">
        <v>255356.13</v>
      </c>
      <c r="I176" s="21">
        <v>1.4784638302833329E-4</v>
      </c>
      <c r="J176" s="22">
        <v>44012</v>
      </c>
      <c r="K176" s="18" t="s">
        <v>264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19">
        <f t="shared" si="1"/>
        <v>113</v>
      </c>
      <c r="B177" s="3" t="s">
        <v>259</v>
      </c>
      <c r="C177" s="3" t="s">
        <v>266</v>
      </c>
      <c r="D177" s="3" t="s">
        <v>399</v>
      </c>
      <c r="E177" s="3"/>
      <c r="F177" s="3"/>
      <c r="G177" s="3" t="s">
        <v>294</v>
      </c>
      <c r="H177" s="20">
        <v>311454.51</v>
      </c>
      <c r="I177" s="21">
        <v>3.7530802822847233E-4</v>
      </c>
      <c r="J177" s="22">
        <v>44012</v>
      </c>
      <c r="K177" s="18" t="s">
        <v>264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19">
        <f t="shared" si="1"/>
        <v>114</v>
      </c>
      <c r="B178" s="3" t="s">
        <v>259</v>
      </c>
      <c r="C178" s="3" t="s">
        <v>267</v>
      </c>
      <c r="D178" s="3" t="s">
        <v>399</v>
      </c>
      <c r="E178" s="3"/>
      <c r="F178" s="3"/>
      <c r="G178" s="3" t="s">
        <v>294</v>
      </c>
      <c r="H178" s="20">
        <v>376738.85</v>
      </c>
      <c r="I178" s="21">
        <v>3.2950098985848098E-4</v>
      </c>
      <c r="J178" s="22">
        <v>44012</v>
      </c>
      <c r="K178" s="18" t="s">
        <v>264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hidden="1" customHeight="1">
      <c r="A179" s="19">
        <f t="shared" si="1"/>
        <v>115</v>
      </c>
      <c r="B179" s="3" t="s">
        <v>295</v>
      </c>
      <c r="C179" s="3" t="s">
        <v>296</v>
      </c>
      <c r="D179" s="3" t="s">
        <v>400</v>
      </c>
      <c r="E179" s="3"/>
      <c r="F179" s="3" t="s">
        <v>401</v>
      </c>
      <c r="G179" s="3" t="s">
        <v>263</v>
      </c>
      <c r="H179" s="20">
        <v>25413088.120000001</v>
      </c>
      <c r="I179" s="21">
        <v>1.2941168118367926E-2</v>
      </c>
      <c r="J179" s="22">
        <v>44196</v>
      </c>
      <c r="K179" s="18" t="s">
        <v>270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hidden="1" customHeight="1">
      <c r="A180" s="19">
        <f t="shared" si="1"/>
        <v>116</v>
      </c>
      <c r="B180" s="3" t="s">
        <v>301</v>
      </c>
      <c r="C180" s="3" t="s">
        <v>302</v>
      </c>
      <c r="D180" s="3" t="s">
        <v>402</v>
      </c>
      <c r="E180" s="3"/>
      <c r="F180" s="3" t="s">
        <v>401</v>
      </c>
      <c r="G180" s="3" t="s">
        <v>263</v>
      </c>
      <c r="H180" s="20">
        <v>51642471.219999999</v>
      </c>
      <c r="I180" s="21">
        <v>1.4259261107749497E-2</v>
      </c>
      <c r="J180" s="22">
        <v>44196</v>
      </c>
      <c r="K180" s="18" t="s">
        <v>264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hidden="1" customHeight="1">
      <c r="A181" s="19">
        <f t="shared" si="1"/>
        <v>117</v>
      </c>
      <c r="B181" s="3" t="s">
        <v>301</v>
      </c>
      <c r="C181" s="3" t="s">
        <v>304</v>
      </c>
      <c r="D181" s="3" t="s">
        <v>402</v>
      </c>
      <c r="E181" s="3"/>
      <c r="F181" s="3" t="s">
        <v>401</v>
      </c>
      <c r="G181" s="3" t="s">
        <v>263</v>
      </c>
      <c r="H181" s="20">
        <v>10382306.99</v>
      </c>
      <c r="I181" s="21">
        <v>2.6517885611763228E-2</v>
      </c>
      <c r="J181" s="22">
        <v>44196</v>
      </c>
      <c r="K181" s="18" t="s">
        <v>264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hidden="1" customHeight="1">
      <c r="A182" s="19">
        <f t="shared" si="1"/>
        <v>118</v>
      </c>
      <c r="B182" s="3" t="s">
        <v>301</v>
      </c>
      <c r="C182" s="3" t="s">
        <v>305</v>
      </c>
      <c r="D182" s="3" t="s">
        <v>402</v>
      </c>
      <c r="E182" s="3"/>
      <c r="F182" s="3" t="s">
        <v>401</v>
      </c>
      <c r="G182" s="3" t="s">
        <v>263</v>
      </c>
      <c r="H182" s="20">
        <v>4410502.84</v>
      </c>
      <c r="I182" s="21">
        <v>1.3833700110217803E-2</v>
      </c>
      <c r="J182" s="22">
        <v>44196</v>
      </c>
      <c r="K182" s="18" t="s">
        <v>264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hidden="1" customHeight="1">
      <c r="A183" s="19">
        <f t="shared" si="1"/>
        <v>119</v>
      </c>
      <c r="B183" s="3" t="s">
        <v>273</v>
      </c>
      <c r="C183" s="3" t="s">
        <v>274</v>
      </c>
      <c r="D183" s="3" t="s">
        <v>403</v>
      </c>
      <c r="E183" s="3"/>
      <c r="F183" s="3" t="s">
        <v>401</v>
      </c>
      <c r="G183" s="3" t="s">
        <v>263</v>
      </c>
      <c r="H183" s="20">
        <v>9897507.3599999994</v>
      </c>
      <c r="I183" s="21">
        <v>1.9271601514495073E-3</v>
      </c>
      <c r="J183" s="22">
        <v>44012</v>
      </c>
      <c r="K183" s="18" t="s">
        <v>264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hidden="1" customHeight="1">
      <c r="A184" s="19">
        <f t="shared" si="1"/>
        <v>120</v>
      </c>
      <c r="B184" s="3" t="s">
        <v>273</v>
      </c>
      <c r="C184" s="3" t="s">
        <v>278</v>
      </c>
      <c r="D184" s="3" t="s">
        <v>403</v>
      </c>
      <c r="E184" s="3"/>
      <c r="F184" s="3" t="s">
        <v>401</v>
      </c>
      <c r="G184" s="3" t="s">
        <v>263</v>
      </c>
      <c r="H184" s="20">
        <v>1163902.44</v>
      </c>
      <c r="I184" s="21">
        <v>3.317687288185957E-3</v>
      </c>
      <c r="J184" s="22">
        <v>44012</v>
      </c>
      <c r="K184" s="18" t="s">
        <v>264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hidden="1" customHeight="1">
      <c r="A185" s="19">
        <f t="shared" si="1"/>
        <v>121</v>
      </c>
      <c r="B185" s="3" t="s">
        <v>273</v>
      </c>
      <c r="C185" s="3" t="s">
        <v>276</v>
      </c>
      <c r="D185" s="3" t="s">
        <v>403</v>
      </c>
      <c r="E185" s="3"/>
      <c r="F185" s="3" t="s">
        <v>401</v>
      </c>
      <c r="G185" s="3" t="s">
        <v>263</v>
      </c>
      <c r="H185" s="20">
        <v>19781357.59</v>
      </c>
      <c r="I185" s="21">
        <v>4.3075917160006845E-3</v>
      </c>
      <c r="J185" s="22">
        <v>44012</v>
      </c>
      <c r="K185" s="18" t="s">
        <v>264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hidden="1" customHeight="1">
      <c r="A186" s="19">
        <f t="shared" si="1"/>
        <v>122</v>
      </c>
      <c r="B186" s="3" t="s">
        <v>273</v>
      </c>
      <c r="C186" s="3" t="s">
        <v>278</v>
      </c>
      <c r="D186" s="3" t="s">
        <v>403</v>
      </c>
      <c r="E186" s="3"/>
      <c r="F186" s="3" t="s">
        <v>401</v>
      </c>
      <c r="G186" s="3" t="s">
        <v>263</v>
      </c>
      <c r="H186" s="20">
        <v>275461.84000000003</v>
      </c>
      <c r="I186" s="21">
        <v>4.4891579238323827E-3</v>
      </c>
      <c r="J186" s="22">
        <v>44012</v>
      </c>
      <c r="K186" s="18" t="s">
        <v>264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hidden="1" customHeight="1">
      <c r="A187" s="19">
        <f t="shared" si="1"/>
        <v>123</v>
      </c>
      <c r="B187" s="3" t="s">
        <v>295</v>
      </c>
      <c r="C187" s="3" t="s">
        <v>296</v>
      </c>
      <c r="D187" s="3" t="s">
        <v>404</v>
      </c>
      <c r="E187" s="3"/>
      <c r="F187" s="3" t="s">
        <v>379</v>
      </c>
      <c r="G187" s="3" t="s">
        <v>263</v>
      </c>
      <c r="H187" s="20">
        <v>21210101.059999999</v>
      </c>
      <c r="I187" s="21">
        <v>1.0800870887037782E-2</v>
      </c>
      <c r="J187" s="22">
        <v>44196</v>
      </c>
      <c r="K187" s="18" t="s">
        <v>270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hidden="1" customHeight="1">
      <c r="A188" s="19">
        <f t="shared" si="1"/>
        <v>124</v>
      </c>
      <c r="B188" s="3" t="s">
        <v>273</v>
      </c>
      <c r="C188" s="3" t="s">
        <v>274</v>
      </c>
      <c r="D188" s="3" t="s">
        <v>405</v>
      </c>
      <c r="E188" s="3"/>
      <c r="F188" s="3" t="s">
        <v>379</v>
      </c>
      <c r="G188" s="3" t="s">
        <v>263</v>
      </c>
      <c r="H188" s="20">
        <v>13876127.32</v>
      </c>
      <c r="I188" s="21">
        <v>2.7018438739048181E-3</v>
      </c>
      <c r="J188" s="22">
        <v>44012</v>
      </c>
      <c r="K188" s="18" t="s">
        <v>264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hidden="1" customHeight="1">
      <c r="A189" s="19">
        <f t="shared" si="1"/>
        <v>125</v>
      </c>
      <c r="B189" s="3" t="s">
        <v>273</v>
      </c>
      <c r="C189" s="3" t="s">
        <v>276</v>
      </c>
      <c r="D189" s="3" t="s">
        <v>405</v>
      </c>
      <c r="E189" s="3"/>
      <c r="F189" s="3" t="s">
        <v>379</v>
      </c>
      <c r="G189" s="3" t="s">
        <v>263</v>
      </c>
      <c r="H189" s="20">
        <v>23887852.280000001</v>
      </c>
      <c r="I189" s="21">
        <v>5.2018226820991446E-3</v>
      </c>
      <c r="J189" s="22">
        <v>44012</v>
      </c>
      <c r="K189" s="18" t="s">
        <v>264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hidden="1" customHeight="1">
      <c r="A190" s="19">
        <f t="shared" si="1"/>
        <v>126</v>
      </c>
      <c r="B190" s="3" t="s">
        <v>322</v>
      </c>
      <c r="C190" s="3" t="s">
        <v>304</v>
      </c>
      <c r="D190" s="3" t="s">
        <v>406</v>
      </c>
      <c r="E190" s="3"/>
      <c r="F190" s="3" t="s">
        <v>360</v>
      </c>
      <c r="G190" s="3" t="s">
        <v>263</v>
      </c>
      <c r="H190" s="20">
        <v>12347682.32</v>
      </c>
      <c r="I190" s="21">
        <v>7.0025375711438931E-3</v>
      </c>
      <c r="J190" s="22">
        <v>44012</v>
      </c>
      <c r="K190" s="18" t="s">
        <v>264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hidden="1" customHeight="1">
      <c r="A191" s="19">
        <f t="shared" si="1"/>
        <v>127</v>
      </c>
      <c r="B191" s="3" t="s">
        <v>301</v>
      </c>
      <c r="C191" s="3" t="s">
        <v>302</v>
      </c>
      <c r="D191" s="3" t="s">
        <v>407</v>
      </c>
      <c r="E191" s="3"/>
      <c r="F191" s="3" t="s">
        <v>360</v>
      </c>
      <c r="G191" s="3" t="s">
        <v>263</v>
      </c>
      <c r="H191" s="20">
        <v>28000461.030000001</v>
      </c>
      <c r="I191" s="21">
        <v>7.7313473877583831E-3</v>
      </c>
      <c r="J191" s="22">
        <v>44196</v>
      </c>
      <c r="K191" s="18" t="s">
        <v>264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hidden="1" customHeight="1">
      <c r="A192" s="19">
        <f t="shared" si="1"/>
        <v>128</v>
      </c>
      <c r="B192" s="3" t="s">
        <v>301</v>
      </c>
      <c r="C192" s="3" t="s">
        <v>304</v>
      </c>
      <c r="D192" s="3" t="s">
        <v>407</v>
      </c>
      <c r="E192" s="3"/>
      <c r="F192" s="3" t="s">
        <v>360</v>
      </c>
      <c r="G192" s="3" t="s">
        <v>263</v>
      </c>
      <c r="H192" s="20">
        <v>1825314.52</v>
      </c>
      <c r="I192" s="21">
        <v>4.6621123507012098E-3</v>
      </c>
      <c r="J192" s="22">
        <v>44196</v>
      </c>
      <c r="K192" s="18" t="s">
        <v>264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hidden="1" customHeight="1">
      <c r="A193" s="19">
        <f t="shared" si="1"/>
        <v>129</v>
      </c>
      <c r="B193" s="3" t="s">
        <v>301</v>
      </c>
      <c r="C193" s="3" t="s">
        <v>305</v>
      </c>
      <c r="D193" s="3" t="s">
        <v>407</v>
      </c>
      <c r="E193" s="3"/>
      <c r="F193" s="3" t="s">
        <v>360</v>
      </c>
      <c r="G193" s="3" t="s">
        <v>263</v>
      </c>
      <c r="H193" s="20">
        <v>1225182.3400000001</v>
      </c>
      <c r="I193" s="21">
        <v>3.8428282866483556E-3</v>
      </c>
      <c r="J193" s="22">
        <v>44196</v>
      </c>
      <c r="K193" s="18" t="s">
        <v>264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hidden="1" customHeight="1">
      <c r="A194" s="19">
        <f t="shared" si="1"/>
        <v>130</v>
      </c>
      <c r="B194" s="3" t="s">
        <v>306</v>
      </c>
      <c r="C194" s="3" t="s">
        <v>307</v>
      </c>
      <c r="D194" s="3" t="s">
        <v>408</v>
      </c>
      <c r="E194" s="3"/>
      <c r="F194" s="3" t="s">
        <v>360</v>
      </c>
      <c r="G194" s="3" t="s">
        <v>263</v>
      </c>
      <c r="H194" s="20">
        <v>814743.34</v>
      </c>
      <c r="I194" s="21">
        <v>4.1118894545343959E-3</v>
      </c>
      <c r="J194" s="22">
        <v>44012</v>
      </c>
      <c r="K194" s="18" t="s">
        <v>264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hidden="1" customHeight="1">
      <c r="A195" s="19">
        <f t="shared" si="1"/>
        <v>131</v>
      </c>
      <c r="B195" s="3" t="s">
        <v>295</v>
      </c>
      <c r="C195" s="3" t="s">
        <v>296</v>
      </c>
      <c r="D195" s="3" t="s">
        <v>409</v>
      </c>
      <c r="E195" s="3"/>
      <c r="F195" s="3" t="s">
        <v>360</v>
      </c>
      <c r="G195" s="3" t="s">
        <v>263</v>
      </c>
      <c r="H195" s="20">
        <v>23999008.149999999</v>
      </c>
      <c r="I195" s="21">
        <v>1.2221072766784708E-2</v>
      </c>
      <c r="J195" s="22">
        <v>44196</v>
      </c>
      <c r="K195" s="18" t="s">
        <v>270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hidden="1" customHeight="1">
      <c r="A196" s="19">
        <f t="shared" si="1"/>
        <v>132</v>
      </c>
      <c r="B196" s="3" t="s">
        <v>306</v>
      </c>
      <c r="C196" s="3" t="s">
        <v>307</v>
      </c>
      <c r="D196" s="3" t="s">
        <v>410</v>
      </c>
      <c r="E196" s="3"/>
      <c r="F196" s="3" t="s">
        <v>360</v>
      </c>
      <c r="G196" s="3" t="s">
        <v>263</v>
      </c>
      <c r="H196" s="20">
        <v>475085.53</v>
      </c>
      <c r="I196" s="21">
        <v>2.3976865902443395E-3</v>
      </c>
      <c r="J196" s="22">
        <v>44012</v>
      </c>
      <c r="K196" s="18" t="s">
        <v>264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hidden="1" customHeight="1">
      <c r="A197" s="19">
        <f t="shared" si="1"/>
        <v>133</v>
      </c>
      <c r="B197" s="3" t="s">
        <v>273</v>
      </c>
      <c r="C197" s="3" t="s">
        <v>274</v>
      </c>
      <c r="D197" s="3" t="s">
        <v>411</v>
      </c>
      <c r="E197" s="3"/>
      <c r="F197" s="3" t="s">
        <v>360</v>
      </c>
      <c r="G197" s="3" t="s">
        <v>263</v>
      </c>
      <c r="H197" s="20">
        <v>17943717.390000001</v>
      </c>
      <c r="I197" s="21">
        <v>3.4938511147396168E-3</v>
      </c>
      <c r="J197" s="22">
        <v>44012</v>
      </c>
      <c r="K197" s="18" t="s">
        <v>264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hidden="1" customHeight="1">
      <c r="A198" s="19">
        <f t="shared" si="1"/>
        <v>134</v>
      </c>
      <c r="B198" s="3" t="s">
        <v>273</v>
      </c>
      <c r="C198" s="3" t="s">
        <v>278</v>
      </c>
      <c r="D198" s="3" t="s">
        <v>411</v>
      </c>
      <c r="E198" s="3"/>
      <c r="F198" s="3" t="s">
        <v>360</v>
      </c>
      <c r="G198" s="3" t="s">
        <v>263</v>
      </c>
      <c r="H198" s="20">
        <v>2112025.33</v>
      </c>
      <c r="I198" s="21">
        <v>6.0202980497813469E-3</v>
      </c>
      <c r="J198" s="22">
        <v>44012</v>
      </c>
      <c r="K198" s="18" t="s">
        <v>264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hidden="1" customHeight="1">
      <c r="A199" s="19">
        <f t="shared" si="1"/>
        <v>135</v>
      </c>
      <c r="B199" s="3" t="s">
        <v>273</v>
      </c>
      <c r="C199" s="3" t="s">
        <v>276</v>
      </c>
      <c r="D199" s="3" t="s">
        <v>411</v>
      </c>
      <c r="E199" s="3"/>
      <c r="F199" s="3" t="s">
        <v>360</v>
      </c>
      <c r="G199" s="3" t="s">
        <v>263</v>
      </c>
      <c r="H199" s="20">
        <v>35867210.600000001</v>
      </c>
      <c r="I199" s="21">
        <v>7.8104497405535218E-3</v>
      </c>
      <c r="J199" s="22">
        <v>44012</v>
      </c>
      <c r="K199" s="18" t="s">
        <v>264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hidden="1" customHeight="1">
      <c r="A200" s="19">
        <f t="shared" si="1"/>
        <v>136</v>
      </c>
      <c r="B200" s="3" t="s">
        <v>273</v>
      </c>
      <c r="C200" s="3" t="s">
        <v>278</v>
      </c>
      <c r="D200" s="3" t="s">
        <v>411</v>
      </c>
      <c r="E200" s="3"/>
      <c r="F200" s="3" t="s">
        <v>360</v>
      </c>
      <c r="G200" s="3" t="s">
        <v>263</v>
      </c>
      <c r="H200" s="20">
        <v>499854.93</v>
      </c>
      <c r="I200" s="21">
        <v>8.1460565273802736E-3</v>
      </c>
      <c r="J200" s="22">
        <v>44012</v>
      </c>
      <c r="K200" s="18" t="s">
        <v>264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hidden="1" customHeight="1">
      <c r="A201" s="19">
        <f t="shared" si="1"/>
        <v>137</v>
      </c>
      <c r="B201" s="3" t="s">
        <v>301</v>
      </c>
      <c r="C201" s="3" t="s">
        <v>302</v>
      </c>
      <c r="D201" s="3" t="s">
        <v>412</v>
      </c>
      <c r="E201" s="3"/>
      <c r="F201" s="3" t="s">
        <v>370</v>
      </c>
      <c r="G201" s="3" t="s">
        <v>263</v>
      </c>
      <c r="H201" s="20">
        <v>27868978.149999999</v>
      </c>
      <c r="I201" s="21">
        <v>7.6950429919224062E-3</v>
      </c>
      <c r="J201" s="22">
        <v>44196</v>
      </c>
      <c r="K201" s="18" t="s">
        <v>264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hidden="1" customHeight="1">
      <c r="A202" s="19">
        <f t="shared" si="1"/>
        <v>138</v>
      </c>
      <c r="B202" s="3" t="s">
        <v>301</v>
      </c>
      <c r="C202" s="3" t="s">
        <v>304</v>
      </c>
      <c r="D202" s="3" t="s">
        <v>412</v>
      </c>
      <c r="E202" s="3"/>
      <c r="F202" s="3" t="s">
        <v>370</v>
      </c>
      <c r="G202" s="3" t="s">
        <v>263</v>
      </c>
      <c r="H202" s="20">
        <v>2802672.71</v>
      </c>
      <c r="I202" s="21">
        <v>7.1584238842652883E-3</v>
      </c>
      <c r="J202" s="22">
        <v>44196</v>
      </c>
      <c r="K202" s="18" t="s">
        <v>264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hidden="1" customHeight="1">
      <c r="A203" s="19">
        <f t="shared" si="1"/>
        <v>139</v>
      </c>
      <c r="B203" s="3" t="s">
        <v>301</v>
      </c>
      <c r="C203" s="3" t="s">
        <v>305</v>
      </c>
      <c r="D203" s="3" t="s">
        <v>412</v>
      </c>
      <c r="E203" s="3"/>
      <c r="F203" s="3" t="s">
        <v>370</v>
      </c>
      <c r="G203" s="3" t="s">
        <v>263</v>
      </c>
      <c r="H203" s="20">
        <v>2261068.04</v>
      </c>
      <c r="I203" s="21">
        <v>7.0919208826896373E-3</v>
      </c>
      <c r="J203" s="22">
        <v>44196</v>
      </c>
      <c r="K203" s="18" t="s">
        <v>264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hidden="1" customHeight="1">
      <c r="A204" s="19">
        <f t="shared" si="1"/>
        <v>140</v>
      </c>
      <c r="B204" s="3" t="s">
        <v>273</v>
      </c>
      <c r="C204" s="3" t="s">
        <v>274</v>
      </c>
      <c r="D204" s="3" t="s">
        <v>412</v>
      </c>
      <c r="E204" s="3"/>
      <c r="F204" s="3" t="s">
        <v>370</v>
      </c>
      <c r="G204" s="3" t="s">
        <v>263</v>
      </c>
      <c r="H204" s="20">
        <v>7458916.7400000002</v>
      </c>
      <c r="I204" s="21">
        <v>1.45233810811813E-3</v>
      </c>
      <c r="J204" s="22">
        <v>44012</v>
      </c>
      <c r="K204" s="18" t="s">
        <v>264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hidden="1" customHeight="1">
      <c r="A205" s="19">
        <f t="shared" si="1"/>
        <v>141</v>
      </c>
      <c r="B205" s="3" t="s">
        <v>273</v>
      </c>
      <c r="C205" s="3" t="s">
        <v>278</v>
      </c>
      <c r="D205" s="3" t="s">
        <v>412</v>
      </c>
      <c r="E205" s="3"/>
      <c r="F205" s="3" t="s">
        <v>370</v>
      </c>
      <c r="G205" s="3" t="s">
        <v>263</v>
      </c>
      <c r="H205" s="20">
        <v>1423820.06</v>
      </c>
      <c r="I205" s="21">
        <v>4.0585787531523402E-3</v>
      </c>
      <c r="J205" s="22">
        <v>44012</v>
      </c>
      <c r="K205" s="18" t="s">
        <v>264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hidden="1" customHeight="1">
      <c r="A206" s="19">
        <f t="shared" si="1"/>
        <v>142</v>
      </c>
      <c r="B206" s="3" t="s">
        <v>273</v>
      </c>
      <c r="C206" s="3" t="s">
        <v>276</v>
      </c>
      <c r="D206" s="3" t="s">
        <v>412</v>
      </c>
      <c r="E206" s="3"/>
      <c r="F206" s="3" t="s">
        <v>370</v>
      </c>
      <c r="G206" s="3" t="s">
        <v>263</v>
      </c>
      <c r="H206" s="20">
        <v>16195800.49</v>
      </c>
      <c r="I206" s="21">
        <v>3.5268002060683556E-3</v>
      </c>
      <c r="J206" s="22">
        <v>44012</v>
      </c>
      <c r="K206" s="18" t="s">
        <v>264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hidden="1" customHeight="1">
      <c r="A207" s="19">
        <f t="shared" si="1"/>
        <v>143</v>
      </c>
      <c r="B207" s="3" t="s">
        <v>273</v>
      </c>
      <c r="C207" s="3" t="s">
        <v>278</v>
      </c>
      <c r="D207" s="3" t="s">
        <v>412</v>
      </c>
      <c r="E207" s="3"/>
      <c r="F207" s="3" t="s">
        <v>370</v>
      </c>
      <c r="G207" s="3" t="s">
        <v>263</v>
      </c>
      <c r="H207" s="20">
        <v>336976.77</v>
      </c>
      <c r="I207" s="21">
        <v>5.4916569830250981E-3</v>
      </c>
      <c r="J207" s="22">
        <v>44012</v>
      </c>
      <c r="K207" s="18" t="s">
        <v>264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hidden="1" customHeight="1">
      <c r="A208" s="19">
        <f t="shared" si="1"/>
        <v>144</v>
      </c>
      <c r="B208" s="3" t="s">
        <v>322</v>
      </c>
      <c r="C208" s="3" t="s">
        <v>304</v>
      </c>
      <c r="D208" s="3" t="s">
        <v>413</v>
      </c>
      <c r="E208" s="3"/>
      <c r="F208" s="3" t="s">
        <v>370</v>
      </c>
      <c r="G208" s="3" t="s">
        <v>263</v>
      </c>
      <c r="H208" s="20">
        <v>11221570.41</v>
      </c>
      <c r="I208" s="21">
        <v>6.3639042831530818E-3</v>
      </c>
      <c r="J208" s="22">
        <v>44012</v>
      </c>
      <c r="K208" s="18" t="s">
        <v>264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hidden="1" customHeight="1">
      <c r="A209" s="19">
        <f t="shared" si="1"/>
        <v>145</v>
      </c>
      <c r="B209" s="3" t="s">
        <v>295</v>
      </c>
      <c r="C209" s="3" t="s">
        <v>296</v>
      </c>
      <c r="D209" s="3" t="s">
        <v>414</v>
      </c>
      <c r="E209" s="3"/>
      <c r="F209" s="3" t="s">
        <v>370</v>
      </c>
      <c r="G209" s="3" t="s">
        <v>263</v>
      </c>
      <c r="H209" s="20">
        <v>21410638.07</v>
      </c>
      <c r="I209" s="21">
        <v>1.0902990832009069E-2</v>
      </c>
      <c r="J209" s="22">
        <v>44196</v>
      </c>
      <c r="K209" s="18" t="s">
        <v>270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hidden="1" customHeight="1">
      <c r="A210" s="19">
        <f t="shared" si="1"/>
        <v>146</v>
      </c>
      <c r="B210" s="3" t="s">
        <v>273</v>
      </c>
      <c r="C210" s="3" t="s">
        <v>274</v>
      </c>
      <c r="D210" s="3" t="s">
        <v>415</v>
      </c>
      <c r="E210" s="3"/>
      <c r="F210" s="3" t="s">
        <v>370</v>
      </c>
      <c r="G210" s="3" t="s">
        <v>263</v>
      </c>
      <c r="H210" s="20">
        <v>18149625.710000001</v>
      </c>
      <c r="I210" s="21">
        <v>3.5339438668561371E-3</v>
      </c>
      <c r="J210" s="22">
        <v>44012</v>
      </c>
      <c r="K210" s="18" t="s">
        <v>264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hidden="1" customHeight="1">
      <c r="A211" s="19">
        <f t="shared" si="1"/>
        <v>147</v>
      </c>
      <c r="B211" s="3" t="s">
        <v>273</v>
      </c>
      <c r="C211" s="3" t="s">
        <v>276</v>
      </c>
      <c r="D211" s="3" t="s">
        <v>415</v>
      </c>
      <c r="E211" s="3"/>
      <c r="F211" s="3" t="s">
        <v>370</v>
      </c>
      <c r="G211" s="3" t="s">
        <v>263</v>
      </c>
      <c r="H211" s="20">
        <v>31244710.280000001</v>
      </c>
      <c r="I211" s="21">
        <v>6.8038533027181087E-3</v>
      </c>
      <c r="J211" s="22">
        <v>44012</v>
      </c>
      <c r="K211" s="18" t="s">
        <v>264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19">
        <f t="shared" si="1"/>
        <v>148</v>
      </c>
      <c r="B212" s="3" t="s">
        <v>288</v>
      </c>
      <c r="C212" s="3" t="s">
        <v>289</v>
      </c>
      <c r="D212" s="3" t="s">
        <v>416</v>
      </c>
      <c r="E212" s="3"/>
      <c r="F212" s="3" t="s">
        <v>370</v>
      </c>
      <c r="G212" s="3" t="s">
        <v>294</v>
      </c>
      <c r="H212" s="20">
        <v>7181431.0099999998</v>
      </c>
      <c r="I212" s="21">
        <v>5.8255859460989105E-3</v>
      </c>
      <c r="J212" s="22">
        <v>44012</v>
      </c>
      <c r="K212" s="18" t="s">
        <v>270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19">
        <f t="shared" si="1"/>
        <v>149</v>
      </c>
      <c r="B213" s="3" t="s">
        <v>333</v>
      </c>
      <c r="C213" s="3" t="s">
        <v>304</v>
      </c>
      <c r="D213" s="3" t="s">
        <v>417</v>
      </c>
      <c r="E213" s="3"/>
      <c r="F213" s="3" t="s">
        <v>418</v>
      </c>
      <c r="G213" s="3" t="s">
        <v>294</v>
      </c>
      <c r="H213" s="20">
        <v>11969020.9</v>
      </c>
      <c r="I213" s="21">
        <v>7.7725454082909085E-3</v>
      </c>
      <c r="J213" s="22">
        <v>44253</v>
      </c>
      <c r="K213" s="18" t="s">
        <v>270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19">
        <f t="shared" si="1"/>
        <v>150</v>
      </c>
      <c r="B214" s="3" t="s">
        <v>288</v>
      </c>
      <c r="C214" s="3" t="s">
        <v>289</v>
      </c>
      <c r="D214" s="3" t="s">
        <v>419</v>
      </c>
      <c r="E214" s="3"/>
      <c r="F214" s="3" t="s">
        <v>418</v>
      </c>
      <c r="G214" s="3" t="s">
        <v>294</v>
      </c>
      <c r="H214" s="20">
        <v>6085601.0599999996</v>
      </c>
      <c r="I214" s="21">
        <v>4.9366473004244082E-3</v>
      </c>
      <c r="J214" s="22">
        <v>44012</v>
      </c>
      <c r="K214" s="18" t="s">
        <v>270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19">
        <f t="shared" si="1"/>
        <v>151</v>
      </c>
      <c r="B215" s="3" t="s">
        <v>328</v>
      </c>
      <c r="C215" s="3" t="s">
        <v>390</v>
      </c>
      <c r="D215" s="3" t="s">
        <v>419</v>
      </c>
      <c r="E215" s="3"/>
      <c r="F215" s="3" t="s">
        <v>418</v>
      </c>
      <c r="G215" s="3" t="s">
        <v>294</v>
      </c>
      <c r="H215" s="20">
        <v>9733317.75</v>
      </c>
      <c r="I215" s="21">
        <v>2.7302531507500736E-3</v>
      </c>
      <c r="J215" s="22">
        <v>44012</v>
      </c>
      <c r="K215" s="18" t="s">
        <v>264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19">
        <f t="shared" si="1"/>
        <v>152</v>
      </c>
      <c r="B216" s="3" t="s">
        <v>328</v>
      </c>
      <c r="C216" s="3" t="s">
        <v>329</v>
      </c>
      <c r="D216" s="3" t="s">
        <v>419</v>
      </c>
      <c r="E216" s="3"/>
      <c r="F216" s="3" t="s">
        <v>418</v>
      </c>
      <c r="G216" s="3" t="s">
        <v>294</v>
      </c>
      <c r="H216" s="20">
        <v>7299988.29</v>
      </c>
      <c r="I216" s="21">
        <v>3.0847693437493205E-3</v>
      </c>
      <c r="J216" s="22">
        <v>44012</v>
      </c>
      <c r="K216" s="18" t="s">
        <v>264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19">
        <f t="shared" si="1"/>
        <v>153</v>
      </c>
      <c r="B217" s="3" t="s">
        <v>328</v>
      </c>
      <c r="C217" s="3" t="s">
        <v>331</v>
      </c>
      <c r="D217" s="3" t="s">
        <v>419</v>
      </c>
      <c r="E217" s="3"/>
      <c r="F217" s="3" t="s">
        <v>418</v>
      </c>
      <c r="G217" s="3" t="s">
        <v>294</v>
      </c>
      <c r="H217" s="20">
        <v>7299988.29</v>
      </c>
      <c r="I217" s="21">
        <v>4.8309055918684986E-3</v>
      </c>
      <c r="J217" s="22">
        <v>44012</v>
      </c>
      <c r="K217" s="18" t="s">
        <v>264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19">
        <f t="shared" si="1"/>
        <v>154</v>
      </c>
      <c r="B218" s="3" t="s">
        <v>288</v>
      </c>
      <c r="C218" s="3" t="s">
        <v>289</v>
      </c>
      <c r="D218" s="3" t="s">
        <v>420</v>
      </c>
      <c r="E218" s="3"/>
      <c r="F218" s="3" t="s">
        <v>418</v>
      </c>
      <c r="G218" s="3" t="s">
        <v>294</v>
      </c>
      <c r="H218" s="20">
        <v>1040482.04</v>
      </c>
      <c r="I218" s="21">
        <v>8.4404035086487936E-4</v>
      </c>
      <c r="J218" s="22">
        <v>44012</v>
      </c>
      <c r="K218" s="18" t="s">
        <v>270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19">
        <f t="shared" si="1"/>
        <v>155</v>
      </c>
      <c r="B219" s="3" t="s">
        <v>322</v>
      </c>
      <c r="C219" s="3" t="s">
        <v>304</v>
      </c>
      <c r="D219" s="3" t="s">
        <v>420</v>
      </c>
      <c r="E219" s="3"/>
      <c r="F219" s="3" t="s">
        <v>418</v>
      </c>
      <c r="G219" s="3" t="s">
        <v>294</v>
      </c>
      <c r="H219" s="20">
        <v>867068.37</v>
      </c>
      <c r="I219" s="21">
        <f>H219/H212</f>
        <v>0.12073754782196258</v>
      </c>
      <c r="J219" s="22">
        <v>44012</v>
      </c>
      <c r="K219" s="18" t="s">
        <v>264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19">
        <f t="shared" si="1"/>
        <v>156</v>
      </c>
      <c r="B220" s="3" t="s">
        <v>301</v>
      </c>
      <c r="C220" s="3" t="s">
        <v>302</v>
      </c>
      <c r="D220" s="3" t="s">
        <v>421</v>
      </c>
      <c r="E220" s="3"/>
      <c r="F220" s="3" t="s">
        <v>418</v>
      </c>
      <c r="G220" s="3" t="s">
        <v>294</v>
      </c>
      <c r="H220" s="20">
        <v>2648768.81</v>
      </c>
      <c r="I220" s="21">
        <v>7.3136480853041794E-4</v>
      </c>
      <c r="J220" s="22">
        <v>44196</v>
      </c>
      <c r="K220" s="18" t="s">
        <v>264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19">
        <f t="shared" si="1"/>
        <v>157</v>
      </c>
      <c r="B221" s="3" t="s">
        <v>301</v>
      </c>
      <c r="C221" s="3" t="s">
        <v>304</v>
      </c>
      <c r="D221" s="3" t="s">
        <v>421</v>
      </c>
      <c r="E221" s="3"/>
      <c r="F221" s="3" t="s">
        <v>418</v>
      </c>
      <c r="G221" s="3" t="s">
        <v>294</v>
      </c>
      <c r="H221" s="20">
        <v>520293.86</v>
      </c>
      <c r="I221" s="21">
        <v>1.3289043636709832E-3</v>
      </c>
      <c r="J221" s="22">
        <v>44196</v>
      </c>
      <c r="K221" s="18" t="s">
        <v>264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19">
        <f t="shared" si="1"/>
        <v>158</v>
      </c>
      <c r="B222" s="3" t="s">
        <v>301</v>
      </c>
      <c r="C222" s="3" t="s">
        <v>305</v>
      </c>
      <c r="D222" s="3" t="s">
        <v>421</v>
      </c>
      <c r="E222" s="3"/>
      <c r="F222" s="3" t="s">
        <v>418</v>
      </c>
      <c r="G222" s="3" t="s">
        <v>294</v>
      </c>
      <c r="H222" s="20">
        <v>378395.55</v>
      </c>
      <c r="I222" s="21">
        <v>1.1868511939878779E-3</v>
      </c>
      <c r="J222" s="22">
        <v>44196</v>
      </c>
      <c r="K222" s="18" t="s">
        <v>264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19">
        <f t="shared" si="1"/>
        <v>159</v>
      </c>
      <c r="B223" s="3" t="s">
        <v>288</v>
      </c>
      <c r="C223" s="3" t="s">
        <v>289</v>
      </c>
      <c r="D223" s="3" t="s">
        <v>422</v>
      </c>
      <c r="E223" s="3"/>
      <c r="F223" s="3" t="s">
        <v>418</v>
      </c>
      <c r="G223" s="3" t="s">
        <v>294</v>
      </c>
      <c r="H223" s="20">
        <v>11270254.1</v>
      </c>
      <c r="I223" s="21">
        <v>9.142444424029025E-3</v>
      </c>
      <c r="J223" s="22">
        <v>44012</v>
      </c>
      <c r="K223" s="18" t="s">
        <v>270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19">
        <f t="shared" si="1"/>
        <v>160</v>
      </c>
      <c r="B224" s="3" t="s">
        <v>322</v>
      </c>
      <c r="C224" s="3" t="s">
        <v>304</v>
      </c>
      <c r="D224" s="3" t="s">
        <v>422</v>
      </c>
      <c r="E224" s="3"/>
      <c r="F224" s="3" t="s">
        <v>418</v>
      </c>
      <c r="G224" s="3" t="s">
        <v>294</v>
      </c>
      <c r="H224" s="20">
        <v>4570626.03</v>
      </c>
      <c r="I224" s="21">
        <f>H224/H216</f>
        <v>0.62611415915024715</v>
      </c>
      <c r="J224" s="22">
        <v>44012</v>
      </c>
      <c r="K224" s="18" t="s">
        <v>264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19">
        <f t="shared" si="1"/>
        <v>161</v>
      </c>
      <c r="B225" s="3" t="s">
        <v>279</v>
      </c>
      <c r="C225" s="3" t="s">
        <v>280</v>
      </c>
      <c r="D225" s="3" t="s">
        <v>422</v>
      </c>
      <c r="E225" s="3"/>
      <c r="F225" s="3" t="s">
        <v>418</v>
      </c>
      <c r="G225" s="3" t="s">
        <v>294</v>
      </c>
      <c r="H225" s="20">
        <v>6277905.9199999999</v>
      </c>
      <c r="I225" s="21">
        <v>1.0493384152289562E-3</v>
      </c>
      <c r="J225" s="22">
        <v>44012</v>
      </c>
      <c r="K225" s="18" t="s">
        <v>270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19">
        <f t="shared" si="1"/>
        <v>162</v>
      </c>
      <c r="B226" s="3" t="s">
        <v>279</v>
      </c>
      <c r="C226" s="3" t="s">
        <v>282</v>
      </c>
      <c r="D226" s="3" t="s">
        <v>422</v>
      </c>
      <c r="E226" s="3"/>
      <c r="F226" s="3" t="s">
        <v>418</v>
      </c>
      <c r="G226" s="3" t="s">
        <v>294</v>
      </c>
      <c r="H226" s="20">
        <v>31382071.670000002</v>
      </c>
      <c r="I226" s="21">
        <v>3.0035456616683168E-3</v>
      </c>
      <c r="J226" s="22">
        <v>44012</v>
      </c>
      <c r="K226" s="18" t="s">
        <v>270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19">
        <f t="shared" si="1"/>
        <v>163</v>
      </c>
      <c r="B227" s="3" t="s">
        <v>333</v>
      </c>
      <c r="C227" s="3" t="s">
        <v>304</v>
      </c>
      <c r="D227" s="3" t="s">
        <v>423</v>
      </c>
      <c r="E227" s="3"/>
      <c r="F227" s="3" t="s">
        <v>418</v>
      </c>
      <c r="G227" s="3" t="s">
        <v>294</v>
      </c>
      <c r="H227" s="20">
        <v>3906637.17</v>
      </c>
      <c r="I227" s="21">
        <v>2.5369255389588374E-3</v>
      </c>
      <c r="J227" s="22">
        <v>44253</v>
      </c>
      <c r="K227" s="18" t="s">
        <v>270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hidden="1" customHeight="1">
      <c r="A228" s="19">
        <f t="shared" si="1"/>
        <v>164</v>
      </c>
      <c r="B228" s="3" t="s">
        <v>295</v>
      </c>
      <c r="C228" s="3" t="s">
        <v>296</v>
      </c>
      <c r="D228" s="3" t="s">
        <v>424</v>
      </c>
      <c r="E228" s="3"/>
      <c r="F228" s="3" t="s">
        <v>354</v>
      </c>
      <c r="G228" s="3" t="s">
        <v>263</v>
      </c>
      <c r="H228" s="20">
        <v>28343523.23</v>
      </c>
      <c r="I228" s="21">
        <v>1.4433440652874763E-2</v>
      </c>
      <c r="J228" s="22">
        <v>44196</v>
      </c>
      <c r="K228" s="18" t="s">
        <v>270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19">
        <f t="shared" si="1"/>
        <v>165</v>
      </c>
      <c r="B229" s="3" t="s">
        <v>273</v>
      </c>
      <c r="C229" s="3" t="s">
        <v>274</v>
      </c>
      <c r="D229" s="3" t="s">
        <v>425</v>
      </c>
      <c r="E229" s="3"/>
      <c r="F229" s="3"/>
      <c r="G229" s="3" t="s">
        <v>294</v>
      </c>
      <c r="H229" s="20">
        <v>10819335.58</v>
      </c>
      <c r="I229" s="21">
        <v>2.1066508603167985E-3</v>
      </c>
      <c r="J229" s="22">
        <v>44012</v>
      </c>
      <c r="K229" s="18" t="s">
        <v>264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19">
        <f t="shared" si="1"/>
        <v>166</v>
      </c>
      <c r="B230" s="3" t="s">
        <v>273</v>
      </c>
      <c r="C230" s="3" t="s">
        <v>278</v>
      </c>
      <c r="D230" s="3" t="s">
        <v>425</v>
      </c>
      <c r="E230" s="3"/>
      <c r="F230" s="3"/>
      <c r="G230" s="3" t="s">
        <v>294</v>
      </c>
      <c r="H230" s="20">
        <v>9166611.2300000004</v>
      </c>
      <c r="I230" s="21">
        <v>2.6129294439415078E-2</v>
      </c>
      <c r="J230" s="22">
        <v>44012</v>
      </c>
      <c r="K230" s="18" t="s">
        <v>264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19">
        <f t="shared" si="1"/>
        <v>167</v>
      </c>
      <c r="B231" s="3" t="s">
        <v>273</v>
      </c>
      <c r="C231" s="3" t="s">
        <v>276</v>
      </c>
      <c r="D231" s="3" t="s">
        <v>425</v>
      </c>
      <c r="E231" s="3"/>
      <c r="F231" s="3"/>
      <c r="G231" s="3" t="s">
        <v>294</v>
      </c>
      <c r="H231" s="20">
        <v>23568601.489999998</v>
      </c>
      <c r="I231" s="21">
        <v>5.1323025770166758E-3</v>
      </c>
      <c r="J231" s="22">
        <v>44012</v>
      </c>
      <c r="K231" s="18" t="s">
        <v>264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19">
        <f t="shared" si="1"/>
        <v>168</v>
      </c>
      <c r="B232" s="3" t="s">
        <v>273</v>
      </c>
      <c r="C232" s="3" t="s">
        <v>278</v>
      </c>
      <c r="D232" s="3" t="s">
        <v>425</v>
      </c>
      <c r="E232" s="3"/>
      <c r="F232" s="3"/>
      <c r="G232" s="3" t="s">
        <v>294</v>
      </c>
      <c r="H232" s="20">
        <v>589647.80000000005</v>
      </c>
      <c r="I232" s="21">
        <v>9.6093966904466036E-3</v>
      </c>
      <c r="J232" s="22">
        <v>44012</v>
      </c>
      <c r="K232" s="18" t="s">
        <v>264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hidden="1" customHeight="1">
      <c r="A233" s="19">
        <f t="shared" si="1"/>
        <v>169</v>
      </c>
      <c r="B233" s="3" t="s">
        <v>53</v>
      </c>
      <c r="C233" s="3" t="s">
        <v>268</v>
      </c>
      <c r="D233" s="3" t="s">
        <v>426</v>
      </c>
      <c r="E233" s="3"/>
      <c r="F233" s="3" t="s">
        <v>312</v>
      </c>
      <c r="G233" s="3" t="s">
        <v>263</v>
      </c>
      <c r="H233" s="20">
        <v>10988000</v>
      </c>
      <c r="I233" s="21">
        <v>1.2178361795321949E-2</v>
      </c>
      <c r="J233" s="22">
        <v>44196</v>
      </c>
      <c r="K233" s="18" t="s">
        <v>270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hidden="1" customHeight="1">
      <c r="A234" s="19">
        <f t="shared" si="1"/>
        <v>170</v>
      </c>
      <c r="B234" s="3" t="s">
        <v>53</v>
      </c>
      <c r="C234" s="3" t="s">
        <v>271</v>
      </c>
      <c r="D234" s="3" t="s">
        <v>426</v>
      </c>
      <c r="E234" s="3"/>
      <c r="F234" s="3" t="s">
        <v>312</v>
      </c>
      <c r="G234" s="3" t="s">
        <v>263</v>
      </c>
      <c r="H234" s="20">
        <v>8341000</v>
      </c>
      <c r="I234" s="21">
        <v>6.1225313705412362E-3</v>
      </c>
      <c r="J234" s="22">
        <v>44196</v>
      </c>
      <c r="K234" s="18" t="s">
        <v>270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hidden="1" customHeight="1">
      <c r="A235" s="19">
        <f t="shared" si="1"/>
        <v>171</v>
      </c>
      <c r="B235" s="3" t="s">
        <v>53</v>
      </c>
      <c r="C235" s="3" t="s">
        <v>272</v>
      </c>
      <c r="D235" s="3" t="s">
        <v>426</v>
      </c>
      <c r="E235" s="3"/>
      <c r="F235" s="3" t="s">
        <v>312</v>
      </c>
      <c r="G235" s="3" t="s">
        <v>263</v>
      </c>
      <c r="H235" s="20">
        <v>3117000</v>
      </c>
      <c r="I235" s="21">
        <v>3.445078246491646E-3</v>
      </c>
      <c r="J235" s="22">
        <v>44196</v>
      </c>
      <c r="K235" s="18" t="s">
        <v>270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19">
        <f t="shared" si="1"/>
        <v>172</v>
      </c>
      <c r="B236" s="3" t="s">
        <v>279</v>
      </c>
      <c r="C236" s="3" t="s">
        <v>280</v>
      </c>
      <c r="D236" s="3" t="s">
        <v>427</v>
      </c>
      <c r="E236" s="3"/>
      <c r="F236" s="3"/>
      <c r="G236" s="3" t="s">
        <v>294</v>
      </c>
      <c r="H236" s="20">
        <v>60102138.329999998</v>
      </c>
      <c r="I236" s="21">
        <v>1.0045942610601226E-2</v>
      </c>
      <c r="J236" s="22">
        <v>44012</v>
      </c>
      <c r="K236" s="18" t="s">
        <v>270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hidden="1" customHeight="1">
      <c r="A237" s="19">
        <f t="shared" si="1"/>
        <v>173</v>
      </c>
      <c r="B237" s="3" t="s">
        <v>279</v>
      </c>
      <c r="C237" s="3" t="s">
        <v>280</v>
      </c>
      <c r="D237" s="3" t="s">
        <v>428</v>
      </c>
      <c r="E237" s="3"/>
      <c r="F237" s="3" t="s">
        <v>429</v>
      </c>
      <c r="G237" s="3" t="s">
        <v>263</v>
      </c>
      <c r="H237" s="20">
        <v>8149966.6299999999</v>
      </c>
      <c r="I237" s="21">
        <v>1.3622493195458839E-3</v>
      </c>
      <c r="J237" s="22">
        <v>44012</v>
      </c>
      <c r="K237" s="18" t="s">
        <v>270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hidden="1" customHeight="1">
      <c r="A238" s="19">
        <f t="shared" si="1"/>
        <v>174</v>
      </c>
      <c r="B238" s="3" t="s">
        <v>279</v>
      </c>
      <c r="C238" s="3" t="s">
        <v>282</v>
      </c>
      <c r="D238" s="3" t="s">
        <v>428</v>
      </c>
      <c r="E238" s="3"/>
      <c r="F238" s="3" t="s">
        <v>429</v>
      </c>
      <c r="G238" s="3" t="s">
        <v>263</v>
      </c>
      <c r="H238" s="20">
        <v>11270404.83</v>
      </c>
      <c r="I238" s="21">
        <v>1.0786788038838271E-3</v>
      </c>
      <c r="J238" s="22">
        <v>44012</v>
      </c>
      <c r="K238" s="18" t="s">
        <v>270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hidden="1" customHeight="1">
      <c r="A239" s="19">
        <f t="shared" si="1"/>
        <v>175</v>
      </c>
      <c r="B239" s="3" t="s">
        <v>279</v>
      </c>
      <c r="C239" s="3" t="s">
        <v>283</v>
      </c>
      <c r="D239" s="3" t="s">
        <v>428</v>
      </c>
      <c r="E239" s="3"/>
      <c r="F239" s="3" t="s">
        <v>429</v>
      </c>
      <c r="G239" s="3" t="s">
        <v>263</v>
      </c>
      <c r="H239" s="20">
        <v>47868.99</v>
      </c>
      <c r="I239" s="21">
        <v>9.9903202147904485E-4</v>
      </c>
      <c r="J239" s="22">
        <v>44012</v>
      </c>
      <c r="K239" s="18" t="s">
        <v>270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hidden="1" customHeight="1">
      <c r="A240" s="19">
        <f t="shared" si="1"/>
        <v>176</v>
      </c>
      <c r="B240" s="3" t="s">
        <v>273</v>
      </c>
      <c r="C240" s="3" t="s">
        <v>274</v>
      </c>
      <c r="D240" s="3" t="s">
        <v>430</v>
      </c>
      <c r="E240" s="3"/>
      <c r="F240" s="3" t="s">
        <v>429</v>
      </c>
      <c r="G240" s="3" t="s">
        <v>263</v>
      </c>
      <c r="H240" s="20">
        <v>5571215.7999999998</v>
      </c>
      <c r="I240" s="21">
        <v>1.0847807123920026E-3</v>
      </c>
      <c r="J240" s="22">
        <v>44012</v>
      </c>
      <c r="K240" s="18" t="s">
        <v>264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hidden="1" customHeight="1">
      <c r="A241" s="19">
        <f t="shared" si="1"/>
        <v>177</v>
      </c>
      <c r="B241" s="3" t="s">
        <v>273</v>
      </c>
      <c r="C241" s="3" t="s">
        <v>276</v>
      </c>
      <c r="D241" s="3" t="s">
        <v>430</v>
      </c>
      <c r="E241" s="3"/>
      <c r="F241" s="3" t="s">
        <v>429</v>
      </c>
      <c r="G241" s="3" t="s">
        <v>263</v>
      </c>
      <c r="H241" s="20">
        <v>9590887.8000000007</v>
      </c>
      <c r="I241" s="21">
        <v>2.0885133211108403E-3</v>
      </c>
      <c r="J241" s="22">
        <v>44012</v>
      </c>
      <c r="K241" s="18" t="s">
        <v>264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hidden="1" customHeight="1">
      <c r="A242" s="19">
        <f t="shared" si="1"/>
        <v>178</v>
      </c>
      <c r="B242" s="3" t="s">
        <v>259</v>
      </c>
      <c r="C242" s="3" t="s">
        <v>260</v>
      </c>
      <c r="D242" s="3" t="s">
        <v>431</v>
      </c>
      <c r="E242" s="3"/>
      <c r="F242" s="3" t="s">
        <v>432</v>
      </c>
      <c r="G242" s="3" t="s">
        <v>263</v>
      </c>
      <c r="H242" s="20">
        <v>1380930.44</v>
      </c>
      <c r="I242" s="21">
        <v>7.2981661086706055E-3</v>
      </c>
      <c r="J242" s="22">
        <v>44012</v>
      </c>
      <c r="K242" s="18" t="s">
        <v>264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hidden="1" customHeight="1">
      <c r="A243" s="19">
        <f t="shared" si="1"/>
        <v>179</v>
      </c>
      <c r="B243" s="3" t="s">
        <v>259</v>
      </c>
      <c r="C243" s="3" t="s">
        <v>265</v>
      </c>
      <c r="D243" s="3" t="s">
        <v>431</v>
      </c>
      <c r="E243" s="3"/>
      <c r="F243" s="3" t="s">
        <v>432</v>
      </c>
      <c r="G243" s="3" t="s">
        <v>263</v>
      </c>
      <c r="H243" s="20">
        <v>14623620.189999999</v>
      </c>
      <c r="I243" s="21">
        <v>8.4668002756448715E-3</v>
      </c>
      <c r="J243" s="22">
        <v>44012</v>
      </c>
      <c r="K243" s="18" t="s">
        <v>264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hidden="1" customHeight="1">
      <c r="A244" s="19">
        <f t="shared" si="1"/>
        <v>180</v>
      </c>
      <c r="B244" s="3" t="s">
        <v>259</v>
      </c>
      <c r="C244" s="3" t="s">
        <v>266</v>
      </c>
      <c r="D244" s="3" t="s">
        <v>431</v>
      </c>
      <c r="E244" s="3"/>
      <c r="F244" s="3" t="s">
        <v>432</v>
      </c>
      <c r="G244" s="3" t="s">
        <v>263</v>
      </c>
      <c r="H244" s="20">
        <v>7438898.2000000002</v>
      </c>
      <c r="I244" s="21">
        <v>8.9639999614529002E-3</v>
      </c>
      <c r="J244" s="22">
        <v>44012</v>
      </c>
      <c r="K244" s="18" t="s">
        <v>264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hidden="1" customHeight="1">
      <c r="A245" s="19">
        <f t="shared" si="1"/>
        <v>181</v>
      </c>
      <c r="B245" s="3" t="s">
        <v>259</v>
      </c>
      <c r="C245" s="3" t="s">
        <v>267</v>
      </c>
      <c r="D245" s="3" t="s">
        <v>431</v>
      </c>
      <c r="E245" s="3"/>
      <c r="F245" s="3" t="s">
        <v>432</v>
      </c>
      <c r="G245" s="3" t="s">
        <v>263</v>
      </c>
      <c r="H245" s="20">
        <v>10521816.67</v>
      </c>
      <c r="I245" s="21">
        <v>9.2025258554419495E-3</v>
      </c>
      <c r="J245" s="22">
        <v>44012</v>
      </c>
      <c r="K245" s="18" t="s">
        <v>264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19">
        <f t="shared" si="1"/>
        <v>182</v>
      </c>
      <c r="B246" s="3" t="s">
        <v>328</v>
      </c>
      <c r="C246" s="3" t="s">
        <v>329</v>
      </c>
      <c r="D246" s="3" t="s">
        <v>433</v>
      </c>
      <c r="E246" s="3"/>
      <c r="F246" s="3"/>
      <c r="G246" s="3" t="s">
        <v>294</v>
      </c>
      <c r="H246" s="20">
        <v>60059.21</v>
      </c>
      <c r="I246" s="21">
        <v>2.5379329727363521E-5</v>
      </c>
      <c r="J246" s="22">
        <v>44012</v>
      </c>
      <c r="K246" s="18" t="s">
        <v>264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19">
        <f t="shared" si="1"/>
        <v>183</v>
      </c>
      <c r="B247" s="3" t="s">
        <v>328</v>
      </c>
      <c r="C247" s="3" t="s">
        <v>331</v>
      </c>
      <c r="D247" s="3" t="s">
        <v>433</v>
      </c>
      <c r="E247" s="3"/>
      <c r="F247" s="3"/>
      <c r="G247" s="3" t="s">
        <v>294</v>
      </c>
      <c r="H247" s="20">
        <v>31370.7</v>
      </c>
      <c r="I247" s="21">
        <v>2.0760155226335181E-5</v>
      </c>
      <c r="J247" s="22">
        <v>44012</v>
      </c>
      <c r="K247" s="18" t="s">
        <v>264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19">
        <f t="shared" si="1"/>
        <v>184</v>
      </c>
      <c r="B248" s="3" t="s">
        <v>328</v>
      </c>
      <c r="C248" s="3" t="s">
        <v>329</v>
      </c>
      <c r="D248" s="3" t="s">
        <v>434</v>
      </c>
      <c r="E248" s="3"/>
      <c r="F248" s="3"/>
      <c r="G248" s="3" t="s">
        <v>294</v>
      </c>
      <c r="H248" s="20">
        <v>17246668.690000001</v>
      </c>
      <c r="I248" s="21">
        <v>7.2879561916000353E-3</v>
      </c>
      <c r="J248" s="22">
        <v>44012</v>
      </c>
      <c r="K248" s="18" t="s">
        <v>264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hidden="1" customHeight="1">
      <c r="A249" s="19">
        <f t="shared" si="1"/>
        <v>185</v>
      </c>
      <c r="B249" s="3" t="s">
        <v>322</v>
      </c>
      <c r="C249" s="3" t="s">
        <v>304</v>
      </c>
      <c r="D249" s="3" t="s">
        <v>435</v>
      </c>
      <c r="E249" s="3"/>
      <c r="F249" s="3" t="s">
        <v>436</v>
      </c>
      <c r="G249" s="3" t="s">
        <v>263</v>
      </c>
      <c r="H249" s="20">
        <v>5316466.2300000004</v>
      </c>
      <c r="I249" s="21">
        <v>3.0150398719759686E-3</v>
      </c>
      <c r="J249" s="22">
        <v>44012</v>
      </c>
      <c r="K249" s="18" t="s">
        <v>264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hidden="1" customHeight="1">
      <c r="A250" s="19">
        <f t="shared" si="1"/>
        <v>186</v>
      </c>
      <c r="B250" s="3" t="s">
        <v>306</v>
      </c>
      <c r="C250" s="3" t="s">
        <v>307</v>
      </c>
      <c r="D250" s="3" t="s">
        <v>437</v>
      </c>
      <c r="E250" s="3"/>
      <c r="F250" s="3" t="s">
        <v>438</v>
      </c>
      <c r="G250" s="3" t="s">
        <v>263</v>
      </c>
      <c r="H250" s="20">
        <v>1589887.89</v>
      </c>
      <c r="I250" s="21">
        <v>8.0239296571395623E-3</v>
      </c>
      <c r="J250" s="22">
        <v>44012</v>
      </c>
      <c r="K250" s="18" t="s">
        <v>264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hidden="1" customHeight="1">
      <c r="A251" s="19">
        <f t="shared" si="1"/>
        <v>187</v>
      </c>
      <c r="B251" s="3" t="s">
        <v>273</v>
      </c>
      <c r="C251" s="3" t="s">
        <v>274</v>
      </c>
      <c r="D251" s="3" t="s">
        <v>439</v>
      </c>
      <c r="E251" s="3"/>
      <c r="F251" s="3" t="s">
        <v>438</v>
      </c>
      <c r="G251" s="3" t="s">
        <v>263</v>
      </c>
      <c r="H251" s="20">
        <v>5587691.9000000004</v>
      </c>
      <c r="I251" s="21">
        <v>1.0879888012790713E-3</v>
      </c>
      <c r="J251" s="22">
        <v>44012</v>
      </c>
      <c r="K251" s="18" t="s">
        <v>264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hidden="1" customHeight="1">
      <c r="A252" s="19">
        <f t="shared" si="1"/>
        <v>188</v>
      </c>
      <c r="B252" s="3" t="s">
        <v>273</v>
      </c>
      <c r="C252" s="3" t="s">
        <v>276</v>
      </c>
      <c r="D252" s="3" t="s">
        <v>439</v>
      </c>
      <c r="E252" s="3"/>
      <c r="F252" s="3" t="s">
        <v>438</v>
      </c>
      <c r="G252" s="3" t="s">
        <v>263</v>
      </c>
      <c r="H252" s="20">
        <v>9619251.5199999996</v>
      </c>
      <c r="I252" s="21">
        <v>2.0946898094914321E-3</v>
      </c>
      <c r="J252" s="22">
        <v>44012</v>
      </c>
      <c r="K252" s="18" t="s">
        <v>264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hidden="1" customHeight="1">
      <c r="A253" s="19">
        <f t="shared" si="1"/>
        <v>189</v>
      </c>
      <c r="B253" s="3" t="s">
        <v>279</v>
      </c>
      <c r="C253" s="3" t="s">
        <v>280</v>
      </c>
      <c r="D253" s="3" t="s">
        <v>440</v>
      </c>
      <c r="E253" s="3"/>
      <c r="F253" s="3" t="s">
        <v>441</v>
      </c>
      <c r="G253" s="3" t="s">
        <v>263</v>
      </c>
      <c r="H253" s="20">
        <v>12988858.32</v>
      </c>
      <c r="I253" s="21">
        <v>2.1710596142769595E-3</v>
      </c>
      <c r="J253" s="22">
        <v>44012</v>
      </c>
      <c r="K253" s="18" t="s">
        <v>270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hidden="1" customHeight="1">
      <c r="A254" s="19">
        <f t="shared" si="1"/>
        <v>190</v>
      </c>
      <c r="B254" s="3" t="s">
        <v>279</v>
      </c>
      <c r="C254" s="3" t="s">
        <v>282</v>
      </c>
      <c r="D254" s="3" t="s">
        <v>440</v>
      </c>
      <c r="E254" s="3"/>
      <c r="F254" s="3" t="s">
        <v>441</v>
      </c>
      <c r="G254" s="3" t="s">
        <v>263</v>
      </c>
      <c r="H254" s="20">
        <v>21348471.41</v>
      </c>
      <c r="I254" s="21">
        <v>2.0432401455526849E-3</v>
      </c>
      <c r="J254" s="22">
        <v>44012</v>
      </c>
      <c r="K254" s="18" t="s">
        <v>270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hidden="1" customHeight="1">
      <c r="A255" s="19">
        <f t="shared" si="1"/>
        <v>191</v>
      </c>
      <c r="B255" s="3" t="s">
        <v>279</v>
      </c>
      <c r="C255" s="3" t="s">
        <v>283</v>
      </c>
      <c r="D255" s="3" t="s">
        <v>440</v>
      </c>
      <c r="E255" s="3"/>
      <c r="F255" s="3" t="s">
        <v>441</v>
      </c>
      <c r="G255" s="3" t="s">
        <v>263</v>
      </c>
      <c r="H255" s="20">
        <v>90602.74</v>
      </c>
      <c r="I255" s="21">
        <v>1.8908909190216948E-3</v>
      </c>
      <c r="J255" s="22">
        <v>44012</v>
      </c>
      <c r="K255" s="18" t="s">
        <v>270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19">
        <f t="shared" si="1"/>
        <v>192</v>
      </c>
      <c r="B256" s="3" t="s">
        <v>319</v>
      </c>
      <c r="C256" s="3" t="s">
        <v>320</v>
      </c>
      <c r="D256" s="3" t="s">
        <v>442</v>
      </c>
      <c r="E256" s="3"/>
      <c r="F256" s="3"/>
      <c r="G256" s="3" t="s">
        <v>294</v>
      </c>
      <c r="H256" s="20">
        <v>1199963</v>
      </c>
      <c r="I256" s="21">
        <v>3.7376947805200811E-4</v>
      </c>
      <c r="J256" s="22">
        <v>44012</v>
      </c>
      <c r="K256" s="18" t="s">
        <v>264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19">
        <f t="shared" si="1"/>
        <v>193</v>
      </c>
      <c r="B257" s="3" t="s">
        <v>328</v>
      </c>
      <c r="C257" s="3" t="s">
        <v>329</v>
      </c>
      <c r="D257" s="3" t="s">
        <v>443</v>
      </c>
      <c r="E257" s="3"/>
      <c r="F257" s="3"/>
      <c r="G257" s="3" t="s">
        <v>294</v>
      </c>
      <c r="H257" s="20">
        <v>484933.84</v>
      </c>
      <c r="I257" s="21">
        <v>2.049193757513052E-4</v>
      </c>
      <c r="J257" s="22">
        <v>44012</v>
      </c>
      <c r="K257" s="18" t="s">
        <v>264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19">
        <f t="shared" si="1"/>
        <v>194</v>
      </c>
      <c r="B258" s="3" t="s">
        <v>328</v>
      </c>
      <c r="C258" s="3" t="s">
        <v>331</v>
      </c>
      <c r="D258" s="3" t="s">
        <v>443</v>
      </c>
      <c r="E258" s="3"/>
      <c r="F258" s="3"/>
      <c r="G258" s="3" t="s">
        <v>294</v>
      </c>
      <c r="H258" s="20">
        <v>254691.41</v>
      </c>
      <c r="I258" s="21">
        <v>1.6854686718543663E-4</v>
      </c>
      <c r="J258" s="22">
        <v>44012</v>
      </c>
      <c r="K258" s="18" t="s">
        <v>264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19">
        <f t="shared" si="1"/>
        <v>195</v>
      </c>
      <c r="B259" s="3" t="s">
        <v>328</v>
      </c>
      <c r="C259" s="3" t="s">
        <v>329</v>
      </c>
      <c r="D259" s="3" t="s">
        <v>444</v>
      </c>
      <c r="E259" s="3"/>
      <c r="F259" s="3" t="s">
        <v>445</v>
      </c>
      <c r="G259" s="3" t="s">
        <v>294</v>
      </c>
      <c r="H259" s="20">
        <v>11860209.289999999</v>
      </c>
      <c r="I259" s="21">
        <v>5.0117902351104852E-3</v>
      </c>
      <c r="J259" s="22">
        <v>44012</v>
      </c>
      <c r="K259" s="18" t="s">
        <v>264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19">
        <f t="shared" si="1"/>
        <v>196</v>
      </c>
      <c r="B260" s="3" t="s">
        <v>328</v>
      </c>
      <c r="C260" s="3" t="s">
        <v>331</v>
      </c>
      <c r="D260" s="3" t="s">
        <v>444</v>
      </c>
      <c r="E260" s="3"/>
      <c r="F260" s="3" t="s">
        <v>445</v>
      </c>
      <c r="G260" s="3" t="s">
        <v>294</v>
      </c>
      <c r="H260" s="20">
        <v>6230409.0300000003</v>
      </c>
      <c r="I260" s="21">
        <v>4.1230912471306161E-3</v>
      </c>
      <c r="J260" s="22">
        <v>44012</v>
      </c>
      <c r="K260" s="18" t="s">
        <v>264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19">
        <f t="shared" si="1"/>
        <v>197</v>
      </c>
      <c r="B261" s="3" t="s">
        <v>301</v>
      </c>
      <c r="C261" s="3" t="s">
        <v>302</v>
      </c>
      <c r="D261" s="3" t="s">
        <v>446</v>
      </c>
      <c r="E261" s="3"/>
      <c r="F261" s="3" t="s">
        <v>447</v>
      </c>
      <c r="G261" s="3" t="s">
        <v>294</v>
      </c>
      <c r="H261" s="20">
        <v>13365740.689999999</v>
      </c>
      <c r="I261" s="21">
        <v>3.6904815337994962E-3</v>
      </c>
      <c r="J261" s="22">
        <v>44196</v>
      </c>
      <c r="K261" s="18" t="s">
        <v>264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19">
        <f t="shared" si="1"/>
        <v>198</v>
      </c>
      <c r="B262" s="3" t="s">
        <v>288</v>
      </c>
      <c r="C262" s="3" t="s">
        <v>289</v>
      </c>
      <c r="D262" s="3" t="s">
        <v>448</v>
      </c>
      <c r="E262" s="3"/>
      <c r="F262" s="3" t="s">
        <v>447</v>
      </c>
      <c r="G262" s="3" t="s">
        <v>294</v>
      </c>
      <c r="H262" s="20">
        <v>6091526.4400000004</v>
      </c>
      <c r="I262" s="21">
        <v>4.9414539761976958E-3</v>
      </c>
      <c r="J262" s="22">
        <v>44012</v>
      </c>
      <c r="K262" s="18" t="s">
        <v>270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19">
        <f t="shared" si="1"/>
        <v>199</v>
      </c>
      <c r="B263" s="3" t="s">
        <v>288</v>
      </c>
      <c r="C263" s="3" t="s">
        <v>289</v>
      </c>
      <c r="D263" s="3" t="s">
        <v>449</v>
      </c>
      <c r="E263" s="3"/>
      <c r="F263" s="3" t="s">
        <v>447</v>
      </c>
      <c r="G263" s="3" t="s">
        <v>294</v>
      </c>
      <c r="H263" s="20">
        <v>207365.49</v>
      </c>
      <c r="I263" s="21">
        <v>1.6821514856409016E-4</v>
      </c>
      <c r="J263" s="22">
        <v>44012</v>
      </c>
      <c r="K263" s="18" t="s">
        <v>270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19">
        <f t="shared" si="1"/>
        <v>200</v>
      </c>
      <c r="B264" s="3" t="s">
        <v>301</v>
      </c>
      <c r="C264" s="3" t="s">
        <v>302</v>
      </c>
      <c r="D264" s="3" t="s">
        <v>450</v>
      </c>
      <c r="E264" s="3"/>
      <c r="F264" s="3" t="s">
        <v>447</v>
      </c>
      <c r="G264" s="3" t="s">
        <v>294</v>
      </c>
      <c r="H264" s="20">
        <v>4607612.18</v>
      </c>
      <c r="I264" s="21">
        <v>1.2722308519663222E-3</v>
      </c>
      <c r="J264" s="22">
        <v>44196</v>
      </c>
      <c r="K264" s="18" t="s">
        <v>264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19">
        <f t="shared" si="1"/>
        <v>201</v>
      </c>
      <c r="B265" s="3" t="s">
        <v>301</v>
      </c>
      <c r="C265" s="3" t="s">
        <v>302</v>
      </c>
      <c r="D265" s="3" t="s">
        <v>451</v>
      </c>
      <c r="E265" s="3"/>
      <c r="F265" s="3" t="s">
        <v>447</v>
      </c>
      <c r="G265" s="3" t="s">
        <v>294</v>
      </c>
      <c r="H265" s="20">
        <v>35169.58</v>
      </c>
      <c r="I265" s="21">
        <v>9.7108486953209099E-6</v>
      </c>
      <c r="J265" s="22">
        <v>44196</v>
      </c>
      <c r="K265" s="18" t="s">
        <v>264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hidden="1" customHeight="1">
      <c r="A266" s="19">
        <f t="shared" si="1"/>
        <v>202</v>
      </c>
      <c r="B266" s="3" t="s">
        <v>259</v>
      </c>
      <c r="C266" s="3" t="s">
        <v>260</v>
      </c>
      <c r="D266" s="3" t="s">
        <v>452</v>
      </c>
      <c r="E266" s="3"/>
      <c r="F266" s="3" t="s">
        <v>453</v>
      </c>
      <c r="G266" s="3" t="s">
        <v>263</v>
      </c>
      <c r="H266" s="20">
        <v>650722.84</v>
      </c>
      <c r="I266" s="21">
        <v>3.4390460514621469E-3</v>
      </c>
      <c r="J266" s="22">
        <v>44012</v>
      </c>
      <c r="K266" s="18" t="s">
        <v>264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hidden="1" customHeight="1">
      <c r="A267" s="19">
        <f t="shared" si="1"/>
        <v>203</v>
      </c>
      <c r="B267" s="3" t="s">
        <v>259</v>
      </c>
      <c r="C267" s="3" t="s">
        <v>265</v>
      </c>
      <c r="D267" s="3" t="s">
        <v>452</v>
      </c>
      <c r="E267" s="3"/>
      <c r="F267" s="3" t="s">
        <v>453</v>
      </c>
      <c r="G267" s="3" t="s">
        <v>263</v>
      </c>
      <c r="H267" s="20">
        <v>6890953.25</v>
      </c>
      <c r="I267" s="21">
        <v>3.98973196229845E-3</v>
      </c>
      <c r="J267" s="22">
        <v>44012</v>
      </c>
      <c r="K267" s="18" t="s">
        <v>264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hidden="1" customHeight="1">
      <c r="A268" s="19">
        <f t="shared" si="1"/>
        <v>204</v>
      </c>
      <c r="B268" s="3" t="s">
        <v>259</v>
      </c>
      <c r="C268" s="3" t="s">
        <v>266</v>
      </c>
      <c r="D268" s="3" t="s">
        <v>452</v>
      </c>
      <c r="E268" s="3"/>
      <c r="F268" s="3" t="s">
        <v>453</v>
      </c>
      <c r="G268" s="3" t="s">
        <v>263</v>
      </c>
      <c r="H268" s="20">
        <v>3505362.98</v>
      </c>
      <c r="I268" s="21">
        <v>4.2240225330141528E-3</v>
      </c>
      <c r="J268" s="22">
        <v>44012</v>
      </c>
      <c r="K268" s="18" t="s">
        <v>264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hidden="1" customHeight="1">
      <c r="A269" s="19">
        <f t="shared" si="1"/>
        <v>205</v>
      </c>
      <c r="B269" s="3" t="s">
        <v>259</v>
      </c>
      <c r="C269" s="3" t="s">
        <v>267</v>
      </c>
      <c r="D269" s="3" t="s">
        <v>452</v>
      </c>
      <c r="E269" s="3"/>
      <c r="F269" s="3" t="s">
        <v>453</v>
      </c>
      <c r="G269" s="3" t="s">
        <v>263</v>
      </c>
      <c r="H269" s="20">
        <v>4958098.9800000004</v>
      </c>
      <c r="I269" s="21">
        <v>4.3364216929746568E-3</v>
      </c>
      <c r="J269" s="22">
        <v>44012</v>
      </c>
      <c r="K269" s="18" t="s">
        <v>264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hidden="1" customHeight="1">
      <c r="A270" s="19">
        <f t="shared" si="1"/>
        <v>206</v>
      </c>
      <c r="B270" s="3" t="s">
        <v>273</v>
      </c>
      <c r="C270" s="3" t="s">
        <v>274</v>
      </c>
      <c r="D270" s="3" t="s">
        <v>454</v>
      </c>
      <c r="E270" s="3"/>
      <c r="F270" s="3" t="s">
        <v>455</v>
      </c>
      <c r="G270" s="3" t="s">
        <v>263</v>
      </c>
      <c r="H270" s="20">
        <v>11727566.66</v>
      </c>
      <c r="I270" s="21">
        <v>2.2834940473961713E-3</v>
      </c>
      <c r="J270" s="22">
        <v>44012</v>
      </c>
      <c r="K270" s="18" t="s">
        <v>264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hidden="1" customHeight="1">
      <c r="A271" s="19">
        <f t="shared" si="1"/>
        <v>207</v>
      </c>
      <c r="B271" s="3" t="s">
        <v>273</v>
      </c>
      <c r="C271" s="3" t="s">
        <v>278</v>
      </c>
      <c r="D271" s="3" t="s">
        <v>454</v>
      </c>
      <c r="E271" s="3"/>
      <c r="F271" s="3" t="s">
        <v>455</v>
      </c>
      <c r="G271" s="3" t="s">
        <v>263</v>
      </c>
      <c r="H271" s="20">
        <v>1095718.32</v>
      </c>
      <c r="I271" s="21">
        <v>3.1233294275905743E-3</v>
      </c>
      <c r="J271" s="22">
        <v>44012</v>
      </c>
      <c r="K271" s="18" t="s">
        <v>264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hidden="1" customHeight="1">
      <c r="A272" s="19">
        <f t="shared" si="1"/>
        <v>208</v>
      </c>
      <c r="B272" s="3" t="s">
        <v>273</v>
      </c>
      <c r="C272" s="3" t="s">
        <v>276</v>
      </c>
      <c r="D272" s="3" t="s">
        <v>454</v>
      </c>
      <c r="E272" s="3"/>
      <c r="F272" s="3" t="s">
        <v>455</v>
      </c>
      <c r="G272" s="3" t="s">
        <v>263</v>
      </c>
      <c r="H272" s="20">
        <v>22771142.359999999</v>
      </c>
      <c r="I272" s="21">
        <v>4.9586477443486869E-3</v>
      </c>
      <c r="J272" s="22">
        <v>44012</v>
      </c>
      <c r="K272" s="18" t="s">
        <v>264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hidden="1" customHeight="1">
      <c r="A273" s="19">
        <f t="shared" si="1"/>
        <v>209</v>
      </c>
      <c r="B273" s="3" t="s">
        <v>273</v>
      </c>
      <c r="C273" s="3" t="s">
        <v>278</v>
      </c>
      <c r="D273" s="3" t="s">
        <v>454</v>
      </c>
      <c r="E273" s="3"/>
      <c r="F273" s="3" t="s">
        <v>455</v>
      </c>
      <c r="G273" s="3" t="s">
        <v>263</v>
      </c>
      <c r="H273" s="20">
        <v>259324.64</v>
      </c>
      <c r="I273" s="21">
        <v>4.2261725344642292E-3</v>
      </c>
      <c r="J273" s="22">
        <v>44012</v>
      </c>
      <c r="K273" s="18" t="s">
        <v>264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19">
        <f t="shared" si="1"/>
        <v>210</v>
      </c>
      <c r="B274" s="3" t="s">
        <v>288</v>
      </c>
      <c r="C274" s="3" t="s">
        <v>289</v>
      </c>
      <c r="D274" s="3" t="s">
        <v>456</v>
      </c>
      <c r="E274" s="3"/>
      <c r="F274" s="3" t="s">
        <v>457</v>
      </c>
      <c r="G274" s="3" t="s">
        <v>294</v>
      </c>
      <c r="H274" s="20">
        <v>2562022.31</v>
      </c>
      <c r="I274" s="21">
        <v>2.0783157482046001E-3</v>
      </c>
      <c r="J274" s="22">
        <v>44012</v>
      </c>
      <c r="K274" s="18" t="s">
        <v>270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19">
        <f t="shared" si="1"/>
        <v>211</v>
      </c>
      <c r="B275" s="3" t="s">
        <v>328</v>
      </c>
      <c r="C275" s="3" t="s">
        <v>390</v>
      </c>
      <c r="D275" s="3" t="s">
        <v>456</v>
      </c>
      <c r="E275" s="3"/>
      <c r="F275" s="3" t="s">
        <v>457</v>
      </c>
      <c r="G275" s="3" t="s">
        <v>294</v>
      </c>
      <c r="H275" s="20">
        <v>10248089.23</v>
      </c>
      <c r="I275" s="21">
        <v>2.8746495930820092E-3</v>
      </c>
      <c r="J275" s="22">
        <v>44012</v>
      </c>
      <c r="K275" s="18" t="s">
        <v>264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19">
        <f t="shared" si="1"/>
        <v>212</v>
      </c>
      <c r="B276" s="3" t="s">
        <v>333</v>
      </c>
      <c r="C276" s="3" t="s">
        <v>304</v>
      </c>
      <c r="D276" s="3" t="s">
        <v>458</v>
      </c>
      <c r="E276" s="3"/>
      <c r="F276" s="3" t="s">
        <v>457</v>
      </c>
      <c r="G276" s="3" t="s">
        <v>294</v>
      </c>
      <c r="H276" s="20">
        <v>5178892.55</v>
      </c>
      <c r="I276" s="21">
        <v>3.3631136452886043E-3</v>
      </c>
      <c r="J276" s="22">
        <v>44253</v>
      </c>
      <c r="K276" s="18" t="s">
        <v>270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19">
        <f t="shared" si="1"/>
        <v>213</v>
      </c>
      <c r="B277" s="3" t="s">
        <v>288</v>
      </c>
      <c r="C277" s="3" t="s">
        <v>289</v>
      </c>
      <c r="D277" s="3" t="s">
        <v>459</v>
      </c>
      <c r="E277" s="3"/>
      <c r="F277" s="3" t="s">
        <v>457</v>
      </c>
      <c r="G277" s="3" t="s">
        <v>294</v>
      </c>
      <c r="H277" s="20">
        <v>6969703.5999999996</v>
      </c>
      <c r="I277" s="21">
        <v>5.6538324024970315E-3</v>
      </c>
      <c r="J277" s="22">
        <v>44012</v>
      </c>
      <c r="K277" s="18" t="s">
        <v>270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hidden="1" customHeight="1">
      <c r="A278" s="19">
        <f t="shared" si="1"/>
        <v>214</v>
      </c>
      <c r="B278" s="3" t="s">
        <v>273</v>
      </c>
      <c r="C278" s="3" t="s">
        <v>274</v>
      </c>
      <c r="D278" s="3" t="s">
        <v>460</v>
      </c>
      <c r="E278" s="3"/>
      <c r="F278" s="3" t="s">
        <v>356</v>
      </c>
      <c r="G278" s="3" t="s">
        <v>263</v>
      </c>
      <c r="H278" s="20">
        <v>5282472.88</v>
      </c>
      <c r="I278" s="21">
        <v>1.0285590972724183E-3</v>
      </c>
      <c r="J278" s="22">
        <v>44012</v>
      </c>
      <c r="K278" s="18" t="s">
        <v>264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hidden="1" customHeight="1">
      <c r="A279" s="19">
        <f t="shared" si="1"/>
        <v>215</v>
      </c>
      <c r="B279" s="3" t="s">
        <v>273</v>
      </c>
      <c r="C279" s="3" t="s">
        <v>278</v>
      </c>
      <c r="D279" s="3" t="s">
        <v>460</v>
      </c>
      <c r="E279" s="3"/>
      <c r="F279" s="3" t="s">
        <v>356</v>
      </c>
      <c r="G279" s="3" t="s">
        <v>263</v>
      </c>
      <c r="H279" s="20">
        <v>1008362.36</v>
      </c>
      <c r="I279" s="21">
        <v>2.8743225107915331E-3</v>
      </c>
      <c r="J279" s="22">
        <v>44012</v>
      </c>
      <c r="K279" s="18" t="s">
        <v>264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hidden="1" customHeight="1">
      <c r="A280" s="19">
        <f t="shared" si="1"/>
        <v>216</v>
      </c>
      <c r="B280" s="3" t="s">
        <v>273</v>
      </c>
      <c r="C280" s="3" t="s">
        <v>276</v>
      </c>
      <c r="D280" s="3" t="s">
        <v>460</v>
      </c>
      <c r="E280" s="3"/>
      <c r="F280" s="3" t="s">
        <v>356</v>
      </c>
      <c r="G280" s="3" t="s">
        <v>263</v>
      </c>
      <c r="H280" s="20">
        <v>11470013.65</v>
      </c>
      <c r="I280" s="21">
        <v>2.497712078473921E-3</v>
      </c>
      <c r="J280" s="22">
        <v>44012</v>
      </c>
      <c r="K280" s="18" t="s">
        <v>264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hidden="1" customHeight="1">
      <c r="A281" s="19">
        <f t="shared" si="1"/>
        <v>217</v>
      </c>
      <c r="B281" s="3" t="s">
        <v>273</v>
      </c>
      <c r="C281" s="3" t="s">
        <v>278</v>
      </c>
      <c r="D281" s="3" t="s">
        <v>460</v>
      </c>
      <c r="E281" s="3"/>
      <c r="F281" s="3" t="s">
        <v>356</v>
      </c>
      <c r="G281" s="3" t="s">
        <v>263</v>
      </c>
      <c r="H281" s="20">
        <v>238650.03</v>
      </c>
      <c r="I281" s="21">
        <v>3.8892416938670548E-3</v>
      </c>
      <c r="J281" s="22">
        <v>44012</v>
      </c>
      <c r="K281" s="18" t="s">
        <v>264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hidden="1" customHeight="1">
      <c r="A282" s="19">
        <f t="shared" si="1"/>
        <v>218</v>
      </c>
      <c r="B282" s="3" t="s">
        <v>273</v>
      </c>
      <c r="C282" s="3" t="s">
        <v>274</v>
      </c>
      <c r="D282" s="3" t="s">
        <v>461</v>
      </c>
      <c r="E282" s="3"/>
      <c r="F282" s="3" t="s">
        <v>356</v>
      </c>
      <c r="G282" s="3" t="s">
        <v>263</v>
      </c>
      <c r="H282" s="20">
        <v>26404750.800000001</v>
      </c>
      <c r="I282" s="21">
        <v>5.1413130296186519E-3</v>
      </c>
      <c r="J282" s="22">
        <v>44012</v>
      </c>
      <c r="K282" s="18" t="s">
        <v>264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hidden="1" customHeight="1">
      <c r="A283" s="19">
        <f t="shared" si="1"/>
        <v>219</v>
      </c>
      <c r="B283" s="3" t="s">
        <v>273</v>
      </c>
      <c r="C283" s="3" t="s">
        <v>278</v>
      </c>
      <c r="D283" s="3" t="s">
        <v>461</v>
      </c>
      <c r="E283" s="3"/>
      <c r="F283" s="3" t="s">
        <v>356</v>
      </c>
      <c r="G283" s="3" t="s">
        <v>263</v>
      </c>
      <c r="H283" s="20">
        <v>2270870.81</v>
      </c>
      <c r="I283" s="21">
        <v>6.4730848226845781E-3</v>
      </c>
      <c r="J283" s="22">
        <v>44012</v>
      </c>
      <c r="K283" s="18" t="s">
        <v>264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hidden="1" customHeight="1">
      <c r="A284" s="19">
        <f t="shared" si="1"/>
        <v>220</v>
      </c>
      <c r="B284" s="3" t="s">
        <v>273</v>
      </c>
      <c r="C284" s="3" t="s">
        <v>276</v>
      </c>
      <c r="D284" s="3" t="s">
        <v>461</v>
      </c>
      <c r="E284" s="3"/>
      <c r="F284" s="3" t="s">
        <v>356</v>
      </c>
      <c r="G284" s="3" t="s">
        <v>263</v>
      </c>
      <c r="H284" s="20">
        <v>50807258.329999998</v>
      </c>
      <c r="I284" s="21">
        <v>1.1063797016927328E-2</v>
      </c>
      <c r="J284" s="22">
        <v>44012</v>
      </c>
      <c r="K284" s="18" t="s">
        <v>264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hidden="1" customHeight="1">
      <c r="A285" s="19">
        <f t="shared" si="1"/>
        <v>221</v>
      </c>
      <c r="B285" s="3" t="s">
        <v>273</v>
      </c>
      <c r="C285" s="3" t="s">
        <v>278</v>
      </c>
      <c r="D285" s="3" t="s">
        <v>461</v>
      </c>
      <c r="E285" s="3"/>
      <c r="F285" s="3" t="s">
        <v>356</v>
      </c>
      <c r="G285" s="3" t="s">
        <v>263</v>
      </c>
      <c r="H285" s="20">
        <v>537449.04</v>
      </c>
      <c r="I285" s="21">
        <v>8.7587217763887264E-3</v>
      </c>
      <c r="J285" s="22">
        <v>44012</v>
      </c>
      <c r="K285" s="18" t="s">
        <v>264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hidden="1" customHeight="1">
      <c r="A286" s="19">
        <f t="shared" si="1"/>
        <v>222</v>
      </c>
      <c r="B286" s="3" t="s">
        <v>301</v>
      </c>
      <c r="C286" s="3" t="s">
        <v>302</v>
      </c>
      <c r="D286" s="3" t="s">
        <v>462</v>
      </c>
      <c r="E286" s="3"/>
      <c r="F286" s="3" t="s">
        <v>356</v>
      </c>
      <c r="G286" s="3" t="s">
        <v>263</v>
      </c>
      <c r="H286" s="20">
        <v>27256694.93</v>
      </c>
      <c r="I286" s="21">
        <v>7.5259824086540278E-3</v>
      </c>
      <c r="J286" s="22">
        <v>44196</v>
      </c>
      <c r="K286" s="18" t="s">
        <v>264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hidden="1" customHeight="1">
      <c r="A287" s="19">
        <f t="shared" si="1"/>
        <v>223</v>
      </c>
      <c r="B287" s="3" t="s">
        <v>301</v>
      </c>
      <c r="C287" s="3" t="s">
        <v>304</v>
      </c>
      <c r="D287" s="3" t="s">
        <v>462</v>
      </c>
      <c r="E287" s="3"/>
      <c r="F287" s="3" t="s">
        <v>356</v>
      </c>
      <c r="G287" s="3" t="s">
        <v>263</v>
      </c>
      <c r="H287" s="20">
        <v>1236020.3500000001</v>
      </c>
      <c r="I287" s="21">
        <v>3.1569714020863826E-3</v>
      </c>
      <c r="J287" s="22">
        <v>44196</v>
      </c>
      <c r="K287" s="18" t="s">
        <v>264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hidden="1" customHeight="1">
      <c r="A288" s="19">
        <f t="shared" si="1"/>
        <v>224</v>
      </c>
      <c r="B288" s="3" t="s">
        <v>301</v>
      </c>
      <c r="C288" s="3" t="s">
        <v>305</v>
      </c>
      <c r="D288" s="3" t="s">
        <v>462</v>
      </c>
      <c r="E288" s="3"/>
      <c r="F288" s="3" t="s">
        <v>356</v>
      </c>
      <c r="G288" s="3" t="s">
        <v>263</v>
      </c>
      <c r="H288" s="20">
        <v>2508480.13</v>
      </c>
      <c r="I288" s="21">
        <v>7.8679377635000377E-3</v>
      </c>
      <c r="J288" s="22">
        <v>44196</v>
      </c>
      <c r="K288" s="18" t="s">
        <v>264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hidden="1" customHeight="1">
      <c r="A289" s="19">
        <f t="shared" si="1"/>
        <v>225</v>
      </c>
      <c r="B289" s="3" t="s">
        <v>288</v>
      </c>
      <c r="C289" s="3" t="s">
        <v>289</v>
      </c>
      <c r="D289" s="3" t="s">
        <v>463</v>
      </c>
      <c r="E289" s="3"/>
      <c r="F289" s="3" t="s">
        <v>356</v>
      </c>
      <c r="G289" s="3" t="s">
        <v>263</v>
      </c>
      <c r="H289" s="20">
        <v>6131610.4500000002</v>
      </c>
      <c r="I289" s="21">
        <v>4.9739701759626345E-3</v>
      </c>
      <c r="J289" s="22">
        <v>44012</v>
      </c>
      <c r="K289" s="18" t="s">
        <v>270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hidden="1" customHeight="1">
      <c r="A290" s="19">
        <f t="shared" si="1"/>
        <v>226</v>
      </c>
      <c r="B290" s="3" t="s">
        <v>322</v>
      </c>
      <c r="C290" s="3" t="s">
        <v>304</v>
      </c>
      <c r="D290" s="3" t="s">
        <v>463</v>
      </c>
      <c r="E290" s="3"/>
      <c r="F290" s="3" t="s">
        <v>356</v>
      </c>
      <c r="G290" s="3" t="s">
        <v>263</v>
      </c>
      <c r="H290" s="20">
        <v>16922712.460000001</v>
      </c>
      <c r="I290" s="21">
        <v>9.5970990130571244E-3</v>
      </c>
      <c r="J290" s="22">
        <v>44012</v>
      </c>
      <c r="K290" s="18" t="s">
        <v>264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19">
        <f t="shared" si="1"/>
        <v>227</v>
      </c>
      <c r="B291" s="3" t="s">
        <v>53</v>
      </c>
      <c r="C291" s="3" t="s">
        <v>271</v>
      </c>
      <c r="D291" s="3" t="s">
        <v>464</v>
      </c>
      <c r="E291" s="3"/>
      <c r="F291" s="3" t="s">
        <v>465</v>
      </c>
      <c r="G291" s="3" t="s">
        <v>294</v>
      </c>
      <c r="H291" s="20">
        <v>1510000</v>
      </c>
      <c r="I291" s="21">
        <v>1.1083829720078247E-3</v>
      </c>
      <c r="J291" s="22">
        <v>44196</v>
      </c>
      <c r="K291" s="18" t="s">
        <v>270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19">
        <f t="shared" si="1"/>
        <v>228</v>
      </c>
      <c r="B292" s="3" t="s">
        <v>53</v>
      </c>
      <c r="C292" s="3" t="s">
        <v>272</v>
      </c>
      <c r="D292" s="3" t="s">
        <v>464</v>
      </c>
      <c r="E292" s="3"/>
      <c r="F292" s="3" t="s">
        <v>465</v>
      </c>
      <c r="G292" s="3" t="s">
        <v>294</v>
      </c>
      <c r="H292" s="20">
        <v>1131000</v>
      </c>
      <c r="I292" s="21">
        <v>1.2500428286115019E-3</v>
      </c>
      <c r="J292" s="22">
        <v>44196</v>
      </c>
      <c r="K292" s="18" t="s">
        <v>270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hidden="1" customHeight="1">
      <c r="A293" s="19">
        <f t="shared" si="1"/>
        <v>229</v>
      </c>
      <c r="B293" s="3" t="s">
        <v>306</v>
      </c>
      <c r="C293" s="3" t="s">
        <v>307</v>
      </c>
      <c r="D293" s="3" t="s">
        <v>466</v>
      </c>
      <c r="E293" s="3"/>
      <c r="F293" s="3" t="s">
        <v>467</v>
      </c>
      <c r="G293" s="3" t="s">
        <v>263</v>
      </c>
      <c r="H293" s="20">
        <v>1560150.89</v>
      </c>
      <c r="I293" s="21">
        <v>7.8738514046318587E-3</v>
      </c>
      <c r="J293" s="22">
        <v>44012</v>
      </c>
      <c r="K293" s="18" t="s">
        <v>264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hidden="1" customHeight="1">
      <c r="A294" s="19">
        <f t="shared" si="1"/>
        <v>230</v>
      </c>
      <c r="B294" s="3" t="s">
        <v>259</v>
      </c>
      <c r="C294" s="3" t="s">
        <v>260</v>
      </c>
      <c r="D294" s="3" t="s">
        <v>468</v>
      </c>
      <c r="E294" s="3"/>
      <c r="F294" s="3" t="s">
        <v>467</v>
      </c>
      <c r="G294" s="3" t="s">
        <v>263</v>
      </c>
      <c r="H294" s="20">
        <v>1051471.19</v>
      </c>
      <c r="I294" s="21">
        <v>5.5569862035205414E-3</v>
      </c>
      <c r="J294" s="22">
        <v>44012</v>
      </c>
      <c r="K294" s="18" t="s">
        <v>264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hidden="1" customHeight="1">
      <c r="A295" s="19">
        <f t="shared" si="1"/>
        <v>231</v>
      </c>
      <c r="B295" s="3" t="s">
        <v>259</v>
      </c>
      <c r="C295" s="3" t="s">
        <v>265</v>
      </c>
      <c r="D295" s="3" t="s">
        <v>468</v>
      </c>
      <c r="E295" s="3"/>
      <c r="F295" s="3" t="s">
        <v>467</v>
      </c>
      <c r="G295" s="3" t="s">
        <v>263</v>
      </c>
      <c r="H295" s="20">
        <v>11134741.99</v>
      </c>
      <c r="I295" s="21">
        <v>6.446805601162604E-3</v>
      </c>
      <c r="J295" s="22">
        <v>44012</v>
      </c>
      <c r="K295" s="18" t="s">
        <v>264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hidden="1" customHeight="1">
      <c r="A296" s="19">
        <f t="shared" si="1"/>
        <v>232</v>
      </c>
      <c r="B296" s="3" t="s">
        <v>259</v>
      </c>
      <c r="C296" s="3" t="s">
        <v>266</v>
      </c>
      <c r="D296" s="3" t="s">
        <v>468</v>
      </c>
      <c r="E296" s="3"/>
      <c r="F296" s="3" t="s">
        <v>467</v>
      </c>
      <c r="G296" s="3" t="s">
        <v>263</v>
      </c>
      <c r="H296" s="20">
        <v>5664138.8399999999</v>
      </c>
      <c r="I296" s="21">
        <v>6.8253844828020192E-3</v>
      </c>
      <c r="J296" s="22">
        <v>44012</v>
      </c>
      <c r="K296" s="18" t="s">
        <v>264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hidden="1" customHeight="1">
      <c r="A297" s="19">
        <f t="shared" si="1"/>
        <v>233</v>
      </c>
      <c r="B297" s="3" t="s">
        <v>259</v>
      </c>
      <c r="C297" s="3" t="s">
        <v>267</v>
      </c>
      <c r="D297" s="3" t="s">
        <v>468</v>
      </c>
      <c r="E297" s="3"/>
      <c r="F297" s="3" t="s">
        <v>467</v>
      </c>
      <c r="G297" s="3" t="s">
        <v>263</v>
      </c>
      <c r="H297" s="20">
        <v>8011540.6600000001</v>
      </c>
      <c r="I297" s="21">
        <v>7.0070038642456658E-3</v>
      </c>
      <c r="J297" s="22">
        <v>44012</v>
      </c>
      <c r="K297" s="18" t="s">
        <v>264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hidden="1" customHeight="1">
      <c r="A298" s="19">
        <f t="shared" si="1"/>
        <v>234</v>
      </c>
      <c r="B298" s="3" t="s">
        <v>322</v>
      </c>
      <c r="C298" s="3" t="s">
        <v>304</v>
      </c>
      <c r="D298" s="3" t="s">
        <v>469</v>
      </c>
      <c r="E298" s="3"/>
      <c r="F298" s="3" t="s">
        <v>358</v>
      </c>
      <c r="G298" s="3" t="s">
        <v>263</v>
      </c>
      <c r="H298" s="20">
        <v>16377095.49</v>
      </c>
      <c r="I298" s="21">
        <v>9.287672253211662E-3</v>
      </c>
      <c r="J298" s="22">
        <v>44012</v>
      </c>
      <c r="K298" s="18" t="s">
        <v>264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hidden="1" customHeight="1">
      <c r="A299" s="19">
        <f t="shared" si="1"/>
        <v>235</v>
      </c>
      <c r="B299" s="3" t="s">
        <v>273</v>
      </c>
      <c r="C299" s="3" t="s">
        <v>274</v>
      </c>
      <c r="D299" s="3" t="s">
        <v>470</v>
      </c>
      <c r="E299" s="3"/>
      <c r="F299" s="3" t="s">
        <v>358</v>
      </c>
      <c r="G299" s="3" t="s">
        <v>263</v>
      </c>
      <c r="H299" s="20">
        <v>12696835.16</v>
      </c>
      <c r="I299" s="21">
        <v>2.4722219322375963E-3</v>
      </c>
      <c r="J299" s="22">
        <v>44012</v>
      </c>
      <c r="K299" s="18" t="s">
        <v>264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hidden="1" customHeight="1">
      <c r="A300" s="19">
        <f t="shared" si="1"/>
        <v>236</v>
      </c>
      <c r="B300" s="3" t="s">
        <v>273</v>
      </c>
      <c r="C300" s="3" t="s">
        <v>278</v>
      </c>
      <c r="D300" s="3" t="s">
        <v>470</v>
      </c>
      <c r="E300" s="3"/>
      <c r="F300" s="3" t="s">
        <v>358</v>
      </c>
      <c r="G300" s="3" t="s">
        <v>263</v>
      </c>
      <c r="H300" s="20">
        <v>618256.05000000005</v>
      </c>
      <c r="I300" s="21">
        <v>1.7623300436839548E-3</v>
      </c>
      <c r="J300" s="22">
        <v>44012</v>
      </c>
      <c r="K300" s="18" t="s">
        <v>264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hidden="1" customHeight="1">
      <c r="A301" s="19">
        <f t="shared" si="1"/>
        <v>237</v>
      </c>
      <c r="B301" s="3" t="s">
        <v>273</v>
      </c>
      <c r="C301" s="3" t="s">
        <v>276</v>
      </c>
      <c r="D301" s="3" t="s">
        <v>470</v>
      </c>
      <c r="E301" s="3"/>
      <c r="F301" s="3" t="s">
        <v>358</v>
      </c>
      <c r="G301" s="3" t="s">
        <v>263</v>
      </c>
      <c r="H301" s="20">
        <v>23314608.489999998</v>
      </c>
      <c r="I301" s="21">
        <v>5.0769930191289373E-3</v>
      </c>
      <c r="J301" s="22">
        <v>44012</v>
      </c>
      <c r="K301" s="18" t="s">
        <v>264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hidden="1" customHeight="1">
      <c r="A302" s="19">
        <f t="shared" si="1"/>
        <v>238</v>
      </c>
      <c r="B302" s="3" t="s">
        <v>273</v>
      </c>
      <c r="C302" s="3" t="s">
        <v>278</v>
      </c>
      <c r="D302" s="3" t="s">
        <v>470</v>
      </c>
      <c r="E302" s="3"/>
      <c r="F302" s="3" t="s">
        <v>358</v>
      </c>
      <c r="G302" s="3" t="s">
        <v>263</v>
      </c>
      <c r="H302" s="20">
        <v>146323.22</v>
      </c>
      <c r="I302" s="21">
        <v>2.3846063124520946E-3</v>
      </c>
      <c r="J302" s="22">
        <v>44012</v>
      </c>
      <c r="K302" s="18" t="s">
        <v>264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hidden="1" customHeight="1">
      <c r="A303" s="19">
        <f t="shared" si="1"/>
        <v>239</v>
      </c>
      <c r="B303" s="3" t="s">
        <v>288</v>
      </c>
      <c r="C303" s="3" t="s">
        <v>289</v>
      </c>
      <c r="D303" s="3" t="s">
        <v>471</v>
      </c>
      <c r="E303" s="3"/>
      <c r="F303" s="3" t="s">
        <v>472</v>
      </c>
      <c r="G303" s="3" t="s">
        <v>263</v>
      </c>
      <c r="H303" s="20">
        <v>7578726.79</v>
      </c>
      <c r="I303" s="21">
        <v>6.1478727868677684E-3</v>
      </c>
      <c r="J303" s="22">
        <v>44012</v>
      </c>
      <c r="K303" s="18" t="s">
        <v>270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hidden="1" customHeight="1">
      <c r="A304" s="19">
        <f t="shared" si="1"/>
        <v>240</v>
      </c>
      <c r="B304" s="3" t="s">
        <v>182</v>
      </c>
      <c r="C304" s="3" t="s">
        <v>329</v>
      </c>
      <c r="D304" s="3" t="s">
        <v>473</v>
      </c>
      <c r="E304" s="3"/>
      <c r="F304" s="3" t="s">
        <v>474</v>
      </c>
      <c r="G304" s="3" t="s">
        <v>263</v>
      </c>
      <c r="H304" s="20">
        <v>10077131.130000001</v>
      </c>
      <c r="I304" s="21">
        <v>3.1836210396181959E-2</v>
      </c>
      <c r="J304" s="22">
        <v>44255</v>
      </c>
      <c r="K304" s="18" t="s">
        <v>264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hidden="1" customHeight="1">
      <c r="A305" s="19">
        <f t="shared" si="1"/>
        <v>241</v>
      </c>
      <c r="B305" s="3" t="s">
        <v>33</v>
      </c>
      <c r="C305" s="3" t="s">
        <v>286</v>
      </c>
      <c r="D305" s="3" t="s">
        <v>475</v>
      </c>
      <c r="E305" s="3"/>
      <c r="F305" s="3" t="s">
        <v>474</v>
      </c>
      <c r="G305" s="3" t="s">
        <v>263</v>
      </c>
      <c r="H305" s="20">
        <v>7317095.4299999997</v>
      </c>
      <c r="I305" s="21">
        <v>5.9460588368036374E-3</v>
      </c>
      <c r="J305" s="22">
        <v>44012</v>
      </c>
      <c r="K305" s="18" t="s">
        <v>270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hidden="1" customHeight="1">
      <c r="A306" s="19">
        <f t="shared" si="1"/>
        <v>242</v>
      </c>
      <c r="B306" s="3" t="s">
        <v>259</v>
      </c>
      <c r="C306" s="3" t="s">
        <v>260</v>
      </c>
      <c r="D306" s="3" t="s">
        <v>476</v>
      </c>
      <c r="E306" s="3"/>
      <c r="F306" s="3" t="s">
        <v>474</v>
      </c>
      <c r="G306" s="3" t="s">
        <v>263</v>
      </c>
      <c r="H306" s="20">
        <v>657825.77</v>
      </c>
      <c r="I306" s="21">
        <v>3.4765847728174819E-3</v>
      </c>
      <c r="J306" s="22">
        <v>44012</v>
      </c>
      <c r="K306" s="18" t="s">
        <v>264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hidden="1" customHeight="1">
      <c r="A307" s="19">
        <f t="shared" si="1"/>
        <v>243</v>
      </c>
      <c r="B307" s="3" t="s">
        <v>259</v>
      </c>
      <c r="C307" s="3" t="s">
        <v>265</v>
      </c>
      <c r="D307" s="3" t="s">
        <v>476</v>
      </c>
      <c r="E307" s="3"/>
      <c r="F307" s="3" t="s">
        <v>474</v>
      </c>
      <c r="G307" s="3" t="s">
        <v>263</v>
      </c>
      <c r="H307" s="20">
        <v>6961462.9500000002</v>
      </c>
      <c r="I307" s="21">
        <v>4.0305557487233653E-3</v>
      </c>
      <c r="J307" s="22">
        <v>44012</v>
      </c>
      <c r="K307" s="18" t="s">
        <v>264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hidden="1" customHeight="1">
      <c r="A308" s="19">
        <f t="shared" si="1"/>
        <v>244</v>
      </c>
      <c r="B308" s="3" t="s">
        <v>259</v>
      </c>
      <c r="C308" s="3" t="s">
        <v>266</v>
      </c>
      <c r="D308" s="3" t="s">
        <v>476</v>
      </c>
      <c r="E308" s="3"/>
      <c r="F308" s="3" t="s">
        <v>474</v>
      </c>
      <c r="G308" s="3" t="s">
        <v>263</v>
      </c>
      <c r="H308" s="20">
        <v>3540911.61</v>
      </c>
      <c r="I308" s="21">
        <v>4.2668592420780976E-3</v>
      </c>
      <c r="J308" s="22">
        <v>44012</v>
      </c>
      <c r="K308" s="18" t="s">
        <v>264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hidden="1" customHeight="1">
      <c r="A309" s="19">
        <f t="shared" si="1"/>
        <v>245</v>
      </c>
      <c r="B309" s="3" t="s">
        <v>259</v>
      </c>
      <c r="C309" s="3" t="s">
        <v>267</v>
      </c>
      <c r="D309" s="3" t="s">
        <v>476</v>
      </c>
      <c r="E309" s="3"/>
      <c r="F309" s="3" t="s">
        <v>474</v>
      </c>
      <c r="G309" s="3" t="s">
        <v>263</v>
      </c>
      <c r="H309" s="20">
        <v>5009172.03</v>
      </c>
      <c r="I309" s="21">
        <v>4.3810908863166536E-3</v>
      </c>
      <c r="J309" s="22">
        <v>44012</v>
      </c>
      <c r="K309" s="18" t="s">
        <v>264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hidden="1" customHeight="1">
      <c r="A310" s="19">
        <f t="shared" si="1"/>
        <v>246</v>
      </c>
      <c r="B310" s="3" t="s">
        <v>301</v>
      </c>
      <c r="C310" s="3" t="s">
        <v>302</v>
      </c>
      <c r="D310" s="3" t="s">
        <v>477</v>
      </c>
      <c r="E310" s="3"/>
      <c r="F310" s="3" t="s">
        <v>478</v>
      </c>
      <c r="G310" s="3" t="s">
        <v>263</v>
      </c>
      <c r="H310" s="20">
        <v>20017676.370000001</v>
      </c>
      <c r="I310" s="21">
        <v>5.5271807755728304E-3</v>
      </c>
      <c r="J310" s="22">
        <v>44196</v>
      </c>
      <c r="K310" s="18" t="s">
        <v>264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hidden="1" customHeight="1">
      <c r="A311" s="19">
        <f t="shared" si="1"/>
        <v>247</v>
      </c>
      <c r="B311" s="3" t="s">
        <v>301</v>
      </c>
      <c r="C311" s="3" t="s">
        <v>304</v>
      </c>
      <c r="D311" s="3" t="s">
        <v>477</v>
      </c>
      <c r="E311" s="3"/>
      <c r="F311" s="3" t="s">
        <v>478</v>
      </c>
      <c r="G311" s="3" t="s">
        <v>263</v>
      </c>
      <c r="H311" s="20">
        <v>2151900.21</v>
      </c>
      <c r="I311" s="21">
        <v>5.4962585552201307E-3</v>
      </c>
      <c r="J311" s="22">
        <v>44196</v>
      </c>
      <c r="K311" s="18" t="s">
        <v>264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hidden="1" customHeight="1">
      <c r="A312" s="19">
        <f t="shared" si="1"/>
        <v>248</v>
      </c>
      <c r="B312" s="3" t="s">
        <v>301</v>
      </c>
      <c r="C312" s="3" t="s">
        <v>305</v>
      </c>
      <c r="D312" s="3" t="s">
        <v>477</v>
      </c>
      <c r="E312" s="3"/>
      <c r="F312" s="3" t="s">
        <v>478</v>
      </c>
      <c r="G312" s="3" t="s">
        <v>263</v>
      </c>
      <c r="H312" s="20">
        <v>2001767.64</v>
      </c>
      <c r="I312" s="21">
        <v>6.2786158918102936E-3</v>
      </c>
      <c r="J312" s="22">
        <v>44196</v>
      </c>
      <c r="K312" s="18" t="s">
        <v>264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hidden="1" customHeight="1">
      <c r="A313" s="19">
        <f t="shared" si="1"/>
        <v>249</v>
      </c>
      <c r="B313" s="3" t="s">
        <v>301</v>
      </c>
      <c r="C313" s="3" t="s">
        <v>302</v>
      </c>
      <c r="D313" s="3" t="s">
        <v>479</v>
      </c>
      <c r="E313" s="3"/>
      <c r="F313" s="3" t="s">
        <v>386</v>
      </c>
      <c r="G313" s="3" t="s">
        <v>263</v>
      </c>
      <c r="H313" s="20">
        <v>20858811.469999999</v>
      </c>
      <c r="I313" s="21">
        <v>5.7594307964267503E-3</v>
      </c>
      <c r="J313" s="22">
        <v>44196</v>
      </c>
      <c r="K313" s="18" t="s">
        <v>264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hidden="1" customHeight="1">
      <c r="A314" s="19">
        <f t="shared" si="1"/>
        <v>250</v>
      </c>
      <c r="B314" s="3" t="s">
        <v>301</v>
      </c>
      <c r="C314" s="3" t="s">
        <v>304</v>
      </c>
      <c r="D314" s="3" t="s">
        <v>479</v>
      </c>
      <c r="E314" s="3"/>
      <c r="F314" s="3" t="s">
        <v>386</v>
      </c>
      <c r="G314" s="3" t="s">
        <v>263</v>
      </c>
      <c r="H314" s="20">
        <v>2242322.2400000002</v>
      </c>
      <c r="I314" s="21">
        <v>5.7272092534255432E-3</v>
      </c>
      <c r="J314" s="22">
        <v>44196</v>
      </c>
      <c r="K314" s="18" t="s">
        <v>264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hidden="1" customHeight="1">
      <c r="A315" s="19">
        <f t="shared" si="1"/>
        <v>251</v>
      </c>
      <c r="B315" s="3" t="s">
        <v>301</v>
      </c>
      <c r="C315" s="3" t="s">
        <v>305</v>
      </c>
      <c r="D315" s="3" t="s">
        <v>479</v>
      </c>
      <c r="E315" s="3"/>
      <c r="F315" s="3" t="s">
        <v>386</v>
      </c>
      <c r="G315" s="3" t="s">
        <v>263</v>
      </c>
      <c r="H315" s="20">
        <v>2085881.15</v>
      </c>
      <c r="I315" s="21">
        <v>6.5424409282675436E-3</v>
      </c>
      <c r="J315" s="22">
        <v>44196</v>
      </c>
      <c r="K315" s="18" t="s">
        <v>264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19">
        <f t="shared" si="1"/>
        <v>252</v>
      </c>
      <c r="B316" s="3" t="s">
        <v>480</v>
      </c>
      <c r="C316" s="3" t="s">
        <v>305</v>
      </c>
      <c r="D316" s="3"/>
      <c r="E316" s="3"/>
      <c r="F316" s="3" t="s">
        <v>370</v>
      </c>
      <c r="G316" s="3" t="s">
        <v>294</v>
      </c>
      <c r="H316" s="20">
        <v>21832000</v>
      </c>
      <c r="I316" s="21">
        <v>3.8075479161209331E-3</v>
      </c>
      <c r="J316" s="22">
        <v>44196</v>
      </c>
      <c r="K316" s="18" t="s">
        <v>270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19">
        <f t="shared" si="1"/>
        <v>253</v>
      </c>
      <c r="B317" s="3" t="s">
        <v>480</v>
      </c>
      <c r="C317" s="3" t="s">
        <v>305</v>
      </c>
      <c r="D317" s="3"/>
      <c r="E317" s="3"/>
      <c r="F317" s="3" t="s">
        <v>335</v>
      </c>
      <c r="G317" s="3" t="s">
        <v>294</v>
      </c>
      <c r="H317" s="20">
        <v>14411000</v>
      </c>
      <c r="I317" s="21">
        <v>2.5133095006970854E-3</v>
      </c>
      <c r="J317" s="22">
        <v>44196</v>
      </c>
      <c r="K317" s="18" t="s">
        <v>270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19">
        <f t="shared" si="1"/>
        <v>254</v>
      </c>
      <c r="B318" s="3" t="s">
        <v>480</v>
      </c>
      <c r="C318" s="3" t="s">
        <v>305</v>
      </c>
      <c r="D318" s="3"/>
      <c r="E318" s="3"/>
      <c r="F318" s="3" t="s">
        <v>481</v>
      </c>
      <c r="G318" s="3" t="s">
        <v>294</v>
      </c>
      <c r="H318" s="20">
        <v>24946000</v>
      </c>
      <c r="I318" s="21">
        <v>4.350636236513045E-3</v>
      </c>
      <c r="J318" s="22">
        <v>44196</v>
      </c>
      <c r="K318" s="18" t="s">
        <v>270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19">
        <f t="shared" si="1"/>
        <v>255</v>
      </c>
      <c r="B319" s="3" t="s">
        <v>480</v>
      </c>
      <c r="C319" s="3" t="s">
        <v>305</v>
      </c>
      <c r="D319" s="3"/>
      <c r="E319" s="3"/>
      <c r="F319" s="3" t="s">
        <v>465</v>
      </c>
      <c r="G319" s="3" t="s">
        <v>294</v>
      </c>
      <c r="H319" s="20">
        <v>39193000</v>
      </c>
      <c r="I319" s="21">
        <v>6.8353437832781114E-3</v>
      </c>
      <c r="J319" s="22">
        <v>44196</v>
      </c>
      <c r="K319" s="18" t="s">
        <v>270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19">
        <f t="shared" si="1"/>
        <v>256</v>
      </c>
      <c r="B320" s="3" t="s">
        <v>480</v>
      </c>
      <c r="C320" s="3" t="s">
        <v>305</v>
      </c>
      <c r="D320" s="3"/>
      <c r="E320" s="3"/>
      <c r="F320" s="3" t="s">
        <v>418</v>
      </c>
      <c r="G320" s="3" t="s">
        <v>294</v>
      </c>
      <c r="H320" s="20">
        <v>12755000</v>
      </c>
      <c r="I320" s="21">
        <v>2.224499526846945E-3</v>
      </c>
      <c r="J320" s="22">
        <v>44196</v>
      </c>
      <c r="K320" s="18" t="s">
        <v>270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19">
        <f t="shared" si="1"/>
        <v>257</v>
      </c>
      <c r="B321" s="3" t="s">
        <v>480</v>
      </c>
      <c r="C321" s="3" t="s">
        <v>305</v>
      </c>
      <c r="D321" s="3"/>
      <c r="E321" s="3"/>
      <c r="F321" s="3" t="s">
        <v>351</v>
      </c>
      <c r="G321" s="3" t="s">
        <v>294</v>
      </c>
      <c r="H321" s="20">
        <v>15346000</v>
      </c>
      <c r="I321" s="21">
        <v>2.6763755185412168E-3</v>
      </c>
      <c r="J321" s="22">
        <v>44196</v>
      </c>
      <c r="K321" s="18" t="s">
        <v>270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19">
        <f t="shared" si="1"/>
        <v>258</v>
      </c>
      <c r="B322" s="3" t="s">
        <v>480</v>
      </c>
      <c r="C322" s="3" t="s">
        <v>305</v>
      </c>
      <c r="D322" s="3"/>
      <c r="E322" s="3"/>
      <c r="F322" s="3" t="s">
        <v>457</v>
      </c>
      <c r="G322" s="3" t="s">
        <v>294</v>
      </c>
      <c r="H322" s="20">
        <v>52679000</v>
      </c>
      <c r="I322" s="21">
        <v>9.1873312877122863E-3</v>
      </c>
      <c r="J322" s="22">
        <v>44196</v>
      </c>
      <c r="K322" s="18" t="s">
        <v>270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19">
        <f t="shared" si="1"/>
        <v>259</v>
      </c>
      <c r="B323" s="3" t="s">
        <v>480</v>
      </c>
      <c r="C323" s="3" t="s">
        <v>305</v>
      </c>
      <c r="D323" s="3"/>
      <c r="E323" s="3"/>
      <c r="F323" s="3" t="s">
        <v>388</v>
      </c>
      <c r="G323" s="3" t="s">
        <v>294</v>
      </c>
      <c r="H323" s="20">
        <v>14357000</v>
      </c>
      <c r="I323" s="21">
        <v>2.5038917841584941E-3</v>
      </c>
      <c r="J323" s="22">
        <v>44196</v>
      </c>
      <c r="K323" s="18" t="s">
        <v>270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19">
        <f t="shared" si="1"/>
        <v>260</v>
      </c>
      <c r="B324" s="3" t="s">
        <v>480</v>
      </c>
      <c r="C324" s="3" t="s">
        <v>305</v>
      </c>
      <c r="D324" s="3"/>
      <c r="E324" s="3"/>
      <c r="F324" s="3" t="s">
        <v>474</v>
      </c>
      <c r="G324" s="3" t="s">
        <v>294</v>
      </c>
      <c r="H324" s="20">
        <v>8668000</v>
      </c>
      <c r="I324" s="21">
        <v>1.5117179066020635E-3</v>
      </c>
      <c r="J324" s="22">
        <v>44196</v>
      </c>
      <c r="K324" s="18" t="s">
        <v>270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hidden="1" customHeight="1">
      <c r="A325" s="19">
        <f t="shared" si="1"/>
        <v>261</v>
      </c>
      <c r="B325" s="3" t="s">
        <v>480</v>
      </c>
      <c r="C325" s="3" t="s">
        <v>305</v>
      </c>
      <c r="D325" s="3"/>
      <c r="E325" s="3"/>
      <c r="F325" s="3" t="s">
        <v>360</v>
      </c>
      <c r="G325" s="3" t="s">
        <v>263</v>
      </c>
      <c r="H325" s="20">
        <v>69233000</v>
      </c>
      <c r="I325" s="21">
        <v>1.2074384613264958E-2</v>
      </c>
      <c r="J325" s="22">
        <v>44196</v>
      </c>
      <c r="K325" s="18" t="s">
        <v>270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hidden="1" customHeight="1">
      <c r="A326" s="19">
        <f t="shared" si="1"/>
        <v>262</v>
      </c>
      <c r="B326" s="3" t="s">
        <v>480</v>
      </c>
      <c r="C326" s="3" t="s">
        <v>305</v>
      </c>
      <c r="D326" s="3"/>
      <c r="E326" s="3"/>
      <c r="F326" s="3" t="s">
        <v>262</v>
      </c>
      <c r="G326" s="3" t="s">
        <v>263</v>
      </c>
      <c r="H326" s="20">
        <v>45689000</v>
      </c>
      <c r="I326" s="21">
        <v>7.9682602024390495E-3</v>
      </c>
      <c r="J326" s="22">
        <v>44196</v>
      </c>
      <c r="K326" s="18" t="s">
        <v>270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hidden="1" customHeight="1">
      <c r="A327" s="19">
        <f t="shared" si="1"/>
        <v>263</v>
      </c>
      <c r="B327" s="3" t="s">
        <v>480</v>
      </c>
      <c r="C327" s="3" t="s">
        <v>305</v>
      </c>
      <c r="D327" s="3"/>
      <c r="E327" s="3"/>
      <c r="F327" s="3" t="s">
        <v>482</v>
      </c>
      <c r="G327" s="3" t="s">
        <v>263</v>
      </c>
      <c r="H327" s="20">
        <v>107171000</v>
      </c>
      <c r="I327" s="21">
        <v>1.8690853688099879E-2</v>
      </c>
      <c r="J327" s="22">
        <v>44196</v>
      </c>
      <c r="K327" s="18" t="s">
        <v>270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hidden="1" customHeight="1">
      <c r="A328" s="19">
        <f t="shared" si="1"/>
        <v>264</v>
      </c>
      <c r="B328" s="3" t="s">
        <v>480</v>
      </c>
      <c r="C328" s="3" t="s">
        <v>305</v>
      </c>
      <c r="D328" s="3"/>
      <c r="E328" s="3"/>
      <c r="F328" s="3" t="s">
        <v>483</v>
      </c>
      <c r="G328" s="3" t="s">
        <v>263</v>
      </c>
      <c r="H328" s="20">
        <v>38278000</v>
      </c>
      <c r="I328" s="21">
        <v>6.6757658085964218E-3</v>
      </c>
      <c r="J328" s="22">
        <v>44196</v>
      </c>
      <c r="K328" s="18" t="s">
        <v>270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hidden="1" customHeight="1">
      <c r="A329" s="19">
        <f t="shared" si="1"/>
        <v>265</v>
      </c>
      <c r="B329" s="3" t="s">
        <v>480</v>
      </c>
      <c r="C329" s="3" t="s">
        <v>305</v>
      </c>
      <c r="D329" s="3"/>
      <c r="E329" s="3"/>
      <c r="F329" s="3" t="s">
        <v>386</v>
      </c>
      <c r="G329" s="3" t="s">
        <v>263</v>
      </c>
      <c r="H329" s="20">
        <v>43742000</v>
      </c>
      <c r="I329" s="21">
        <v>7.628699200575388E-3</v>
      </c>
      <c r="J329" s="22">
        <v>44196</v>
      </c>
      <c r="K329" s="18" t="s">
        <v>270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hidden="1" customHeight="1">
      <c r="A330" s="19">
        <f t="shared" si="1"/>
        <v>266</v>
      </c>
      <c r="B330" s="3" t="s">
        <v>480</v>
      </c>
      <c r="C330" s="3" t="s">
        <v>305</v>
      </c>
      <c r="D330" s="3"/>
      <c r="E330" s="3"/>
      <c r="F330" s="3" t="s">
        <v>484</v>
      </c>
      <c r="G330" s="3" t="s">
        <v>263</v>
      </c>
      <c r="H330" s="20">
        <v>55423000</v>
      </c>
      <c r="I330" s="21">
        <v>9.6658908095992348E-3</v>
      </c>
      <c r="J330" s="22">
        <v>44196</v>
      </c>
      <c r="K330" s="18" t="s">
        <v>270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hidden="1" customHeight="1">
      <c r="A331" s="19">
        <f t="shared" si="1"/>
        <v>267</v>
      </c>
      <c r="B331" s="3" t="s">
        <v>480</v>
      </c>
      <c r="C331" s="3" t="s">
        <v>305</v>
      </c>
      <c r="D331" s="3"/>
      <c r="E331" s="3"/>
      <c r="F331" s="3" t="s">
        <v>356</v>
      </c>
      <c r="G331" s="3" t="s">
        <v>263</v>
      </c>
      <c r="H331" s="20">
        <v>30363000</v>
      </c>
      <c r="I331" s="21">
        <v>5.2953727270602735E-3</v>
      </c>
      <c r="J331" s="22">
        <v>44196</v>
      </c>
      <c r="K331" s="18" t="s">
        <v>270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hidden="1" customHeight="1">
      <c r="A332" s="19">
        <f t="shared" si="1"/>
        <v>268</v>
      </c>
      <c r="B332" s="3" t="s">
        <v>480</v>
      </c>
      <c r="C332" s="3" t="s">
        <v>305</v>
      </c>
      <c r="D332" s="3"/>
      <c r="E332" s="3"/>
      <c r="F332" s="3" t="s">
        <v>341</v>
      </c>
      <c r="G332" s="3" t="s">
        <v>263</v>
      </c>
      <c r="H332" s="20">
        <v>40419000</v>
      </c>
      <c r="I332" s="21">
        <v>7.049160829135764E-3</v>
      </c>
      <c r="J332" s="22">
        <v>44196</v>
      </c>
      <c r="K332" s="18" t="s">
        <v>270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hidden="1" customHeight="1">
      <c r="A333" s="19">
        <f t="shared" si="1"/>
        <v>269</v>
      </c>
      <c r="B333" s="3" t="s">
        <v>480</v>
      </c>
      <c r="C333" s="3" t="s">
        <v>305</v>
      </c>
      <c r="D333" s="3"/>
      <c r="E333" s="3"/>
      <c r="F333" s="3" t="s">
        <v>354</v>
      </c>
      <c r="G333" s="3" t="s">
        <v>263</v>
      </c>
      <c r="H333" s="20">
        <v>46252000</v>
      </c>
      <c r="I333" s="21">
        <v>8.0664486174617713E-3</v>
      </c>
      <c r="J333" s="22">
        <v>44196</v>
      </c>
      <c r="K333" s="18" t="s">
        <v>270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hidden="1" customHeight="1">
      <c r="A334" s="19">
        <f t="shared" si="1"/>
        <v>270</v>
      </c>
      <c r="B334" s="3" t="s">
        <v>480</v>
      </c>
      <c r="C334" s="3" t="s">
        <v>305</v>
      </c>
      <c r="D334" s="3"/>
      <c r="E334" s="3"/>
      <c r="F334" s="3" t="s">
        <v>312</v>
      </c>
      <c r="G334" s="3" t="s">
        <v>263</v>
      </c>
      <c r="H334" s="20">
        <v>35981000</v>
      </c>
      <c r="I334" s="21">
        <v>6.2751640513900378E-3</v>
      </c>
      <c r="J334" s="22">
        <v>44196</v>
      </c>
      <c r="K334" s="18" t="s">
        <v>270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hidden="1" customHeight="1">
      <c r="A335" s="19">
        <f t="shared" si="1"/>
        <v>271</v>
      </c>
      <c r="B335" s="3" t="s">
        <v>480</v>
      </c>
      <c r="C335" s="3" t="s">
        <v>305</v>
      </c>
      <c r="D335" s="3"/>
      <c r="E335" s="3"/>
      <c r="F335" s="3" t="s">
        <v>401</v>
      </c>
      <c r="G335" s="3" t="s">
        <v>263</v>
      </c>
      <c r="H335" s="20">
        <v>27439000</v>
      </c>
      <c r="I335" s="21">
        <v>4.7854208167113542E-3</v>
      </c>
      <c r="J335" s="22">
        <v>44196</v>
      </c>
      <c r="K335" s="18" t="s">
        <v>270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19">
        <f t="shared" si="1"/>
        <v>272</v>
      </c>
      <c r="B336" s="3" t="s">
        <v>480</v>
      </c>
      <c r="C336" s="3" t="s">
        <v>485</v>
      </c>
      <c r="D336" s="3"/>
      <c r="E336" s="3"/>
      <c r="F336" s="3" t="s">
        <v>370</v>
      </c>
      <c r="G336" s="3" t="s">
        <v>294</v>
      </c>
      <c r="H336" s="20">
        <v>21832000</v>
      </c>
      <c r="I336" s="21">
        <v>3.5295266437874707E-3</v>
      </c>
      <c r="J336" s="22">
        <v>44196</v>
      </c>
      <c r="K336" s="18" t="s">
        <v>270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19">
        <f t="shared" si="1"/>
        <v>273</v>
      </c>
      <c r="B337" s="3" t="s">
        <v>480</v>
      </c>
      <c r="C337" s="3" t="s">
        <v>485</v>
      </c>
      <c r="D337" s="3"/>
      <c r="E337" s="3"/>
      <c r="F337" s="3" t="s">
        <v>335</v>
      </c>
      <c r="G337" s="3" t="s">
        <v>294</v>
      </c>
      <c r="H337" s="20">
        <v>14411000</v>
      </c>
      <c r="I337" s="21">
        <v>2.3297915199533364E-3</v>
      </c>
      <c r="J337" s="22">
        <v>44196</v>
      </c>
      <c r="K337" s="18" t="s">
        <v>270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19">
        <f t="shared" si="1"/>
        <v>274</v>
      </c>
      <c r="B338" s="3" t="s">
        <v>480</v>
      </c>
      <c r="C338" s="3" t="s">
        <v>485</v>
      </c>
      <c r="D338" s="3"/>
      <c r="E338" s="3"/>
      <c r="F338" s="3" t="s">
        <v>481</v>
      </c>
      <c r="G338" s="3" t="s">
        <v>294</v>
      </c>
      <c r="H338" s="20">
        <v>24104000</v>
      </c>
      <c r="I338" s="21">
        <v>3.8968353894216373E-3</v>
      </c>
      <c r="J338" s="22">
        <v>44196</v>
      </c>
      <c r="K338" s="18" t="s">
        <v>270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19">
        <f t="shared" si="1"/>
        <v>275</v>
      </c>
      <c r="B339" s="3" t="s">
        <v>480</v>
      </c>
      <c r="C339" s="3" t="s">
        <v>485</v>
      </c>
      <c r="D339" s="3"/>
      <c r="E339" s="3"/>
      <c r="F339" s="3" t="s">
        <v>465</v>
      </c>
      <c r="G339" s="3" t="s">
        <v>294</v>
      </c>
      <c r="H339" s="20">
        <v>31247000</v>
      </c>
      <c r="I339" s="21">
        <v>5.0516269255417318E-3</v>
      </c>
      <c r="J339" s="22">
        <v>44196</v>
      </c>
      <c r="K339" s="18" t="s">
        <v>270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19">
        <f t="shared" si="1"/>
        <v>276</v>
      </c>
      <c r="B340" s="3" t="s">
        <v>480</v>
      </c>
      <c r="C340" s="3" t="s">
        <v>485</v>
      </c>
      <c r="D340" s="3"/>
      <c r="E340" s="3"/>
      <c r="F340" s="3" t="s">
        <v>418</v>
      </c>
      <c r="G340" s="3" t="s">
        <v>294</v>
      </c>
      <c r="H340" s="20">
        <v>18397000</v>
      </c>
      <c r="I340" s="21">
        <v>2.9741985006301801E-3</v>
      </c>
      <c r="J340" s="22">
        <v>44196</v>
      </c>
      <c r="K340" s="18" t="s">
        <v>270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19">
        <f t="shared" si="1"/>
        <v>277</v>
      </c>
      <c r="B341" s="3" t="s">
        <v>480</v>
      </c>
      <c r="C341" s="3" t="s">
        <v>485</v>
      </c>
      <c r="D341" s="3"/>
      <c r="E341" s="3"/>
      <c r="F341" s="3" t="s">
        <v>351</v>
      </c>
      <c r="G341" s="3" t="s">
        <v>294</v>
      </c>
      <c r="H341" s="20">
        <v>15346000</v>
      </c>
      <c r="I341" s="21">
        <v>2.4809507088476789E-3</v>
      </c>
      <c r="J341" s="22">
        <v>44196</v>
      </c>
      <c r="K341" s="18" t="s">
        <v>270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19">
        <f t="shared" si="1"/>
        <v>278</v>
      </c>
      <c r="B342" s="3" t="s">
        <v>480</v>
      </c>
      <c r="C342" s="3" t="s">
        <v>485</v>
      </c>
      <c r="D342" s="3"/>
      <c r="E342" s="3"/>
      <c r="F342" s="3" t="s">
        <v>457</v>
      </c>
      <c r="G342" s="3" t="s">
        <v>294</v>
      </c>
      <c r="H342" s="20">
        <v>40100000</v>
      </c>
      <c r="I342" s="21">
        <v>6.482870026377683E-3</v>
      </c>
      <c r="J342" s="22">
        <v>44196</v>
      </c>
      <c r="K342" s="18" t="s">
        <v>270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19">
        <f t="shared" si="1"/>
        <v>279</v>
      </c>
      <c r="B343" s="3" t="s">
        <v>480</v>
      </c>
      <c r="C343" s="3" t="s">
        <v>485</v>
      </c>
      <c r="D343" s="3"/>
      <c r="E343" s="3"/>
      <c r="F343" s="3" t="s">
        <v>388</v>
      </c>
      <c r="G343" s="3" t="s">
        <v>294</v>
      </c>
      <c r="H343" s="20">
        <v>14357000</v>
      </c>
      <c r="I343" s="21">
        <v>2.3210614705412567E-3</v>
      </c>
      <c r="J343" s="22">
        <v>44196</v>
      </c>
      <c r="K343" s="18" t="s">
        <v>270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19">
        <f t="shared" si="1"/>
        <v>280</v>
      </c>
      <c r="B344" s="3" t="s">
        <v>480</v>
      </c>
      <c r="C344" s="3" t="s">
        <v>485</v>
      </c>
      <c r="D344" s="3"/>
      <c r="E344" s="3"/>
      <c r="F344" s="3" t="s">
        <v>474</v>
      </c>
      <c r="G344" s="3" t="s">
        <v>294</v>
      </c>
      <c r="H344" s="20">
        <v>3715000</v>
      </c>
      <c r="I344" s="21">
        <v>6.0059506603474038E-4</v>
      </c>
      <c r="J344" s="22">
        <v>44196</v>
      </c>
      <c r="K344" s="18" t="s">
        <v>270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19">
        <f t="shared" si="1"/>
        <v>281</v>
      </c>
      <c r="B345" s="3" t="s">
        <v>480</v>
      </c>
      <c r="C345" s="3" t="s">
        <v>485</v>
      </c>
      <c r="D345" s="3"/>
      <c r="E345" s="3"/>
      <c r="F345" s="3" t="s">
        <v>293</v>
      </c>
      <c r="G345" s="3" t="s">
        <v>294</v>
      </c>
      <c r="H345" s="20">
        <v>144000</v>
      </c>
      <c r="I345" s="21">
        <v>2.3280131765545792E-5</v>
      </c>
      <c r="J345" s="22">
        <v>44196</v>
      </c>
      <c r="K345" s="18" t="s">
        <v>270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hidden="1" customHeight="1">
      <c r="A346" s="19">
        <f t="shared" si="1"/>
        <v>282</v>
      </c>
      <c r="B346" s="3" t="s">
        <v>480</v>
      </c>
      <c r="C346" s="3" t="s">
        <v>485</v>
      </c>
      <c r="D346" s="3"/>
      <c r="E346" s="3"/>
      <c r="F346" s="3" t="s">
        <v>360</v>
      </c>
      <c r="G346" s="3" t="s">
        <v>263</v>
      </c>
      <c r="H346" s="20">
        <v>8302000</v>
      </c>
      <c r="I346" s="21">
        <v>1.342164263316397E-3</v>
      </c>
      <c r="J346" s="22">
        <v>44196</v>
      </c>
      <c r="K346" s="18" t="s">
        <v>270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hidden="1" customHeight="1">
      <c r="A347" s="19">
        <f t="shared" si="1"/>
        <v>283</v>
      </c>
      <c r="B347" s="3" t="s">
        <v>480</v>
      </c>
      <c r="C347" s="3" t="s">
        <v>485</v>
      </c>
      <c r="D347" s="3"/>
      <c r="E347" s="3"/>
      <c r="F347" s="3" t="s">
        <v>262</v>
      </c>
      <c r="G347" s="3" t="s">
        <v>263</v>
      </c>
      <c r="H347" s="20">
        <v>5479000</v>
      </c>
      <c r="I347" s="21">
        <v>8.8577668016267641E-4</v>
      </c>
      <c r="J347" s="22">
        <v>44196</v>
      </c>
      <c r="K347" s="18" t="s">
        <v>270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hidden="1" customHeight="1">
      <c r="A348" s="19">
        <f t="shared" si="1"/>
        <v>284</v>
      </c>
      <c r="B348" s="3" t="s">
        <v>480</v>
      </c>
      <c r="C348" s="3" t="s">
        <v>485</v>
      </c>
      <c r="D348" s="3"/>
      <c r="E348" s="3"/>
      <c r="F348" s="3" t="s">
        <v>482</v>
      </c>
      <c r="G348" s="3" t="s">
        <v>263</v>
      </c>
      <c r="H348" s="20">
        <v>12852000</v>
      </c>
      <c r="I348" s="21">
        <v>2.0777517600749618E-3</v>
      </c>
      <c r="J348" s="22">
        <v>44196</v>
      </c>
      <c r="K348" s="18" t="s">
        <v>270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hidden="1" customHeight="1">
      <c r="A349" s="19">
        <f t="shared" si="1"/>
        <v>285</v>
      </c>
      <c r="B349" s="3" t="s">
        <v>480</v>
      </c>
      <c r="C349" s="3" t="s">
        <v>485</v>
      </c>
      <c r="D349" s="3"/>
      <c r="E349" s="3"/>
      <c r="F349" s="3" t="s">
        <v>483</v>
      </c>
      <c r="G349" s="3" t="s">
        <v>263</v>
      </c>
      <c r="H349" s="20">
        <v>4590000</v>
      </c>
      <c r="I349" s="21">
        <v>7.4205420002677218E-4</v>
      </c>
      <c r="J349" s="22">
        <v>44196</v>
      </c>
      <c r="K349" s="18" t="s">
        <v>270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hidden="1" customHeight="1">
      <c r="A350" s="19">
        <f t="shared" si="1"/>
        <v>286</v>
      </c>
      <c r="B350" s="3" t="s">
        <v>480</v>
      </c>
      <c r="C350" s="3" t="s">
        <v>485</v>
      </c>
      <c r="D350" s="3"/>
      <c r="E350" s="3"/>
      <c r="F350" s="3" t="s">
        <v>386</v>
      </c>
      <c r="G350" s="3" t="s">
        <v>263</v>
      </c>
      <c r="H350" s="20">
        <v>5245000</v>
      </c>
      <c r="I350" s="21">
        <v>8.4794646604366452E-4</v>
      </c>
      <c r="J350" s="22">
        <v>44196</v>
      </c>
      <c r="K350" s="18" t="s">
        <v>270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hidden="1" customHeight="1">
      <c r="A351" s="19">
        <f t="shared" si="1"/>
        <v>287</v>
      </c>
      <c r="B351" s="3" t="s">
        <v>480</v>
      </c>
      <c r="C351" s="3" t="s">
        <v>485</v>
      </c>
      <c r="D351" s="3"/>
      <c r="E351" s="3"/>
      <c r="F351" s="3" t="s">
        <v>484</v>
      </c>
      <c r="G351" s="3" t="s">
        <v>263</v>
      </c>
      <c r="H351" s="20">
        <v>6646000</v>
      </c>
      <c r="I351" s="21">
        <v>1.0744427480126205E-3</v>
      </c>
      <c r="J351" s="22">
        <v>44196</v>
      </c>
      <c r="K351" s="18" t="s">
        <v>270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hidden="1" customHeight="1">
      <c r="A352" s="19">
        <f t="shared" si="1"/>
        <v>288</v>
      </c>
      <c r="B352" s="3" t="s">
        <v>480</v>
      </c>
      <c r="C352" s="3" t="s">
        <v>485</v>
      </c>
      <c r="D352" s="3"/>
      <c r="E352" s="3"/>
      <c r="F352" s="3" t="s">
        <v>356</v>
      </c>
      <c r="G352" s="3" t="s">
        <v>263</v>
      </c>
      <c r="H352" s="20">
        <v>3641000</v>
      </c>
      <c r="I352" s="21">
        <v>5.8863166498855722E-4</v>
      </c>
      <c r="J352" s="22">
        <v>44196</v>
      </c>
      <c r="K352" s="18" t="s">
        <v>270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hidden="1" customHeight="1">
      <c r="A353" s="19">
        <f t="shared" si="1"/>
        <v>289</v>
      </c>
      <c r="B353" s="3" t="s">
        <v>480</v>
      </c>
      <c r="C353" s="3" t="s">
        <v>485</v>
      </c>
      <c r="D353" s="3"/>
      <c r="E353" s="3"/>
      <c r="F353" s="3" t="s">
        <v>341</v>
      </c>
      <c r="G353" s="3" t="s">
        <v>263</v>
      </c>
      <c r="H353" s="20">
        <v>4847000</v>
      </c>
      <c r="I353" s="21">
        <v>7.8360276852500318E-4</v>
      </c>
      <c r="J353" s="22">
        <v>44196</v>
      </c>
      <c r="K353" s="18" t="s">
        <v>270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hidden="1" customHeight="1">
      <c r="A354" s="19">
        <f t="shared" si="1"/>
        <v>290</v>
      </c>
      <c r="B354" s="3" t="s">
        <v>480</v>
      </c>
      <c r="C354" s="3" t="s">
        <v>485</v>
      </c>
      <c r="D354" s="3"/>
      <c r="E354" s="3"/>
      <c r="F354" s="3" t="s">
        <v>354</v>
      </c>
      <c r="G354" s="3" t="s">
        <v>263</v>
      </c>
      <c r="H354" s="20">
        <v>5546000</v>
      </c>
      <c r="I354" s="21">
        <v>8.9660840813692336E-4</v>
      </c>
      <c r="J354" s="22">
        <v>44196</v>
      </c>
      <c r="K354" s="18" t="s">
        <v>270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hidden="1" customHeight="1">
      <c r="A355" s="19">
        <f t="shared" si="1"/>
        <v>291</v>
      </c>
      <c r="B355" s="3" t="s">
        <v>480</v>
      </c>
      <c r="C355" s="3" t="s">
        <v>485</v>
      </c>
      <c r="D355" s="3"/>
      <c r="E355" s="3"/>
      <c r="F355" s="3" t="s">
        <v>312</v>
      </c>
      <c r="G355" s="3" t="s">
        <v>263</v>
      </c>
      <c r="H355" s="20">
        <v>4315000</v>
      </c>
      <c r="I355" s="21">
        <v>6.9759561505784793E-4</v>
      </c>
      <c r="J355" s="22">
        <v>44196</v>
      </c>
      <c r="K355" s="18" t="s">
        <v>270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hidden="1" customHeight="1">
      <c r="A356" s="19">
        <f t="shared" si="1"/>
        <v>292</v>
      </c>
      <c r="B356" s="3" t="s">
        <v>480</v>
      </c>
      <c r="C356" s="3" t="s">
        <v>485</v>
      </c>
      <c r="D356" s="3"/>
      <c r="E356" s="3"/>
      <c r="F356" s="3" t="s">
        <v>401</v>
      </c>
      <c r="G356" s="3" t="s">
        <v>263</v>
      </c>
      <c r="H356" s="20">
        <v>3290000</v>
      </c>
      <c r="I356" s="21">
        <v>5.3188634381003933E-4</v>
      </c>
      <c r="J356" s="22">
        <v>44196</v>
      </c>
      <c r="K356" s="18" t="s">
        <v>270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hidden="1" customHeight="1">
      <c r="A357" s="19">
        <f t="shared" si="1"/>
        <v>293</v>
      </c>
      <c r="B357" s="3" t="s">
        <v>480</v>
      </c>
      <c r="C357" s="3" t="s">
        <v>486</v>
      </c>
      <c r="D357" s="3"/>
      <c r="E357" s="3"/>
      <c r="F357" s="3" t="s">
        <v>360</v>
      </c>
      <c r="G357" s="3" t="s">
        <v>263</v>
      </c>
      <c r="H357" s="20">
        <v>1106000</v>
      </c>
      <c r="I357" s="21">
        <v>1.8524411690813165E-2</v>
      </c>
      <c r="J357" s="22">
        <v>44196</v>
      </c>
      <c r="K357" s="18" t="s">
        <v>270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hidden="1" customHeight="1">
      <c r="A358" s="19">
        <f t="shared" si="1"/>
        <v>294</v>
      </c>
      <c r="B358" s="3" t="s">
        <v>480</v>
      </c>
      <c r="C358" s="3" t="s">
        <v>486</v>
      </c>
      <c r="D358" s="3"/>
      <c r="E358" s="3"/>
      <c r="F358" s="3" t="s">
        <v>262</v>
      </c>
      <c r="G358" s="3" t="s">
        <v>263</v>
      </c>
      <c r="H358" s="20">
        <v>730000</v>
      </c>
      <c r="I358" s="21">
        <v>1.22267816765765E-2</v>
      </c>
      <c r="J358" s="22">
        <v>44196</v>
      </c>
      <c r="K358" s="18" t="s">
        <v>270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hidden="1" customHeight="1">
      <c r="A359" s="19">
        <f t="shared" si="1"/>
        <v>295</v>
      </c>
      <c r="B359" s="3" t="s">
        <v>480</v>
      </c>
      <c r="C359" s="3" t="s">
        <v>486</v>
      </c>
      <c r="D359" s="3"/>
      <c r="E359" s="3"/>
      <c r="F359" s="3" t="s">
        <v>482</v>
      </c>
      <c r="G359" s="3" t="s">
        <v>263</v>
      </c>
      <c r="H359" s="20">
        <v>1712000</v>
      </c>
      <c r="I359" s="21">
        <v>2.867431538397119E-2</v>
      </c>
      <c r="J359" s="22">
        <v>44196</v>
      </c>
      <c r="K359" s="18" t="s">
        <v>270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hidden="1" customHeight="1">
      <c r="A360" s="19">
        <f t="shared" si="1"/>
        <v>296</v>
      </c>
      <c r="B360" s="3" t="s">
        <v>480</v>
      </c>
      <c r="C360" s="3" t="s">
        <v>486</v>
      </c>
      <c r="D360" s="3"/>
      <c r="E360" s="3"/>
      <c r="F360" s="3" t="s">
        <v>483</v>
      </c>
      <c r="G360" s="3" t="s">
        <v>263</v>
      </c>
      <c r="H360" s="20">
        <v>612000</v>
      </c>
      <c r="I360" s="21">
        <v>1.0250397789129888E-2</v>
      </c>
      <c r="J360" s="22">
        <v>44196</v>
      </c>
      <c r="K360" s="18" t="s">
        <v>270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hidden="1" customHeight="1">
      <c r="A361" s="19">
        <f t="shared" si="1"/>
        <v>297</v>
      </c>
      <c r="B361" s="3" t="s">
        <v>480</v>
      </c>
      <c r="C361" s="3" t="s">
        <v>486</v>
      </c>
      <c r="D361" s="3"/>
      <c r="E361" s="3"/>
      <c r="F361" s="3" t="s">
        <v>386</v>
      </c>
      <c r="G361" s="3" t="s">
        <v>263</v>
      </c>
      <c r="H361" s="20">
        <v>699000</v>
      </c>
      <c r="I361" s="21">
        <v>1.1707562180721883E-2</v>
      </c>
      <c r="J361" s="22">
        <v>44196</v>
      </c>
      <c r="K361" s="18" t="s">
        <v>270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hidden="1" customHeight="1">
      <c r="A362" s="19">
        <f t="shared" si="1"/>
        <v>298</v>
      </c>
      <c r="B362" s="3" t="s">
        <v>480</v>
      </c>
      <c r="C362" s="3" t="s">
        <v>486</v>
      </c>
      <c r="D362" s="3"/>
      <c r="E362" s="3"/>
      <c r="F362" s="3" t="s">
        <v>484</v>
      </c>
      <c r="G362" s="3" t="s">
        <v>263</v>
      </c>
      <c r="H362" s="20">
        <v>886000</v>
      </c>
      <c r="I362" s="21">
        <v>1.4839628171844903E-2</v>
      </c>
      <c r="J362" s="22">
        <v>44196</v>
      </c>
      <c r="K362" s="18" t="s">
        <v>270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hidden="1" customHeight="1">
      <c r="A363" s="19">
        <f t="shared" si="1"/>
        <v>299</v>
      </c>
      <c r="B363" s="3" t="s">
        <v>480</v>
      </c>
      <c r="C363" s="3" t="s">
        <v>486</v>
      </c>
      <c r="D363" s="3"/>
      <c r="E363" s="3"/>
      <c r="F363" s="3" t="s">
        <v>356</v>
      </c>
      <c r="G363" s="3" t="s">
        <v>263</v>
      </c>
      <c r="H363" s="20">
        <v>485000</v>
      </c>
      <c r="I363" s="21">
        <v>8.1232727577254839E-3</v>
      </c>
      <c r="J363" s="22">
        <v>44196</v>
      </c>
      <c r="K363" s="18" t="s">
        <v>270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hidden="1" customHeight="1">
      <c r="A364" s="19">
        <f t="shared" si="1"/>
        <v>300</v>
      </c>
      <c r="B364" s="3" t="s">
        <v>480</v>
      </c>
      <c r="C364" s="3" t="s">
        <v>486</v>
      </c>
      <c r="D364" s="3"/>
      <c r="E364" s="3"/>
      <c r="F364" s="3" t="s">
        <v>341</v>
      </c>
      <c r="G364" s="3" t="s">
        <v>263</v>
      </c>
      <c r="H364" s="20">
        <v>646000</v>
      </c>
      <c r="I364" s="21">
        <v>1.0819864332970438E-2</v>
      </c>
      <c r="J364" s="22">
        <v>44196</v>
      </c>
      <c r="K364" s="18" t="s">
        <v>270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hidden="1" customHeight="1">
      <c r="A365" s="19">
        <f t="shared" si="1"/>
        <v>301</v>
      </c>
      <c r="B365" s="3" t="s">
        <v>480</v>
      </c>
      <c r="C365" s="3" t="s">
        <v>486</v>
      </c>
      <c r="D365" s="3"/>
      <c r="E365" s="3"/>
      <c r="F365" s="3" t="s">
        <v>354</v>
      </c>
      <c r="G365" s="3" t="s">
        <v>263</v>
      </c>
      <c r="H365" s="20">
        <v>739000</v>
      </c>
      <c r="I365" s="21">
        <v>1.2377522820534293E-2</v>
      </c>
      <c r="J365" s="22">
        <v>44196</v>
      </c>
      <c r="K365" s="18" t="s">
        <v>270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hidden="1" customHeight="1">
      <c r="A366" s="19">
        <f t="shared" si="1"/>
        <v>302</v>
      </c>
      <c r="B366" s="3" t="s">
        <v>480</v>
      </c>
      <c r="C366" s="3" t="s">
        <v>486</v>
      </c>
      <c r="D366" s="3"/>
      <c r="E366" s="3"/>
      <c r="F366" s="3" t="s">
        <v>312</v>
      </c>
      <c r="G366" s="3" t="s">
        <v>263</v>
      </c>
      <c r="H366" s="20">
        <v>575000</v>
      </c>
      <c r="I366" s="21">
        <v>9.6306841973034085E-3</v>
      </c>
      <c r="J366" s="22">
        <v>44196</v>
      </c>
      <c r="K366" s="18" t="s">
        <v>270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hidden="1" customHeight="1">
      <c r="A367" s="19">
        <f t="shared" si="1"/>
        <v>303</v>
      </c>
      <c r="B367" s="3" t="s">
        <v>480</v>
      </c>
      <c r="C367" s="3" t="s">
        <v>486</v>
      </c>
      <c r="D367" s="3"/>
      <c r="E367" s="3"/>
      <c r="F367" s="3" t="s">
        <v>401</v>
      </c>
      <c r="G367" s="3" t="s">
        <v>263</v>
      </c>
      <c r="H367" s="20">
        <v>438000</v>
      </c>
      <c r="I367" s="21">
        <v>7.3360690059459006E-3</v>
      </c>
      <c r="J367" s="22">
        <v>44196</v>
      </c>
      <c r="K367" s="18" t="s">
        <v>270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19">
        <f t="shared" si="1"/>
        <v>304</v>
      </c>
      <c r="B368" s="3"/>
      <c r="C368" s="3"/>
      <c r="D368" s="3"/>
      <c r="E368" s="3"/>
      <c r="F368" s="3"/>
      <c r="G368" s="3"/>
      <c r="H368" s="3"/>
      <c r="I368" s="21"/>
      <c r="J368" s="22"/>
      <c r="K368" s="18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19">
        <f t="shared" si="1"/>
        <v>305</v>
      </c>
      <c r="B369" s="3"/>
      <c r="C369" s="3"/>
      <c r="D369" s="3"/>
      <c r="E369" s="3"/>
      <c r="F369" s="3"/>
      <c r="G369" s="3"/>
      <c r="H369" s="3"/>
      <c r="I369" s="21"/>
      <c r="J369" s="22"/>
      <c r="K369" s="18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19">
        <f t="shared" si="1"/>
        <v>306</v>
      </c>
      <c r="B370" s="3"/>
      <c r="C370" s="3"/>
      <c r="D370" s="3"/>
      <c r="E370" s="3"/>
      <c r="F370" s="3"/>
      <c r="G370" s="3"/>
      <c r="H370" s="3"/>
      <c r="I370" s="21"/>
      <c r="J370" s="22"/>
      <c r="K370" s="18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19">
        <f t="shared" si="1"/>
        <v>307</v>
      </c>
      <c r="B371" s="3"/>
      <c r="C371" s="3"/>
      <c r="D371" s="3"/>
      <c r="E371" s="3"/>
      <c r="F371" s="3"/>
      <c r="G371" s="3"/>
      <c r="H371" s="3"/>
      <c r="I371" s="21"/>
      <c r="J371" s="22"/>
      <c r="K371" s="18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19">
        <f t="shared" si="1"/>
        <v>308</v>
      </c>
      <c r="B372" s="3"/>
      <c r="C372" s="3"/>
      <c r="D372" s="3"/>
      <c r="E372" s="3"/>
      <c r="F372" s="3"/>
      <c r="G372" s="3"/>
      <c r="H372" s="3"/>
      <c r="I372" s="21"/>
      <c r="J372" s="22"/>
      <c r="K372" s="18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19">
        <f t="shared" si="1"/>
        <v>309</v>
      </c>
      <c r="B373" s="3"/>
      <c r="C373" s="3"/>
      <c r="D373" s="3"/>
      <c r="E373" s="3"/>
      <c r="F373" s="3"/>
      <c r="G373" s="3"/>
      <c r="H373" s="3"/>
      <c r="I373" s="21"/>
      <c r="J373" s="22"/>
      <c r="K373" s="18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19">
        <f t="shared" si="1"/>
        <v>310</v>
      </c>
      <c r="B374" s="3"/>
      <c r="C374" s="3"/>
      <c r="D374" s="3"/>
      <c r="E374" s="3"/>
      <c r="F374" s="3"/>
      <c r="G374" s="3"/>
      <c r="H374" s="3"/>
      <c r="I374" s="21"/>
      <c r="J374" s="22"/>
      <c r="K374" s="18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19">
        <f t="shared" si="1"/>
        <v>311</v>
      </c>
      <c r="B375" s="3"/>
      <c r="C375" s="3"/>
      <c r="D375" s="3"/>
      <c r="E375" s="3"/>
      <c r="F375" s="3"/>
      <c r="G375" s="3"/>
      <c r="H375" s="3"/>
      <c r="I375" s="21"/>
      <c r="J375" s="22"/>
      <c r="K375" s="18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19">
        <f t="shared" si="1"/>
        <v>312</v>
      </c>
      <c r="B376" s="3"/>
      <c r="C376" s="3"/>
      <c r="D376" s="3"/>
      <c r="E376" s="3"/>
      <c r="F376" s="3"/>
      <c r="G376" s="3"/>
      <c r="H376" s="3"/>
      <c r="I376" s="21"/>
      <c r="J376" s="22"/>
      <c r="K376" s="18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19">
        <f t="shared" si="1"/>
        <v>313</v>
      </c>
      <c r="B377" s="3"/>
      <c r="C377" s="3"/>
      <c r="D377" s="3"/>
      <c r="E377" s="3"/>
      <c r="F377" s="3"/>
      <c r="G377" s="3"/>
      <c r="H377" s="3"/>
      <c r="I377" s="21"/>
      <c r="J377" s="22"/>
      <c r="K377" s="18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19">
        <f t="shared" si="1"/>
        <v>314</v>
      </c>
      <c r="B378" s="3"/>
      <c r="C378" s="3"/>
      <c r="D378" s="3"/>
      <c r="E378" s="3"/>
      <c r="F378" s="3"/>
      <c r="G378" s="3"/>
      <c r="H378" s="3"/>
      <c r="I378" s="21"/>
      <c r="J378" s="22"/>
      <c r="K378" s="18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19">
        <f t="shared" si="1"/>
        <v>315</v>
      </c>
      <c r="B379" s="3"/>
      <c r="C379" s="3"/>
      <c r="D379" s="3"/>
      <c r="E379" s="3"/>
      <c r="F379" s="3"/>
      <c r="G379" s="3"/>
      <c r="H379" s="3"/>
      <c r="I379" s="21"/>
      <c r="J379" s="22"/>
      <c r="K379" s="18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19">
        <f t="shared" si="1"/>
        <v>316</v>
      </c>
      <c r="B380" s="3"/>
      <c r="C380" s="3"/>
      <c r="D380" s="3"/>
      <c r="E380" s="3"/>
      <c r="F380" s="3"/>
      <c r="G380" s="3"/>
      <c r="H380" s="3"/>
      <c r="I380" s="21"/>
      <c r="J380" s="22"/>
      <c r="K380" s="18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19">
        <f t="shared" si="1"/>
        <v>317</v>
      </c>
      <c r="B381" s="3"/>
      <c r="C381" s="3"/>
      <c r="D381" s="3"/>
      <c r="E381" s="3"/>
      <c r="F381" s="3"/>
      <c r="G381" s="3"/>
      <c r="H381" s="3"/>
      <c r="I381" s="21"/>
      <c r="J381" s="22"/>
      <c r="K381" s="18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19">
        <f t="shared" si="1"/>
        <v>318</v>
      </c>
      <c r="B382" s="3"/>
      <c r="C382" s="3"/>
      <c r="D382" s="3"/>
      <c r="E382" s="3"/>
      <c r="F382" s="3"/>
      <c r="G382" s="3"/>
      <c r="H382" s="3"/>
      <c r="I382" s="21"/>
      <c r="J382" s="22"/>
      <c r="K382" s="18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19">
        <f t="shared" si="1"/>
        <v>319</v>
      </c>
      <c r="B383" s="3"/>
      <c r="C383" s="3"/>
      <c r="D383" s="3"/>
      <c r="E383" s="3"/>
      <c r="F383" s="3"/>
      <c r="G383" s="3"/>
      <c r="H383" s="3"/>
      <c r="I383" s="21"/>
      <c r="J383" s="22"/>
      <c r="K383" s="18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19">
        <f t="shared" si="1"/>
        <v>320</v>
      </c>
      <c r="B384" s="3"/>
      <c r="C384" s="3"/>
      <c r="D384" s="3"/>
      <c r="E384" s="3"/>
      <c r="F384" s="3"/>
      <c r="G384" s="3"/>
      <c r="H384" s="3"/>
      <c r="I384" s="21"/>
      <c r="J384" s="22"/>
      <c r="K384" s="18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19">
        <f t="shared" si="1"/>
        <v>321</v>
      </c>
      <c r="B385" s="3"/>
      <c r="C385" s="3"/>
      <c r="D385" s="3"/>
      <c r="E385" s="3"/>
      <c r="F385" s="3"/>
      <c r="G385" s="3"/>
      <c r="H385" s="3"/>
      <c r="I385" s="21"/>
      <c r="J385" s="22"/>
      <c r="K385" s="18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19">
        <f t="shared" si="1"/>
        <v>322</v>
      </c>
      <c r="B386" s="3"/>
      <c r="C386" s="3"/>
      <c r="D386" s="3"/>
      <c r="E386" s="3"/>
      <c r="F386" s="3"/>
      <c r="G386" s="3"/>
      <c r="H386" s="3"/>
      <c r="I386" s="21"/>
      <c r="J386" s="22"/>
      <c r="K386" s="18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19">
        <f t="shared" si="1"/>
        <v>323</v>
      </c>
      <c r="B387" s="3"/>
      <c r="C387" s="3"/>
      <c r="D387" s="3"/>
      <c r="E387" s="3"/>
      <c r="F387" s="3"/>
      <c r="G387" s="3"/>
      <c r="H387" s="3"/>
      <c r="I387" s="21"/>
      <c r="J387" s="22"/>
      <c r="K387" s="18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19">
        <f t="shared" si="1"/>
        <v>324</v>
      </c>
      <c r="B388" s="3"/>
      <c r="C388" s="3"/>
      <c r="D388" s="3"/>
      <c r="E388" s="3"/>
      <c r="F388" s="3"/>
      <c r="G388" s="3"/>
      <c r="H388" s="3"/>
      <c r="I388" s="21"/>
      <c r="J388" s="22"/>
      <c r="K388" s="18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19">
        <f t="shared" si="1"/>
        <v>325</v>
      </c>
      <c r="B389" s="3"/>
      <c r="C389" s="3"/>
      <c r="D389" s="3"/>
      <c r="E389" s="3"/>
      <c r="F389" s="3"/>
      <c r="G389" s="3"/>
      <c r="H389" s="3"/>
      <c r="I389" s="21"/>
      <c r="J389" s="22"/>
      <c r="K389" s="18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19">
        <f t="shared" si="1"/>
        <v>326</v>
      </c>
      <c r="B390" s="3"/>
      <c r="C390" s="3"/>
      <c r="D390" s="3"/>
      <c r="E390" s="3"/>
      <c r="F390" s="3"/>
      <c r="G390" s="3"/>
      <c r="H390" s="3"/>
      <c r="I390" s="21"/>
      <c r="J390" s="22"/>
      <c r="K390" s="18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19">
        <f t="shared" si="1"/>
        <v>327</v>
      </c>
      <c r="B391" s="3"/>
      <c r="C391" s="3"/>
      <c r="D391" s="3"/>
      <c r="E391" s="3"/>
      <c r="F391" s="3"/>
      <c r="G391" s="3"/>
      <c r="H391" s="3"/>
      <c r="I391" s="21"/>
      <c r="J391" s="22"/>
      <c r="K391" s="18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19">
        <f t="shared" si="1"/>
        <v>328</v>
      </c>
      <c r="B392" s="3"/>
      <c r="C392" s="3"/>
      <c r="D392" s="3"/>
      <c r="E392" s="3"/>
      <c r="F392" s="3"/>
      <c r="G392" s="3"/>
      <c r="H392" s="3"/>
      <c r="I392" s="21"/>
      <c r="J392" s="22"/>
      <c r="K392" s="18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19">
        <f t="shared" si="1"/>
        <v>329</v>
      </c>
      <c r="B393" s="3"/>
      <c r="C393" s="3"/>
      <c r="D393" s="3"/>
      <c r="E393" s="3"/>
      <c r="F393" s="3"/>
      <c r="G393" s="3"/>
      <c r="H393" s="3"/>
      <c r="I393" s="21"/>
      <c r="J393" s="22"/>
      <c r="K393" s="18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19">
        <f t="shared" si="1"/>
        <v>330</v>
      </c>
      <c r="B394" s="3"/>
      <c r="C394" s="3"/>
      <c r="D394" s="3"/>
      <c r="E394" s="3"/>
      <c r="F394" s="3"/>
      <c r="G394" s="3"/>
      <c r="H394" s="3"/>
      <c r="I394" s="21"/>
      <c r="J394" s="22"/>
      <c r="K394" s="18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19">
        <f t="shared" si="1"/>
        <v>331</v>
      </c>
      <c r="B395" s="3"/>
      <c r="C395" s="3"/>
      <c r="D395" s="3"/>
      <c r="E395" s="3"/>
      <c r="F395" s="3"/>
      <c r="G395" s="3"/>
      <c r="H395" s="3"/>
      <c r="I395" s="21"/>
      <c r="J395" s="22"/>
      <c r="K395" s="18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19">
        <f t="shared" si="1"/>
        <v>332</v>
      </c>
      <c r="B396" s="3"/>
      <c r="C396" s="3"/>
      <c r="D396" s="3"/>
      <c r="E396" s="3"/>
      <c r="F396" s="3"/>
      <c r="G396" s="3"/>
      <c r="H396" s="3"/>
      <c r="I396" s="21"/>
      <c r="J396" s="22"/>
      <c r="K396" s="18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19">
        <f t="shared" si="1"/>
        <v>333</v>
      </c>
      <c r="B397" s="3"/>
      <c r="C397" s="3"/>
      <c r="D397" s="3"/>
      <c r="E397" s="3"/>
      <c r="F397" s="3"/>
      <c r="G397" s="3"/>
      <c r="H397" s="3"/>
      <c r="I397" s="21"/>
      <c r="J397" s="22"/>
      <c r="K397" s="18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19">
        <f t="shared" si="1"/>
        <v>334</v>
      </c>
      <c r="B398" s="3"/>
      <c r="C398" s="3"/>
      <c r="D398" s="3"/>
      <c r="E398" s="3"/>
      <c r="F398" s="3"/>
      <c r="G398" s="3"/>
      <c r="H398" s="3"/>
      <c r="I398" s="21"/>
      <c r="J398" s="22"/>
      <c r="K398" s="18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19">
        <f t="shared" si="1"/>
        <v>335</v>
      </c>
      <c r="B399" s="3"/>
      <c r="C399" s="3"/>
      <c r="D399" s="3"/>
      <c r="E399" s="3"/>
      <c r="F399" s="3"/>
      <c r="G399" s="3"/>
      <c r="H399" s="3"/>
      <c r="I399" s="21"/>
      <c r="J399" s="22"/>
      <c r="K399" s="18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19">
        <f t="shared" si="1"/>
        <v>336</v>
      </c>
      <c r="B400" s="3"/>
      <c r="C400" s="3"/>
      <c r="D400" s="3"/>
      <c r="E400" s="3"/>
      <c r="F400" s="3"/>
      <c r="G400" s="3"/>
      <c r="H400" s="3"/>
      <c r="I400" s="21"/>
      <c r="J400" s="22"/>
      <c r="K400" s="18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19">
        <f t="shared" si="1"/>
        <v>337</v>
      </c>
      <c r="B401" s="3"/>
      <c r="C401" s="3"/>
      <c r="D401" s="3"/>
      <c r="E401" s="3"/>
      <c r="F401" s="3"/>
      <c r="G401" s="3"/>
      <c r="H401" s="3"/>
      <c r="I401" s="21"/>
      <c r="J401" s="22"/>
      <c r="K401" s="18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19">
        <f t="shared" si="1"/>
        <v>338</v>
      </c>
      <c r="B402" s="3"/>
      <c r="C402" s="3"/>
      <c r="D402" s="3"/>
      <c r="E402" s="3"/>
      <c r="F402" s="3"/>
      <c r="G402" s="3"/>
      <c r="H402" s="3"/>
      <c r="I402" s="21"/>
      <c r="J402" s="22"/>
      <c r="K402" s="18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19">
        <f t="shared" si="1"/>
        <v>339</v>
      </c>
      <c r="B403" s="3"/>
      <c r="C403" s="3"/>
      <c r="D403" s="3"/>
      <c r="E403" s="3"/>
      <c r="F403" s="3"/>
      <c r="G403" s="3"/>
      <c r="H403" s="3"/>
      <c r="I403" s="21"/>
      <c r="J403" s="22"/>
      <c r="K403" s="18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19">
        <f t="shared" si="1"/>
        <v>340</v>
      </c>
      <c r="B404" s="3"/>
      <c r="C404" s="3"/>
      <c r="D404" s="3"/>
      <c r="E404" s="3"/>
      <c r="F404" s="3"/>
      <c r="G404" s="3"/>
      <c r="H404" s="3"/>
      <c r="I404" s="21"/>
      <c r="J404" s="22"/>
      <c r="K404" s="18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19">
        <f t="shared" si="1"/>
        <v>341</v>
      </c>
      <c r="B405" s="3"/>
      <c r="C405" s="3"/>
      <c r="D405" s="3"/>
      <c r="E405" s="3"/>
      <c r="F405" s="3"/>
      <c r="G405" s="3"/>
      <c r="H405" s="3"/>
      <c r="I405" s="21"/>
      <c r="J405" s="22"/>
      <c r="K405" s="18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19">
        <f t="shared" si="1"/>
        <v>342</v>
      </c>
      <c r="B406" s="3"/>
      <c r="C406" s="3"/>
      <c r="D406" s="3"/>
      <c r="E406" s="3"/>
      <c r="F406" s="3"/>
      <c r="G406" s="3"/>
      <c r="H406" s="3"/>
      <c r="I406" s="21"/>
      <c r="J406" s="22"/>
      <c r="K406" s="18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19">
        <f t="shared" si="1"/>
        <v>343</v>
      </c>
      <c r="B407" s="3"/>
      <c r="C407" s="3"/>
      <c r="D407" s="3"/>
      <c r="E407" s="3"/>
      <c r="F407" s="3"/>
      <c r="G407" s="3"/>
      <c r="H407" s="3"/>
      <c r="I407" s="21"/>
      <c r="J407" s="22"/>
      <c r="K407" s="18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19">
        <f t="shared" si="1"/>
        <v>344</v>
      </c>
      <c r="B408" s="3"/>
      <c r="C408" s="3"/>
      <c r="D408" s="3"/>
      <c r="E408" s="3"/>
      <c r="F408" s="3"/>
      <c r="G408" s="3"/>
      <c r="H408" s="3"/>
      <c r="I408" s="21"/>
      <c r="J408" s="22"/>
      <c r="K408" s="18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19">
        <f t="shared" si="1"/>
        <v>345</v>
      </c>
      <c r="B409" s="3"/>
      <c r="C409" s="3"/>
      <c r="D409" s="3"/>
      <c r="E409" s="3"/>
      <c r="F409" s="3"/>
      <c r="G409" s="3"/>
      <c r="H409" s="3"/>
      <c r="I409" s="21"/>
      <c r="J409" s="22"/>
      <c r="K409" s="18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19">
        <f t="shared" si="1"/>
        <v>346</v>
      </c>
      <c r="B410" s="3"/>
      <c r="C410" s="3"/>
      <c r="D410" s="3"/>
      <c r="E410" s="3"/>
      <c r="F410" s="3"/>
      <c r="G410" s="3"/>
      <c r="H410" s="3"/>
      <c r="I410" s="21"/>
      <c r="J410" s="22"/>
      <c r="K410" s="18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19">
        <f t="shared" si="1"/>
        <v>347</v>
      </c>
      <c r="B411" s="3"/>
      <c r="C411" s="3"/>
      <c r="D411" s="3"/>
      <c r="E411" s="3"/>
      <c r="F411" s="3"/>
      <c r="G411" s="3"/>
      <c r="H411" s="3"/>
      <c r="I411" s="21"/>
      <c r="J411" s="22"/>
      <c r="K411" s="18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19">
        <f t="shared" si="1"/>
        <v>348</v>
      </c>
      <c r="B412" s="3"/>
      <c r="C412" s="3"/>
      <c r="D412" s="3"/>
      <c r="E412" s="3"/>
      <c r="F412" s="3"/>
      <c r="G412" s="3"/>
      <c r="H412" s="3"/>
      <c r="I412" s="21"/>
      <c r="J412" s="22"/>
      <c r="K412" s="18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19">
        <f t="shared" si="1"/>
        <v>349</v>
      </c>
      <c r="B413" s="3"/>
      <c r="C413" s="3"/>
      <c r="D413" s="3"/>
      <c r="E413" s="3"/>
      <c r="F413" s="3"/>
      <c r="G413" s="3"/>
      <c r="H413" s="3"/>
      <c r="I413" s="21"/>
      <c r="J413" s="22"/>
      <c r="K413" s="18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19">
        <f t="shared" si="1"/>
        <v>350</v>
      </c>
      <c r="B414" s="3"/>
      <c r="C414" s="3"/>
      <c r="D414" s="3"/>
      <c r="E414" s="3"/>
      <c r="F414" s="3"/>
      <c r="G414" s="3"/>
      <c r="H414" s="3"/>
      <c r="I414" s="21"/>
      <c r="J414" s="22"/>
      <c r="K414" s="18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19">
        <f t="shared" si="1"/>
        <v>351</v>
      </c>
      <c r="B415" s="3"/>
      <c r="C415" s="3"/>
      <c r="D415" s="3"/>
      <c r="E415" s="3"/>
      <c r="F415" s="3"/>
      <c r="G415" s="3"/>
      <c r="H415" s="3"/>
      <c r="I415" s="21"/>
      <c r="J415" s="22"/>
      <c r="K415" s="18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19">
        <f t="shared" si="1"/>
        <v>352</v>
      </c>
      <c r="B416" s="3"/>
      <c r="C416" s="3"/>
      <c r="D416" s="3"/>
      <c r="E416" s="3"/>
      <c r="F416" s="3"/>
      <c r="G416" s="3"/>
      <c r="H416" s="3"/>
      <c r="I416" s="21"/>
      <c r="J416" s="22"/>
      <c r="K416" s="18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19">
        <f t="shared" si="1"/>
        <v>353</v>
      </c>
      <c r="B417" s="3"/>
      <c r="C417" s="3"/>
      <c r="D417" s="3"/>
      <c r="E417" s="3"/>
      <c r="F417" s="3"/>
      <c r="G417" s="3"/>
      <c r="H417" s="3"/>
      <c r="I417" s="21"/>
      <c r="J417" s="22"/>
      <c r="K417" s="18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19">
        <f t="shared" si="1"/>
        <v>354</v>
      </c>
      <c r="B418" s="3"/>
      <c r="C418" s="3"/>
      <c r="D418" s="3"/>
      <c r="E418" s="3"/>
      <c r="F418" s="3"/>
      <c r="G418" s="3"/>
      <c r="H418" s="3"/>
      <c r="I418" s="21"/>
      <c r="J418" s="22"/>
      <c r="K418" s="18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19">
        <f t="shared" si="1"/>
        <v>355</v>
      </c>
      <c r="B419" s="3"/>
      <c r="C419" s="3"/>
      <c r="D419" s="3"/>
      <c r="E419" s="3"/>
      <c r="F419" s="3"/>
      <c r="G419" s="3"/>
      <c r="H419" s="3"/>
      <c r="I419" s="21"/>
      <c r="J419" s="22"/>
      <c r="K419" s="18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19">
        <f t="shared" si="1"/>
        <v>356</v>
      </c>
      <c r="B420" s="3"/>
      <c r="C420" s="3"/>
      <c r="D420" s="3"/>
      <c r="E420" s="3"/>
      <c r="F420" s="3"/>
      <c r="G420" s="3"/>
      <c r="H420" s="3"/>
      <c r="I420" s="21"/>
      <c r="J420" s="22"/>
      <c r="K420" s="18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19">
        <f t="shared" si="1"/>
        <v>357</v>
      </c>
      <c r="B421" s="3"/>
      <c r="C421" s="3"/>
      <c r="D421" s="3"/>
      <c r="E421" s="3"/>
      <c r="F421" s="3"/>
      <c r="G421" s="3"/>
      <c r="H421" s="3"/>
      <c r="I421" s="21"/>
      <c r="J421" s="22"/>
      <c r="K421" s="18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19">
        <f t="shared" si="1"/>
        <v>358</v>
      </c>
      <c r="B422" s="3"/>
      <c r="C422" s="3"/>
      <c r="D422" s="3"/>
      <c r="E422" s="3"/>
      <c r="F422" s="3"/>
      <c r="G422" s="3"/>
      <c r="H422" s="3"/>
      <c r="I422" s="21"/>
      <c r="J422" s="22"/>
      <c r="K422" s="18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19">
        <f t="shared" si="1"/>
        <v>359</v>
      </c>
      <c r="B423" s="3"/>
      <c r="C423" s="3"/>
      <c r="D423" s="3"/>
      <c r="E423" s="3"/>
      <c r="F423" s="3"/>
      <c r="G423" s="3"/>
      <c r="H423" s="3"/>
      <c r="I423" s="21"/>
      <c r="J423" s="22"/>
      <c r="K423" s="18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19">
        <f t="shared" si="1"/>
        <v>360</v>
      </c>
      <c r="B424" s="3"/>
      <c r="C424" s="3"/>
      <c r="D424" s="3"/>
      <c r="E424" s="3"/>
      <c r="F424" s="3"/>
      <c r="G424" s="3"/>
      <c r="H424" s="3"/>
      <c r="I424" s="21"/>
      <c r="J424" s="22"/>
      <c r="K424" s="18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19">
        <f t="shared" si="1"/>
        <v>361</v>
      </c>
      <c r="B425" s="3"/>
      <c r="C425" s="3"/>
      <c r="D425" s="3"/>
      <c r="E425" s="3"/>
      <c r="F425" s="3"/>
      <c r="G425" s="3"/>
      <c r="H425" s="3"/>
      <c r="I425" s="21"/>
      <c r="J425" s="22"/>
      <c r="K425" s="18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19">
        <f t="shared" si="1"/>
        <v>362</v>
      </c>
      <c r="B426" s="3"/>
      <c r="C426" s="3"/>
      <c r="D426" s="3"/>
      <c r="E426" s="3"/>
      <c r="F426" s="3"/>
      <c r="G426" s="3"/>
      <c r="H426" s="3"/>
      <c r="I426" s="21"/>
      <c r="J426" s="22"/>
      <c r="K426" s="18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19">
        <f t="shared" si="1"/>
        <v>363</v>
      </c>
      <c r="B427" s="3"/>
      <c r="C427" s="3"/>
      <c r="D427" s="3"/>
      <c r="E427" s="3"/>
      <c r="F427" s="3"/>
      <c r="G427" s="3"/>
      <c r="H427" s="3"/>
      <c r="I427" s="21"/>
      <c r="J427" s="22"/>
      <c r="K427" s="18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19">
        <f t="shared" si="1"/>
        <v>364</v>
      </c>
      <c r="B428" s="3"/>
      <c r="C428" s="3"/>
      <c r="D428" s="3"/>
      <c r="E428" s="3"/>
      <c r="F428" s="3"/>
      <c r="G428" s="3"/>
      <c r="H428" s="3"/>
      <c r="I428" s="21"/>
      <c r="J428" s="22"/>
      <c r="K428" s="18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19">
        <f t="shared" si="1"/>
        <v>365</v>
      </c>
      <c r="B429" s="3"/>
      <c r="C429" s="3"/>
      <c r="D429" s="3"/>
      <c r="E429" s="3"/>
      <c r="F429" s="3"/>
      <c r="G429" s="3"/>
      <c r="H429" s="3"/>
      <c r="I429" s="21"/>
      <c r="J429" s="22"/>
      <c r="K429" s="18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19">
        <f t="shared" si="1"/>
        <v>366</v>
      </c>
      <c r="B430" s="3"/>
      <c r="C430" s="3"/>
      <c r="D430" s="3"/>
      <c r="E430" s="3"/>
      <c r="F430" s="3"/>
      <c r="G430" s="3"/>
      <c r="H430" s="3"/>
      <c r="I430" s="21"/>
      <c r="J430" s="22"/>
      <c r="K430" s="18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19">
        <f t="shared" si="1"/>
        <v>367</v>
      </c>
      <c r="B431" s="3"/>
      <c r="C431" s="3"/>
      <c r="D431" s="3"/>
      <c r="E431" s="3"/>
      <c r="F431" s="3"/>
      <c r="G431" s="3"/>
      <c r="H431" s="3"/>
      <c r="I431" s="21"/>
      <c r="J431" s="22"/>
      <c r="K431" s="18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19">
        <f t="shared" si="1"/>
        <v>368</v>
      </c>
      <c r="B432" s="3"/>
      <c r="C432" s="3"/>
      <c r="D432" s="3"/>
      <c r="E432" s="3"/>
      <c r="F432" s="3"/>
      <c r="G432" s="3"/>
      <c r="H432" s="3"/>
      <c r="I432" s="21"/>
      <c r="J432" s="22"/>
      <c r="K432" s="18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19">
        <f t="shared" si="1"/>
        <v>369</v>
      </c>
      <c r="B433" s="3"/>
      <c r="C433" s="3"/>
      <c r="D433" s="3"/>
      <c r="E433" s="3"/>
      <c r="F433" s="3"/>
      <c r="G433" s="3"/>
      <c r="H433" s="3"/>
      <c r="I433" s="21"/>
      <c r="J433" s="22"/>
      <c r="K433" s="18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19">
        <f t="shared" si="1"/>
        <v>370</v>
      </c>
      <c r="B434" s="3"/>
      <c r="C434" s="3"/>
      <c r="D434" s="3"/>
      <c r="E434" s="3"/>
      <c r="F434" s="3"/>
      <c r="G434" s="3"/>
      <c r="H434" s="3"/>
      <c r="I434" s="21"/>
      <c r="J434" s="22"/>
      <c r="K434" s="18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19">
        <f t="shared" si="1"/>
        <v>371</v>
      </c>
      <c r="B435" s="3"/>
      <c r="C435" s="3"/>
      <c r="D435" s="3"/>
      <c r="E435" s="3"/>
      <c r="F435" s="3"/>
      <c r="G435" s="3"/>
      <c r="H435" s="3"/>
      <c r="I435" s="21"/>
      <c r="J435" s="22"/>
      <c r="K435" s="18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19">
        <f t="shared" si="1"/>
        <v>372</v>
      </c>
      <c r="B436" s="3"/>
      <c r="C436" s="3"/>
      <c r="D436" s="3"/>
      <c r="E436" s="3"/>
      <c r="F436" s="3"/>
      <c r="G436" s="3"/>
      <c r="H436" s="3"/>
      <c r="I436" s="21"/>
      <c r="J436" s="22"/>
      <c r="K436" s="18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19">
        <f t="shared" si="1"/>
        <v>373</v>
      </c>
      <c r="B437" s="3"/>
      <c r="C437" s="3"/>
      <c r="D437" s="3"/>
      <c r="E437" s="3"/>
      <c r="F437" s="3"/>
      <c r="G437" s="3"/>
      <c r="H437" s="3"/>
      <c r="I437" s="21"/>
      <c r="J437" s="22"/>
      <c r="K437" s="18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19">
        <f t="shared" si="1"/>
        <v>374</v>
      </c>
      <c r="B438" s="3"/>
      <c r="C438" s="3"/>
      <c r="D438" s="3"/>
      <c r="E438" s="3"/>
      <c r="F438" s="3"/>
      <c r="G438" s="3"/>
      <c r="H438" s="3"/>
      <c r="I438" s="21"/>
      <c r="J438" s="22"/>
      <c r="K438" s="18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19">
        <f t="shared" si="1"/>
        <v>375</v>
      </c>
      <c r="B439" s="3"/>
      <c r="C439" s="3"/>
      <c r="D439" s="3"/>
      <c r="E439" s="3"/>
      <c r="F439" s="3"/>
      <c r="G439" s="3"/>
      <c r="H439" s="3"/>
      <c r="I439" s="21"/>
      <c r="J439" s="22"/>
      <c r="K439" s="18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19">
        <f t="shared" si="1"/>
        <v>376</v>
      </c>
      <c r="B440" s="3"/>
      <c r="C440" s="3"/>
      <c r="D440" s="3"/>
      <c r="E440" s="3"/>
      <c r="F440" s="3"/>
      <c r="G440" s="3"/>
      <c r="H440" s="3"/>
      <c r="I440" s="21"/>
      <c r="J440" s="22"/>
      <c r="K440" s="18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19">
        <f t="shared" si="1"/>
        <v>377</v>
      </c>
      <c r="B441" s="3"/>
      <c r="C441" s="3"/>
      <c r="D441" s="3"/>
      <c r="E441" s="3"/>
      <c r="F441" s="3"/>
      <c r="G441" s="3"/>
      <c r="H441" s="3"/>
      <c r="I441" s="21"/>
      <c r="J441" s="22"/>
      <c r="K441" s="18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19">
        <f t="shared" si="1"/>
        <v>378</v>
      </c>
      <c r="B442" s="3"/>
      <c r="C442" s="3"/>
      <c r="D442" s="3"/>
      <c r="E442" s="3"/>
      <c r="F442" s="3"/>
      <c r="G442" s="3"/>
      <c r="H442" s="3"/>
      <c r="I442" s="21"/>
      <c r="J442" s="22"/>
      <c r="K442" s="18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19">
        <f t="shared" si="1"/>
        <v>379</v>
      </c>
      <c r="B443" s="3"/>
      <c r="C443" s="3"/>
      <c r="D443" s="3"/>
      <c r="E443" s="3"/>
      <c r="F443" s="3"/>
      <c r="G443" s="3"/>
      <c r="H443" s="3"/>
      <c r="I443" s="21"/>
      <c r="J443" s="22"/>
      <c r="K443" s="18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19">
        <f t="shared" si="1"/>
        <v>380</v>
      </c>
      <c r="B444" s="3"/>
      <c r="C444" s="3"/>
      <c r="D444" s="3"/>
      <c r="E444" s="3"/>
      <c r="F444" s="3"/>
      <c r="G444" s="3"/>
      <c r="H444" s="3"/>
      <c r="I444" s="21"/>
      <c r="J444" s="22"/>
      <c r="K444" s="18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19">
        <f t="shared" si="1"/>
        <v>381</v>
      </c>
      <c r="B445" s="3"/>
      <c r="C445" s="3"/>
      <c r="D445" s="3"/>
      <c r="E445" s="3"/>
      <c r="F445" s="3"/>
      <c r="G445" s="3"/>
      <c r="H445" s="3"/>
      <c r="I445" s="21"/>
      <c r="J445" s="22"/>
      <c r="K445" s="18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19">
        <f t="shared" si="1"/>
        <v>382</v>
      </c>
      <c r="B446" s="3"/>
      <c r="C446" s="3"/>
      <c r="D446" s="3"/>
      <c r="E446" s="3"/>
      <c r="F446" s="3"/>
      <c r="G446" s="3"/>
      <c r="H446" s="3"/>
      <c r="I446" s="21"/>
      <c r="J446" s="22"/>
      <c r="K446" s="18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19">
        <f t="shared" si="1"/>
        <v>383</v>
      </c>
      <c r="B447" s="3"/>
      <c r="C447" s="3"/>
      <c r="D447" s="3"/>
      <c r="E447" s="3"/>
      <c r="F447" s="3"/>
      <c r="G447" s="3"/>
      <c r="H447" s="3"/>
      <c r="I447" s="21"/>
      <c r="J447" s="22"/>
      <c r="K447" s="18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19">
        <f t="shared" si="1"/>
        <v>384</v>
      </c>
      <c r="B448" s="3"/>
      <c r="C448" s="3"/>
      <c r="D448" s="3"/>
      <c r="E448" s="3"/>
      <c r="F448" s="3"/>
      <c r="G448" s="3"/>
      <c r="H448" s="3"/>
      <c r="I448" s="21"/>
      <c r="J448" s="22"/>
      <c r="K448" s="18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19">
        <f t="shared" si="1"/>
        <v>385</v>
      </c>
      <c r="B449" s="3"/>
      <c r="C449" s="3"/>
      <c r="D449" s="3"/>
      <c r="E449" s="3"/>
      <c r="F449" s="3"/>
      <c r="G449" s="3"/>
      <c r="H449" s="3"/>
      <c r="I449" s="21"/>
      <c r="J449" s="22"/>
      <c r="K449" s="18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19">
        <f t="shared" si="1"/>
        <v>386</v>
      </c>
      <c r="B450" s="3"/>
      <c r="C450" s="3"/>
      <c r="D450" s="3"/>
      <c r="E450" s="3"/>
      <c r="F450" s="3"/>
      <c r="G450" s="3"/>
      <c r="H450" s="3"/>
      <c r="I450" s="21"/>
      <c r="J450" s="22"/>
      <c r="K450" s="18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19">
        <f t="shared" si="1"/>
        <v>387</v>
      </c>
      <c r="B451" s="3"/>
      <c r="C451" s="3"/>
      <c r="D451" s="3"/>
      <c r="E451" s="3"/>
      <c r="F451" s="3"/>
      <c r="G451" s="3"/>
      <c r="H451" s="3"/>
      <c r="I451" s="21"/>
      <c r="J451" s="22"/>
      <c r="K451" s="18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19">
        <f t="shared" si="1"/>
        <v>388</v>
      </c>
      <c r="B452" s="3"/>
      <c r="C452" s="3"/>
      <c r="D452" s="3"/>
      <c r="E452" s="3"/>
      <c r="F452" s="3"/>
      <c r="G452" s="3"/>
      <c r="H452" s="3"/>
      <c r="I452" s="21"/>
      <c r="J452" s="22"/>
      <c r="K452" s="18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19">
        <f t="shared" si="1"/>
        <v>389</v>
      </c>
      <c r="B453" s="3"/>
      <c r="C453" s="3"/>
      <c r="D453" s="3"/>
      <c r="E453" s="3"/>
      <c r="F453" s="3"/>
      <c r="G453" s="3"/>
      <c r="H453" s="3"/>
      <c r="I453" s="21"/>
      <c r="J453" s="22"/>
      <c r="K453" s="18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19">
        <f t="shared" si="1"/>
        <v>390</v>
      </c>
      <c r="B454" s="3"/>
      <c r="C454" s="3"/>
      <c r="D454" s="3"/>
      <c r="E454" s="3"/>
      <c r="F454" s="3"/>
      <c r="G454" s="3"/>
      <c r="H454" s="3"/>
      <c r="I454" s="21"/>
      <c r="J454" s="22"/>
      <c r="K454" s="18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19">
        <f t="shared" si="1"/>
        <v>391</v>
      </c>
      <c r="B455" s="3"/>
      <c r="C455" s="3"/>
      <c r="D455" s="3"/>
      <c r="E455" s="3"/>
      <c r="F455" s="3"/>
      <c r="G455" s="3"/>
      <c r="H455" s="3"/>
      <c r="I455" s="21"/>
      <c r="J455" s="22"/>
      <c r="K455" s="18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19">
        <f t="shared" si="1"/>
        <v>392</v>
      </c>
      <c r="B456" s="3"/>
      <c r="C456" s="3"/>
      <c r="D456" s="3"/>
      <c r="E456" s="3"/>
      <c r="F456" s="3"/>
      <c r="G456" s="3"/>
      <c r="H456" s="3"/>
      <c r="I456" s="21"/>
      <c r="J456" s="22"/>
      <c r="K456" s="18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19">
        <f t="shared" si="1"/>
        <v>393</v>
      </c>
      <c r="B457" s="3"/>
      <c r="C457" s="3"/>
      <c r="D457" s="3"/>
      <c r="E457" s="3"/>
      <c r="F457" s="3"/>
      <c r="G457" s="3"/>
      <c r="H457" s="3"/>
      <c r="I457" s="21"/>
      <c r="J457" s="22"/>
      <c r="K457" s="18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19">
        <f t="shared" si="1"/>
        <v>394</v>
      </c>
      <c r="B458" s="3"/>
      <c r="C458" s="3"/>
      <c r="D458" s="3"/>
      <c r="E458" s="3"/>
      <c r="F458" s="3"/>
      <c r="G458" s="3"/>
      <c r="H458" s="3"/>
      <c r="I458" s="21"/>
      <c r="J458" s="22"/>
      <c r="K458" s="18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19">
        <f t="shared" si="1"/>
        <v>395</v>
      </c>
      <c r="B459" s="3"/>
      <c r="C459" s="3"/>
      <c r="D459" s="3"/>
      <c r="E459" s="3"/>
      <c r="F459" s="3"/>
      <c r="G459" s="3"/>
      <c r="H459" s="3"/>
      <c r="I459" s="21"/>
      <c r="J459" s="22"/>
      <c r="K459" s="18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19">
        <f t="shared" si="1"/>
        <v>396</v>
      </c>
      <c r="B460" s="3"/>
      <c r="C460" s="3"/>
      <c r="D460" s="3"/>
      <c r="E460" s="3"/>
      <c r="F460" s="3"/>
      <c r="G460" s="3"/>
      <c r="H460" s="3"/>
      <c r="I460" s="21"/>
      <c r="J460" s="22"/>
      <c r="K460" s="18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19">
        <f t="shared" si="1"/>
        <v>397</v>
      </c>
      <c r="B461" s="3"/>
      <c r="C461" s="3"/>
      <c r="D461" s="3"/>
      <c r="E461" s="3"/>
      <c r="F461" s="3"/>
      <c r="G461" s="3"/>
      <c r="H461" s="3"/>
      <c r="I461" s="21"/>
      <c r="J461" s="22"/>
      <c r="K461" s="18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19">
        <f t="shared" si="1"/>
        <v>398</v>
      </c>
      <c r="B462" s="3"/>
      <c r="C462" s="3"/>
      <c r="D462" s="3"/>
      <c r="E462" s="3"/>
      <c r="F462" s="3"/>
      <c r="G462" s="3"/>
      <c r="H462" s="3"/>
      <c r="I462" s="21"/>
      <c r="J462" s="22"/>
      <c r="K462" s="18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19">
        <f t="shared" si="1"/>
        <v>399</v>
      </c>
      <c r="B463" s="3"/>
      <c r="C463" s="3"/>
      <c r="D463" s="3"/>
      <c r="E463" s="3"/>
      <c r="F463" s="3"/>
      <c r="G463" s="3"/>
      <c r="H463" s="3"/>
      <c r="I463" s="21"/>
      <c r="J463" s="22"/>
      <c r="K463" s="18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19">
        <f t="shared" si="1"/>
        <v>400</v>
      </c>
      <c r="B464" s="3"/>
      <c r="C464" s="3"/>
      <c r="D464" s="3"/>
      <c r="E464" s="3"/>
      <c r="F464" s="3"/>
      <c r="G464" s="3"/>
      <c r="H464" s="3"/>
      <c r="I464" s="21"/>
      <c r="J464" s="22"/>
      <c r="K464" s="18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19">
        <f t="shared" si="1"/>
        <v>401</v>
      </c>
      <c r="B465" s="3"/>
      <c r="C465" s="3"/>
      <c r="D465" s="3"/>
      <c r="E465" s="3"/>
      <c r="F465" s="3"/>
      <c r="G465" s="3"/>
      <c r="H465" s="3"/>
      <c r="I465" s="21"/>
      <c r="J465" s="22"/>
      <c r="K465" s="18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19">
        <f t="shared" si="1"/>
        <v>402</v>
      </c>
      <c r="B466" s="3"/>
      <c r="C466" s="3"/>
      <c r="D466" s="3"/>
      <c r="E466" s="3"/>
      <c r="F466" s="3"/>
      <c r="G466" s="3"/>
      <c r="H466" s="3"/>
      <c r="I466" s="21"/>
      <c r="J466" s="22"/>
      <c r="K466" s="18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19">
        <f t="shared" si="1"/>
        <v>403</v>
      </c>
      <c r="B467" s="3"/>
      <c r="C467" s="3"/>
      <c r="D467" s="3"/>
      <c r="E467" s="3"/>
      <c r="F467" s="3"/>
      <c r="G467" s="3"/>
      <c r="H467" s="3"/>
      <c r="I467" s="21"/>
      <c r="J467" s="22"/>
      <c r="K467" s="18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19">
        <f t="shared" si="1"/>
        <v>404</v>
      </c>
      <c r="B468" s="3"/>
      <c r="C468" s="3"/>
      <c r="D468" s="3"/>
      <c r="E468" s="3"/>
      <c r="F468" s="3"/>
      <c r="G468" s="3"/>
      <c r="H468" s="3"/>
      <c r="I468" s="21"/>
      <c r="J468" s="22"/>
      <c r="K468" s="18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19">
        <f t="shared" si="1"/>
        <v>405</v>
      </c>
      <c r="B469" s="3"/>
      <c r="C469" s="3"/>
      <c r="D469" s="3"/>
      <c r="E469" s="3"/>
      <c r="F469" s="3"/>
      <c r="G469" s="3"/>
      <c r="H469" s="3"/>
      <c r="I469" s="21"/>
      <c r="J469" s="22"/>
      <c r="K469" s="18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19">
        <f t="shared" si="1"/>
        <v>406</v>
      </c>
      <c r="B470" s="3"/>
      <c r="C470" s="3"/>
      <c r="D470" s="3"/>
      <c r="E470" s="3"/>
      <c r="F470" s="3"/>
      <c r="G470" s="3"/>
      <c r="H470" s="3"/>
      <c r="I470" s="21"/>
      <c r="J470" s="22"/>
      <c r="K470" s="18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19">
        <f t="shared" si="1"/>
        <v>407</v>
      </c>
      <c r="B471" s="3"/>
      <c r="C471" s="3"/>
      <c r="D471" s="3"/>
      <c r="E471" s="3"/>
      <c r="F471" s="3"/>
      <c r="G471" s="3"/>
      <c r="H471" s="3"/>
      <c r="I471" s="21"/>
      <c r="J471" s="22"/>
      <c r="K471" s="18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19">
        <f t="shared" si="1"/>
        <v>408</v>
      </c>
      <c r="B472" s="3"/>
      <c r="C472" s="3"/>
      <c r="D472" s="3"/>
      <c r="E472" s="3"/>
      <c r="F472" s="3"/>
      <c r="G472" s="3"/>
      <c r="H472" s="3"/>
      <c r="I472" s="21"/>
      <c r="J472" s="22"/>
      <c r="K472" s="18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19">
        <f t="shared" si="1"/>
        <v>409</v>
      </c>
      <c r="B473" s="3"/>
      <c r="C473" s="3"/>
      <c r="D473" s="3"/>
      <c r="E473" s="3"/>
      <c r="F473" s="3"/>
      <c r="G473" s="3"/>
      <c r="H473" s="3"/>
      <c r="I473" s="21"/>
      <c r="J473" s="22"/>
      <c r="K473" s="18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19">
        <f t="shared" si="1"/>
        <v>410</v>
      </c>
      <c r="B474" s="3"/>
      <c r="C474" s="3"/>
      <c r="D474" s="3"/>
      <c r="E474" s="3"/>
      <c r="F474" s="3"/>
      <c r="G474" s="3"/>
      <c r="H474" s="3"/>
      <c r="I474" s="21"/>
      <c r="J474" s="22"/>
      <c r="K474" s="18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19">
        <f t="shared" si="1"/>
        <v>411</v>
      </c>
      <c r="B475" s="3"/>
      <c r="C475" s="3"/>
      <c r="D475" s="3"/>
      <c r="E475" s="3"/>
      <c r="F475" s="3"/>
      <c r="G475" s="3"/>
      <c r="H475" s="3"/>
      <c r="I475" s="21"/>
      <c r="J475" s="22"/>
      <c r="K475" s="18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19">
        <f t="shared" si="1"/>
        <v>412</v>
      </c>
      <c r="B476" s="3"/>
      <c r="C476" s="3"/>
      <c r="D476" s="3"/>
      <c r="E476" s="3"/>
      <c r="F476" s="3"/>
      <c r="G476" s="3"/>
      <c r="H476" s="3"/>
      <c r="I476" s="21"/>
      <c r="J476" s="22"/>
      <c r="K476" s="18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19">
        <f t="shared" si="1"/>
        <v>413</v>
      </c>
      <c r="B477" s="3"/>
      <c r="C477" s="3"/>
      <c r="D477" s="3"/>
      <c r="E477" s="3"/>
      <c r="F477" s="3"/>
      <c r="G477" s="3"/>
      <c r="H477" s="3"/>
      <c r="I477" s="21"/>
      <c r="J477" s="22"/>
      <c r="K477" s="18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19">
        <f t="shared" si="1"/>
        <v>414</v>
      </c>
      <c r="B478" s="3"/>
      <c r="C478" s="3"/>
      <c r="D478" s="3"/>
      <c r="E478" s="3"/>
      <c r="F478" s="3"/>
      <c r="G478" s="3"/>
      <c r="H478" s="3"/>
      <c r="I478" s="21"/>
      <c r="J478" s="22"/>
      <c r="K478" s="18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19">
        <f t="shared" si="1"/>
        <v>415</v>
      </c>
      <c r="B479" s="3"/>
      <c r="C479" s="3"/>
      <c r="D479" s="3"/>
      <c r="E479" s="3"/>
      <c r="F479" s="3"/>
      <c r="G479" s="3"/>
      <c r="H479" s="3"/>
      <c r="I479" s="21"/>
      <c r="J479" s="22"/>
      <c r="K479" s="18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19">
        <f t="shared" si="1"/>
        <v>416</v>
      </c>
      <c r="B480" s="3"/>
      <c r="C480" s="3"/>
      <c r="D480" s="3"/>
      <c r="E480" s="3"/>
      <c r="F480" s="3"/>
      <c r="G480" s="3"/>
      <c r="H480" s="3"/>
      <c r="I480" s="21"/>
      <c r="J480" s="22"/>
      <c r="K480" s="18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19">
        <f t="shared" si="1"/>
        <v>417</v>
      </c>
      <c r="B481" s="3"/>
      <c r="C481" s="3"/>
      <c r="D481" s="3"/>
      <c r="E481" s="3"/>
      <c r="F481" s="3"/>
      <c r="G481" s="3"/>
      <c r="H481" s="3"/>
      <c r="I481" s="21"/>
      <c r="J481" s="22"/>
      <c r="K481" s="18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19">
        <f t="shared" si="1"/>
        <v>418</v>
      </c>
      <c r="B482" s="3"/>
      <c r="C482" s="3"/>
      <c r="D482" s="3"/>
      <c r="E482" s="3"/>
      <c r="F482" s="3"/>
      <c r="G482" s="3"/>
      <c r="H482" s="3"/>
      <c r="I482" s="21"/>
      <c r="J482" s="22"/>
      <c r="K482" s="18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19">
        <f t="shared" si="1"/>
        <v>419</v>
      </c>
      <c r="B483" s="3"/>
      <c r="C483" s="3"/>
      <c r="D483" s="3"/>
      <c r="E483" s="3"/>
      <c r="F483" s="3"/>
      <c r="G483" s="3"/>
      <c r="H483" s="3"/>
      <c r="I483" s="21"/>
      <c r="J483" s="22"/>
      <c r="K483" s="18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19">
        <f t="shared" si="1"/>
        <v>420</v>
      </c>
      <c r="B484" s="3"/>
      <c r="C484" s="3"/>
      <c r="D484" s="3"/>
      <c r="E484" s="3"/>
      <c r="F484" s="3"/>
      <c r="G484" s="3"/>
      <c r="H484" s="3"/>
      <c r="I484" s="21"/>
      <c r="J484" s="22"/>
      <c r="K484" s="18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19">
        <f t="shared" si="1"/>
        <v>421</v>
      </c>
      <c r="B485" s="3"/>
      <c r="C485" s="3"/>
      <c r="D485" s="3"/>
      <c r="E485" s="3"/>
      <c r="F485" s="3"/>
      <c r="G485" s="3"/>
      <c r="H485" s="3"/>
      <c r="I485" s="21"/>
      <c r="J485" s="22"/>
      <c r="K485" s="18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19">
        <f t="shared" si="1"/>
        <v>422</v>
      </c>
      <c r="B486" s="3"/>
      <c r="C486" s="3"/>
      <c r="D486" s="3"/>
      <c r="E486" s="3"/>
      <c r="F486" s="3"/>
      <c r="G486" s="3"/>
      <c r="H486" s="3"/>
      <c r="I486" s="21"/>
      <c r="J486" s="22"/>
      <c r="K486" s="18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19">
        <f t="shared" si="1"/>
        <v>423</v>
      </c>
      <c r="B487" s="3"/>
      <c r="C487" s="3"/>
      <c r="D487" s="3"/>
      <c r="E487" s="3"/>
      <c r="F487" s="3"/>
      <c r="G487" s="3"/>
      <c r="H487" s="3"/>
      <c r="I487" s="21"/>
      <c r="J487" s="22"/>
      <c r="K487" s="18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19">
        <f t="shared" si="1"/>
        <v>424</v>
      </c>
      <c r="B488" s="3"/>
      <c r="C488" s="3"/>
      <c r="D488" s="3"/>
      <c r="E488" s="3"/>
      <c r="F488" s="3"/>
      <c r="G488" s="3"/>
      <c r="H488" s="3"/>
      <c r="I488" s="21"/>
      <c r="J488" s="22"/>
      <c r="K488" s="18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19">
        <f t="shared" si="1"/>
        <v>425</v>
      </c>
      <c r="B489" s="3"/>
      <c r="C489" s="3"/>
      <c r="D489" s="3"/>
      <c r="E489" s="3"/>
      <c r="F489" s="3"/>
      <c r="G489" s="3"/>
      <c r="H489" s="3"/>
      <c r="I489" s="21"/>
      <c r="J489" s="22"/>
      <c r="K489" s="18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19">
        <f t="shared" si="1"/>
        <v>426</v>
      </c>
      <c r="B490" s="3"/>
      <c r="C490" s="3"/>
      <c r="D490" s="3"/>
      <c r="E490" s="3"/>
      <c r="F490" s="3"/>
      <c r="G490" s="3"/>
      <c r="H490" s="3"/>
      <c r="I490" s="21"/>
      <c r="J490" s="22"/>
      <c r="K490" s="18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19">
        <f t="shared" si="1"/>
        <v>427</v>
      </c>
      <c r="B491" s="3"/>
      <c r="C491" s="3"/>
      <c r="D491" s="3"/>
      <c r="E491" s="3"/>
      <c r="F491" s="3"/>
      <c r="G491" s="3"/>
      <c r="H491" s="3"/>
      <c r="I491" s="21"/>
      <c r="J491" s="22"/>
      <c r="K491" s="18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19">
        <f t="shared" si="1"/>
        <v>428</v>
      </c>
      <c r="B492" s="3"/>
      <c r="C492" s="3"/>
      <c r="D492" s="3"/>
      <c r="E492" s="3"/>
      <c r="F492" s="3"/>
      <c r="G492" s="3"/>
      <c r="H492" s="3"/>
      <c r="I492" s="21"/>
      <c r="J492" s="22"/>
      <c r="K492" s="18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19">
        <f t="shared" si="1"/>
        <v>429</v>
      </c>
      <c r="B493" s="3"/>
      <c r="C493" s="3"/>
      <c r="D493" s="3"/>
      <c r="E493" s="3"/>
      <c r="F493" s="3"/>
      <c r="G493" s="3"/>
      <c r="H493" s="3"/>
      <c r="I493" s="21"/>
      <c r="J493" s="22"/>
      <c r="K493" s="18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19">
        <f t="shared" si="1"/>
        <v>430</v>
      </c>
      <c r="B494" s="3"/>
      <c r="C494" s="3"/>
      <c r="D494" s="3"/>
      <c r="E494" s="3"/>
      <c r="F494" s="3"/>
      <c r="G494" s="3"/>
      <c r="H494" s="3"/>
      <c r="I494" s="21"/>
      <c r="J494" s="22"/>
      <c r="K494" s="18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19">
        <f t="shared" si="1"/>
        <v>431</v>
      </c>
      <c r="B495" s="3"/>
      <c r="C495" s="3"/>
      <c r="D495" s="3"/>
      <c r="E495" s="3"/>
      <c r="F495" s="3"/>
      <c r="G495" s="3"/>
      <c r="H495" s="3"/>
      <c r="I495" s="21"/>
      <c r="J495" s="22"/>
      <c r="K495" s="18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19">
        <f t="shared" si="1"/>
        <v>432</v>
      </c>
      <c r="B496" s="3"/>
      <c r="C496" s="3"/>
      <c r="D496" s="3"/>
      <c r="E496" s="3"/>
      <c r="F496" s="3"/>
      <c r="G496" s="3"/>
      <c r="H496" s="3"/>
      <c r="I496" s="21"/>
      <c r="J496" s="22"/>
      <c r="K496" s="18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19">
        <f t="shared" si="1"/>
        <v>433</v>
      </c>
      <c r="B497" s="3"/>
      <c r="C497" s="3"/>
      <c r="D497" s="3"/>
      <c r="E497" s="3"/>
      <c r="F497" s="3"/>
      <c r="G497" s="3"/>
      <c r="H497" s="3"/>
      <c r="I497" s="21"/>
      <c r="J497" s="22"/>
      <c r="K497" s="18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19">
        <f t="shared" si="1"/>
        <v>434</v>
      </c>
      <c r="B498" s="3"/>
      <c r="C498" s="3"/>
      <c r="D498" s="3"/>
      <c r="E498" s="3"/>
      <c r="F498" s="3"/>
      <c r="G498" s="3"/>
      <c r="H498" s="3"/>
      <c r="I498" s="21"/>
      <c r="J498" s="22"/>
      <c r="K498" s="18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19">
        <f t="shared" si="1"/>
        <v>435</v>
      </c>
      <c r="B499" s="3"/>
      <c r="C499" s="3"/>
      <c r="D499" s="3"/>
      <c r="E499" s="3"/>
      <c r="F499" s="3"/>
      <c r="G499" s="3"/>
      <c r="H499" s="3"/>
      <c r="I499" s="21"/>
      <c r="J499" s="22"/>
      <c r="K499" s="18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19">
        <f t="shared" si="1"/>
        <v>436</v>
      </c>
      <c r="B500" s="3"/>
      <c r="C500" s="3"/>
      <c r="D500" s="3"/>
      <c r="E500" s="3"/>
      <c r="F500" s="3"/>
      <c r="G500" s="3"/>
      <c r="H500" s="3"/>
      <c r="I500" s="21"/>
      <c r="J500" s="22"/>
      <c r="K500" s="18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19">
        <f t="shared" si="1"/>
        <v>437</v>
      </c>
      <c r="B501" s="3"/>
      <c r="C501" s="3"/>
      <c r="D501" s="3"/>
      <c r="E501" s="3"/>
      <c r="F501" s="3"/>
      <c r="G501" s="3"/>
      <c r="H501" s="3"/>
      <c r="I501" s="21"/>
      <c r="J501" s="22"/>
      <c r="K501" s="18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19">
        <f t="shared" si="1"/>
        <v>438</v>
      </c>
      <c r="B502" s="3"/>
      <c r="C502" s="3"/>
      <c r="D502" s="3"/>
      <c r="E502" s="3"/>
      <c r="F502" s="3"/>
      <c r="G502" s="3"/>
      <c r="H502" s="3"/>
      <c r="I502" s="21"/>
      <c r="J502" s="22"/>
      <c r="K502" s="18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19">
        <f t="shared" si="1"/>
        <v>439</v>
      </c>
      <c r="B503" s="3"/>
      <c r="C503" s="3"/>
      <c r="D503" s="3"/>
      <c r="E503" s="3"/>
      <c r="F503" s="3"/>
      <c r="G503" s="3"/>
      <c r="H503" s="3"/>
      <c r="I503" s="21"/>
      <c r="J503" s="22"/>
      <c r="K503" s="18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19">
        <f t="shared" si="1"/>
        <v>440</v>
      </c>
      <c r="B504" s="3"/>
      <c r="C504" s="3"/>
      <c r="D504" s="3"/>
      <c r="E504" s="3"/>
      <c r="F504" s="3"/>
      <c r="G504" s="3"/>
      <c r="H504" s="3"/>
      <c r="I504" s="21"/>
      <c r="J504" s="22"/>
      <c r="K504" s="18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19">
        <f t="shared" si="1"/>
        <v>441</v>
      </c>
      <c r="B505" s="3"/>
      <c r="C505" s="3"/>
      <c r="D505" s="3"/>
      <c r="E505" s="3"/>
      <c r="F505" s="3"/>
      <c r="G505" s="3"/>
      <c r="H505" s="3"/>
      <c r="I505" s="21"/>
      <c r="J505" s="22"/>
      <c r="K505" s="18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19">
        <f t="shared" si="1"/>
        <v>442</v>
      </c>
      <c r="B506" s="3"/>
      <c r="C506" s="3"/>
      <c r="D506" s="3"/>
      <c r="E506" s="3"/>
      <c r="F506" s="3"/>
      <c r="G506" s="3"/>
      <c r="H506" s="3"/>
      <c r="I506" s="21"/>
      <c r="J506" s="22"/>
      <c r="K506" s="18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19">
        <f t="shared" si="1"/>
        <v>443</v>
      </c>
      <c r="B507" s="3"/>
      <c r="C507" s="3"/>
      <c r="D507" s="3"/>
      <c r="E507" s="3"/>
      <c r="F507" s="3"/>
      <c r="G507" s="3"/>
      <c r="H507" s="3"/>
      <c r="I507" s="21"/>
      <c r="J507" s="22"/>
      <c r="K507" s="18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19">
        <f t="shared" si="1"/>
        <v>444</v>
      </c>
      <c r="B508" s="3"/>
      <c r="C508" s="3"/>
      <c r="D508" s="3"/>
      <c r="E508" s="3"/>
      <c r="F508" s="3"/>
      <c r="G508" s="3"/>
      <c r="H508" s="3"/>
      <c r="I508" s="21"/>
      <c r="J508" s="22"/>
      <c r="K508" s="18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19">
        <f t="shared" si="1"/>
        <v>445</v>
      </c>
      <c r="B509" s="3"/>
      <c r="C509" s="3"/>
      <c r="D509" s="3"/>
      <c r="E509" s="3"/>
      <c r="F509" s="3"/>
      <c r="G509" s="3"/>
      <c r="H509" s="3"/>
      <c r="I509" s="21"/>
      <c r="J509" s="22"/>
      <c r="K509" s="18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19">
        <f t="shared" si="1"/>
        <v>446</v>
      </c>
      <c r="B510" s="3"/>
      <c r="C510" s="3"/>
      <c r="D510" s="3"/>
      <c r="E510" s="3"/>
      <c r="F510" s="3"/>
      <c r="G510" s="3"/>
      <c r="H510" s="3"/>
      <c r="I510" s="21"/>
      <c r="J510" s="22"/>
      <c r="K510" s="18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19">
        <f t="shared" si="1"/>
        <v>447</v>
      </c>
      <c r="B511" s="3"/>
      <c r="C511" s="3"/>
      <c r="D511" s="3"/>
      <c r="E511" s="3"/>
      <c r="F511" s="3"/>
      <c r="G511" s="3"/>
      <c r="H511" s="3"/>
      <c r="I511" s="21"/>
      <c r="J511" s="22"/>
      <c r="K511" s="18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19">
        <f t="shared" si="1"/>
        <v>448</v>
      </c>
      <c r="B512" s="3"/>
      <c r="C512" s="3"/>
      <c r="D512" s="3"/>
      <c r="E512" s="3"/>
      <c r="F512" s="3"/>
      <c r="G512" s="3"/>
      <c r="H512" s="3"/>
      <c r="I512" s="21"/>
      <c r="J512" s="22"/>
      <c r="K512" s="18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19">
        <f t="shared" si="1"/>
        <v>449</v>
      </c>
      <c r="B513" s="3"/>
      <c r="C513" s="3"/>
      <c r="D513" s="3"/>
      <c r="E513" s="3"/>
      <c r="F513" s="3"/>
      <c r="G513" s="3"/>
      <c r="H513" s="3"/>
      <c r="I513" s="21"/>
      <c r="J513" s="22"/>
      <c r="K513" s="18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19">
        <f t="shared" si="1"/>
        <v>450</v>
      </c>
      <c r="B514" s="3"/>
      <c r="C514" s="3"/>
      <c r="D514" s="3"/>
      <c r="E514" s="3"/>
      <c r="F514" s="3"/>
      <c r="G514" s="3"/>
      <c r="H514" s="3"/>
      <c r="I514" s="21"/>
      <c r="J514" s="22"/>
      <c r="K514" s="18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19">
        <f t="shared" si="1"/>
        <v>451</v>
      </c>
      <c r="B515" s="3"/>
      <c r="C515" s="3"/>
      <c r="D515" s="3"/>
      <c r="E515" s="3"/>
      <c r="F515" s="3"/>
      <c r="G515" s="3"/>
      <c r="H515" s="3"/>
      <c r="I515" s="21"/>
      <c r="J515" s="22"/>
      <c r="K515" s="18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19">
        <f t="shared" si="1"/>
        <v>452</v>
      </c>
      <c r="B516" s="3"/>
      <c r="C516" s="3"/>
      <c r="D516" s="3"/>
      <c r="E516" s="3"/>
      <c r="F516" s="3"/>
      <c r="G516" s="3"/>
      <c r="H516" s="3"/>
      <c r="I516" s="21"/>
      <c r="J516" s="22"/>
      <c r="K516" s="18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19">
        <f t="shared" si="1"/>
        <v>453</v>
      </c>
      <c r="B517" s="3"/>
      <c r="C517" s="3"/>
      <c r="D517" s="3"/>
      <c r="E517" s="3"/>
      <c r="F517" s="3"/>
      <c r="G517" s="3"/>
      <c r="H517" s="3"/>
      <c r="I517" s="21"/>
      <c r="J517" s="22"/>
      <c r="K517" s="18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19">
        <f t="shared" si="1"/>
        <v>454</v>
      </c>
      <c r="B518" s="3"/>
      <c r="C518" s="3"/>
      <c r="D518" s="3"/>
      <c r="E518" s="3"/>
      <c r="F518" s="3"/>
      <c r="G518" s="3"/>
      <c r="H518" s="3"/>
      <c r="I518" s="21"/>
      <c r="J518" s="22"/>
      <c r="K518" s="18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19">
        <f t="shared" si="1"/>
        <v>455</v>
      </c>
      <c r="B519" s="3"/>
      <c r="C519" s="3"/>
      <c r="D519" s="3"/>
      <c r="E519" s="3"/>
      <c r="F519" s="3"/>
      <c r="G519" s="3"/>
      <c r="H519" s="3"/>
      <c r="I519" s="21"/>
      <c r="J519" s="22"/>
      <c r="K519" s="18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19">
        <f t="shared" si="1"/>
        <v>456</v>
      </c>
      <c r="B520" s="3"/>
      <c r="C520" s="3"/>
      <c r="D520" s="3"/>
      <c r="E520" s="3"/>
      <c r="F520" s="3"/>
      <c r="G520" s="3"/>
      <c r="H520" s="3"/>
      <c r="I520" s="21"/>
      <c r="J520" s="22"/>
      <c r="K520" s="18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19">
        <f t="shared" si="1"/>
        <v>457</v>
      </c>
      <c r="B521" s="3"/>
      <c r="C521" s="3"/>
      <c r="D521" s="3"/>
      <c r="E521" s="3"/>
      <c r="F521" s="3"/>
      <c r="G521" s="3"/>
      <c r="H521" s="3"/>
      <c r="I521" s="21"/>
      <c r="J521" s="22"/>
      <c r="K521" s="18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19">
        <f t="shared" si="1"/>
        <v>458</v>
      </c>
      <c r="B522" s="3"/>
      <c r="C522" s="3"/>
      <c r="D522" s="3"/>
      <c r="E522" s="3"/>
      <c r="F522" s="3"/>
      <c r="G522" s="3"/>
      <c r="H522" s="3"/>
      <c r="I522" s="21"/>
      <c r="J522" s="22"/>
      <c r="K522" s="18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19">
        <f t="shared" si="1"/>
        <v>459</v>
      </c>
      <c r="B523" s="3"/>
      <c r="C523" s="3"/>
      <c r="D523" s="3"/>
      <c r="E523" s="3"/>
      <c r="F523" s="3"/>
      <c r="G523" s="3"/>
      <c r="H523" s="3"/>
      <c r="I523" s="21"/>
      <c r="J523" s="22"/>
      <c r="K523" s="18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19">
        <f t="shared" si="1"/>
        <v>460</v>
      </c>
      <c r="B524" s="3"/>
      <c r="C524" s="3"/>
      <c r="D524" s="3"/>
      <c r="E524" s="3"/>
      <c r="F524" s="3"/>
      <c r="G524" s="3"/>
      <c r="H524" s="3"/>
      <c r="I524" s="21"/>
      <c r="J524" s="22"/>
      <c r="K524" s="18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19">
        <f t="shared" si="1"/>
        <v>461</v>
      </c>
      <c r="B525" s="3"/>
      <c r="C525" s="3"/>
      <c r="D525" s="3"/>
      <c r="E525" s="3"/>
      <c r="F525" s="3"/>
      <c r="G525" s="3"/>
      <c r="H525" s="3"/>
      <c r="I525" s="21"/>
      <c r="J525" s="22"/>
      <c r="K525" s="18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19">
        <f t="shared" si="1"/>
        <v>462</v>
      </c>
      <c r="B526" s="3"/>
      <c r="C526" s="3"/>
      <c r="D526" s="3"/>
      <c r="E526" s="3"/>
      <c r="F526" s="3"/>
      <c r="G526" s="3"/>
      <c r="H526" s="3"/>
      <c r="I526" s="21"/>
      <c r="J526" s="22"/>
      <c r="K526" s="18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19">
        <f t="shared" si="1"/>
        <v>463</v>
      </c>
      <c r="B527" s="3"/>
      <c r="C527" s="3"/>
      <c r="D527" s="3"/>
      <c r="E527" s="3"/>
      <c r="F527" s="3"/>
      <c r="G527" s="3"/>
      <c r="H527" s="3"/>
      <c r="I527" s="21"/>
      <c r="J527" s="22"/>
      <c r="K527" s="18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19">
        <f t="shared" si="1"/>
        <v>464</v>
      </c>
      <c r="B528" s="3"/>
      <c r="C528" s="3"/>
      <c r="D528" s="3"/>
      <c r="E528" s="3"/>
      <c r="F528" s="3"/>
      <c r="G528" s="3"/>
      <c r="H528" s="3"/>
      <c r="I528" s="21"/>
      <c r="J528" s="22"/>
      <c r="K528" s="18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19">
        <f t="shared" si="1"/>
        <v>465</v>
      </c>
      <c r="B529" s="3"/>
      <c r="C529" s="3"/>
      <c r="D529" s="3"/>
      <c r="E529" s="3"/>
      <c r="F529" s="3"/>
      <c r="G529" s="3"/>
      <c r="H529" s="3"/>
      <c r="I529" s="21"/>
      <c r="J529" s="22"/>
      <c r="K529" s="18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19">
        <f t="shared" si="1"/>
        <v>466</v>
      </c>
      <c r="B530" s="3"/>
      <c r="C530" s="3"/>
      <c r="D530" s="3"/>
      <c r="E530" s="3"/>
      <c r="F530" s="3"/>
      <c r="G530" s="3"/>
      <c r="H530" s="3"/>
      <c r="I530" s="21"/>
      <c r="J530" s="22"/>
      <c r="K530" s="18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19">
        <f t="shared" si="1"/>
        <v>467</v>
      </c>
      <c r="B531" s="3"/>
      <c r="C531" s="3"/>
      <c r="D531" s="3"/>
      <c r="E531" s="3"/>
      <c r="F531" s="3"/>
      <c r="G531" s="3"/>
      <c r="H531" s="3"/>
      <c r="I531" s="21"/>
      <c r="J531" s="22"/>
      <c r="K531" s="18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19">
        <f t="shared" si="1"/>
        <v>468</v>
      </c>
      <c r="B532" s="3"/>
      <c r="C532" s="3"/>
      <c r="D532" s="3"/>
      <c r="E532" s="3"/>
      <c r="F532" s="3"/>
      <c r="G532" s="3"/>
      <c r="H532" s="3"/>
      <c r="I532" s="21"/>
      <c r="J532" s="22"/>
      <c r="K532" s="18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19">
        <f t="shared" si="1"/>
        <v>469</v>
      </c>
      <c r="B533" s="3"/>
      <c r="C533" s="3"/>
      <c r="D533" s="3"/>
      <c r="E533" s="3"/>
      <c r="F533" s="3"/>
      <c r="G533" s="3"/>
      <c r="H533" s="3"/>
      <c r="I533" s="21"/>
      <c r="J533" s="22"/>
      <c r="K533" s="18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19">
        <f t="shared" si="1"/>
        <v>470</v>
      </c>
      <c r="B534" s="3"/>
      <c r="C534" s="3"/>
      <c r="D534" s="3"/>
      <c r="E534" s="3"/>
      <c r="F534" s="3"/>
      <c r="G534" s="3"/>
      <c r="H534" s="3"/>
      <c r="I534" s="21"/>
      <c r="J534" s="22"/>
      <c r="K534" s="18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19">
        <f t="shared" si="1"/>
        <v>471</v>
      </c>
      <c r="B535" s="3"/>
      <c r="C535" s="3"/>
      <c r="D535" s="3"/>
      <c r="E535" s="3"/>
      <c r="F535" s="3"/>
      <c r="G535" s="3"/>
      <c r="H535" s="3"/>
      <c r="I535" s="21"/>
      <c r="J535" s="22"/>
      <c r="K535" s="18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19">
        <f t="shared" si="1"/>
        <v>472</v>
      </c>
      <c r="B536" s="3"/>
      <c r="C536" s="3"/>
      <c r="D536" s="3"/>
      <c r="E536" s="3"/>
      <c r="F536" s="3"/>
      <c r="G536" s="3"/>
      <c r="H536" s="3"/>
      <c r="I536" s="21"/>
      <c r="J536" s="22"/>
      <c r="K536" s="18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19">
        <f t="shared" si="1"/>
        <v>473</v>
      </c>
      <c r="B537" s="3"/>
      <c r="C537" s="3"/>
      <c r="D537" s="3"/>
      <c r="E537" s="3"/>
      <c r="F537" s="3"/>
      <c r="G537" s="3"/>
      <c r="H537" s="3"/>
      <c r="I537" s="21"/>
      <c r="J537" s="22"/>
      <c r="K537" s="18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19">
        <f t="shared" si="1"/>
        <v>474</v>
      </c>
      <c r="B538" s="3"/>
      <c r="C538" s="3"/>
      <c r="D538" s="3"/>
      <c r="E538" s="3"/>
      <c r="F538" s="3"/>
      <c r="G538" s="3"/>
      <c r="H538" s="3"/>
      <c r="I538" s="21"/>
      <c r="J538" s="22"/>
      <c r="K538" s="18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19">
        <f t="shared" si="1"/>
        <v>475</v>
      </c>
      <c r="B539" s="3"/>
      <c r="C539" s="3"/>
      <c r="D539" s="3"/>
      <c r="E539" s="3"/>
      <c r="F539" s="3"/>
      <c r="G539" s="3"/>
      <c r="H539" s="3"/>
      <c r="I539" s="21"/>
      <c r="J539" s="22"/>
      <c r="K539" s="18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19">
        <f t="shared" si="1"/>
        <v>476</v>
      </c>
      <c r="B540" s="3"/>
      <c r="C540" s="3"/>
      <c r="D540" s="3"/>
      <c r="E540" s="3"/>
      <c r="F540" s="3"/>
      <c r="G540" s="3"/>
      <c r="H540" s="3"/>
      <c r="I540" s="21"/>
      <c r="J540" s="22"/>
      <c r="K540" s="18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19">
        <f t="shared" si="1"/>
        <v>477</v>
      </c>
      <c r="B541" s="3"/>
      <c r="C541" s="3"/>
      <c r="D541" s="3"/>
      <c r="E541" s="3"/>
      <c r="F541" s="3"/>
      <c r="G541" s="3"/>
      <c r="H541" s="3"/>
      <c r="I541" s="21"/>
      <c r="J541" s="22"/>
      <c r="K541" s="18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19">
        <f t="shared" si="1"/>
        <v>478</v>
      </c>
      <c r="B542" s="3"/>
      <c r="C542" s="3"/>
      <c r="D542" s="3"/>
      <c r="E542" s="3"/>
      <c r="F542" s="3"/>
      <c r="G542" s="3"/>
      <c r="H542" s="3"/>
      <c r="I542" s="21"/>
      <c r="J542" s="22"/>
      <c r="K542" s="18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19">
        <f t="shared" si="1"/>
        <v>479</v>
      </c>
      <c r="B543" s="3"/>
      <c r="C543" s="3"/>
      <c r="D543" s="3"/>
      <c r="E543" s="3"/>
      <c r="F543" s="3"/>
      <c r="G543" s="3"/>
      <c r="H543" s="3"/>
      <c r="I543" s="21"/>
      <c r="J543" s="22"/>
      <c r="K543" s="18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19">
        <f t="shared" si="1"/>
        <v>480</v>
      </c>
      <c r="B544" s="3"/>
      <c r="C544" s="3"/>
      <c r="D544" s="3"/>
      <c r="E544" s="3"/>
      <c r="F544" s="3"/>
      <c r="G544" s="3"/>
      <c r="H544" s="3"/>
      <c r="I544" s="21"/>
      <c r="J544" s="22"/>
      <c r="K544" s="18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19">
        <f t="shared" si="1"/>
        <v>481</v>
      </c>
      <c r="B545" s="3"/>
      <c r="C545" s="3"/>
      <c r="D545" s="3"/>
      <c r="E545" s="3"/>
      <c r="F545" s="3"/>
      <c r="G545" s="3"/>
      <c r="H545" s="3"/>
      <c r="I545" s="21"/>
      <c r="J545" s="22"/>
      <c r="K545" s="18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19">
        <f t="shared" si="1"/>
        <v>482</v>
      </c>
      <c r="B546" s="3"/>
      <c r="C546" s="3"/>
      <c r="D546" s="3"/>
      <c r="E546" s="3"/>
      <c r="F546" s="3"/>
      <c r="G546" s="3"/>
      <c r="H546" s="3"/>
      <c r="I546" s="21"/>
      <c r="J546" s="22"/>
      <c r="K546" s="18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19">
        <f t="shared" si="1"/>
        <v>483</v>
      </c>
      <c r="B547" s="3"/>
      <c r="C547" s="3"/>
      <c r="D547" s="3"/>
      <c r="E547" s="3"/>
      <c r="F547" s="3"/>
      <c r="G547" s="3"/>
      <c r="H547" s="3"/>
      <c r="I547" s="21"/>
      <c r="J547" s="22"/>
      <c r="K547" s="18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19">
        <f t="shared" si="1"/>
        <v>484</v>
      </c>
      <c r="B548" s="3"/>
      <c r="C548" s="3"/>
      <c r="D548" s="3"/>
      <c r="E548" s="3"/>
      <c r="F548" s="3"/>
      <c r="G548" s="3"/>
      <c r="H548" s="3"/>
      <c r="I548" s="21"/>
      <c r="J548" s="22"/>
      <c r="K548" s="18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19">
        <f t="shared" si="1"/>
        <v>485</v>
      </c>
      <c r="B549" s="3"/>
      <c r="C549" s="3"/>
      <c r="D549" s="3"/>
      <c r="E549" s="3"/>
      <c r="F549" s="3"/>
      <c r="G549" s="3"/>
      <c r="H549" s="3"/>
      <c r="I549" s="21"/>
      <c r="J549" s="22"/>
      <c r="K549" s="18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19">
        <f t="shared" si="1"/>
        <v>486</v>
      </c>
      <c r="B550" s="3"/>
      <c r="C550" s="3"/>
      <c r="D550" s="3"/>
      <c r="E550" s="3"/>
      <c r="F550" s="3"/>
      <c r="G550" s="3"/>
      <c r="H550" s="3"/>
      <c r="I550" s="21"/>
      <c r="J550" s="22"/>
      <c r="K550" s="18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19">
        <f t="shared" si="1"/>
        <v>487</v>
      </c>
      <c r="B551" s="3"/>
      <c r="C551" s="3"/>
      <c r="D551" s="3"/>
      <c r="E551" s="3"/>
      <c r="F551" s="3"/>
      <c r="G551" s="3"/>
      <c r="H551" s="3"/>
      <c r="I551" s="21"/>
      <c r="J551" s="22"/>
      <c r="K551" s="18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19">
        <f t="shared" si="1"/>
        <v>488</v>
      </c>
      <c r="B552" s="3"/>
      <c r="C552" s="3"/>
      <c r="D552" s="3"/>
      <c r="E552" s="3"/>
      <c r="F552" s="3"/>
      <c r="G552" s="3"/>
      <c r="H552" s="3"/>
      <c r="I552" s="21"/>
      <c r="J552" s="22"/>
      <c r="K552" s="18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19">
        <f t="shared" si="1"/>
        <v>489</v>
      </c>
      <c r="B553" s="3"/>
      <c r="C553" s="3"/>
      <c r="D553" s="3"/>
      <c r="E553" s="3"/>
      <c r="F553" s="3"/>
      <c r="G553" s="3"/>
      <c r="H553" s="3"/>
      <c r="I553" s="21"/>
      <c r="J553" s="22"/>
      <c r="K553" s="18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19">
        <f t="shared" si="1"/>
        <v>490</v>
      </c>
      <c r="B554" s="3"/>
      <c r="C554" s="3"/>
      <c r="D554" s="3"/>
      <c r="E554" s="3"/>
      <c r="F554" s="3"/>
      <c r="G554" s="3"/>
      <c r="H554" s="3"/>
      <c r="I554" s="21"/>
      <c r="J554" s="22"/>
      <c r="K554" s="18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19">
        <f t="shared" si="1"/>
        <v>491</v>
      </c>
      <c r="B555" s="3"/>
      <c r="C555" s="3"/>
      <c r="D555" s="3"/>
      <c r="E555" s="3"/>
      <c r="F555" s="3"/>
      <c r="G555" s="3"/>
      <c r="H555" s="3"/>
      <c r="I555" s="21"/>
      <c r="J555" s="22"/>
      <c r="K555" s="18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19">
        <f t="shared" si="1"/>
        <v>492</v>
      </c>
      <c r="B556" s="3"/>
      <c r="C556" s="3"/>
      <c r="D556" s="3"/>
      <c r="E556" s="3"/>
      <c r="F556" s="3"/>
      <c r="G556" s="3"/>
      <c r="H556" s="3"/>
      <c r="I556" s="21"/>
      <c r="J556" s="22"/>
      <c r="K556" s="18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19">
        <f t="shared" si="1"/>
        <v>493</v>
      </c>
      <c r="B557" s="3"/>
      <c r="C557" s="3"/>
      <c r="D557" s="3"/>
      <c r="E557" s="3"/>
      <c r="F557" s="3"/>
      <c r="G557" s="3"/>
      <c r="H557" s="3"/>
      <c r="I557" s="21"/>
      <c r="J557" s="22"/>
      <c r="K557" s="18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19">
        <f t="shared" si="1"/>
        <v>494</v>
      </c>
      <c r="B558" s="3"/>
      <c r="C558" s="3"/>
      <c r="D558" s="3"/>
      <c r="E558" s="3"/>
      <c r="F558" s="3"/>
      <c r="G558" s="3"/>
      <c r="H558" s="3"/>
      <c r="I558" s="21"/>
      <c r="J558" s="22"/>
      <c r="K558" s="18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19">
        <f t="shared" si="1"/>
        <v>495</v>
      </c>
      <c r="B559" s="3"/>
      <c r="C559" s="3"/>
      <c r="D559" s="3"/>
      <c r="E559" s="3"/>
      <c r="F559" s="3"/>
      <c r="G559" s="3"/>
      <c r="H559" s="3"/>
      <c r="I559" s="21"/>
      <c r="J559" s="22"/>
      <c r="K559" s="18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19">
        <f t="shared" si="1"/>
        <v>496</v>
      </c>
      <c r="B560" s="3"/>
      <c r="C560" s="3"/>
      <c r="D560" s="3"/>
      <c r="E560" s="3"/>
      <c r="F560" s="3"/>
      <c r="G560" s="3"/>
      <c r="H560" s="3"/>
      <c r="I560" s="21"/>
      <c r="J560" s="22"/>
      <c r="K560" s="18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19">
        <f t="shared" si="1"/>
        <v>497</v>
      </c>
      <c r="B561" s="3"/>
      <c r="C561" s="3"/>
      <c r="D561" s="3"/>
      <c r="E561" s="3"/>
      <c r="F561" s="3"/>
      <c r="G561" s="3"/>
      <c r="H561" s="3"/>
      <c r="I561" s="21"/>
      <c r="J561" s="22"/>
      <c r="K561" s="18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19">
        <f t="shared" si="1"/>
        <v>498</v>
      </c>
      <c r="B562" s="3"/>
      <c r="C562" s="3"/>
      <c r="D562" s="3"/>
      <c r="E562" s="3"/>
      <c r="F562" s="3"/>
      <c r="G562" s="3"/>
      <c r="H562" s="3"/>
      <c r="I562" s="21"/>
      <c r="J562" s="22"/>
      <c r="K562" s="18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19">
        <f t="shared" si="1"/>
        <v>499</v>
      </c>
      <c r="B563" s="3"/>
      <c r="C563" s="3"/>
      <c r="D563" s="3"/>
      <c r="E563" s="3"/>
      <c r="F563" s="3"/>
      <c r="G563" s="3"/>
      <c r="H563" s="3"/>
      <c r="I563" s="21"/>
      <c r="J563" s="22"/>
      <c r="K563" s="18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19">
        <f t="shared" si="1"/>
        <v>500</v>
      </c>
      <c r="B564" s="3"/>
      <c r="C564" s="3"/>
      <c r="D564" s="3"/>
      <c r="E564" s="3"/>
      <c r="F564" s="3"/>
      <c r="G564" s="3"/>
      <c r="H564" s="3"/>
      <c r="I564" s="21"/>
      <c r="J564" s="22"/>
      <c r="K564" s="18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19">
        <f t="shared" si="1"/>
        <v>501</v>
      </c>
      <c r="B565" s="3"/>
      <c r="C565" s="3"/>
      <c r="D565" s="3"/>
      <c r="E565" s="3"/>
      <c r="F565" s="3"/>
      <c r="G565" s="3"/>
      <c r="H565" s="3"/>
      <c r="I565" s="21"/>
      <c r="J565" s="22"/>
      <c r="K565" s="18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19">
        <f t="shared" si="1"/>
        <v>502</v>
      </c>
      <c r="B566" s="3"/>
      <c r="C566" s="3"/>
      <c r="D566" s="3"/>
      <c r="E566" s="3"/>
      <c r="F566" s="3"/>
      <c r="G566" s="3"/>
      <c r="H566" s="3"/>
      <c r="I566" s="21"/>
      <c r="J566" s="22"/>
      <c r="K566" s="18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19">
        <f t="shared" si="1"/>
        <v>503</v>
      </c>
      <c r="B567" s="3"/>
      <c r="C567" s="3"/>
      <c r="D567" s="3"/>
      <c r="E567" s="3"/>
      <c r="F567" s="3"/>
      <c r="G567" s="3"/>
      <c r="H567" s="3"/>
      <c r="I567" s="21"/>
      <c r="J567" s="22"/>
      <c r="K567" s="18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19">
        <f t="shared" si="1"/>
        <v>504</v>
      </c>
      <c r="B568" s="3"/>
      <c r="C568" s="3"/>
      <c r="D568" s="3"/>
      <c r="E568" s="3"/>
      <c r="F568" s="3"/>
      <c r="G568" s="3"/>
      <c r="H568" s="3"/>
      <c r="I568" s="21"/>
      <c r="J568" s="22"/>
      <c r="K568" s="18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19">
        <f t="shared" si="1"/>
        <v>505</v>
      </c>
      <c r="B569" s="3"/>
      <c r="C569" s="3"/>
      <c r="D569" s="3"/>
      <c r="E569" s="3"/>
      <c r="F569" s="3"/>
      <c r="G569" s="3"/>
      <c r="H569" s="3"/>
      <c r="I569" s="21"/>
      <c r="J569" s="22"/>
      <c r="K569" s="18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19">
        <f t="shared" si="1"/>
        <v>506</v>
      </c>
      <c r="B570" s="3"/>
      <c r="C570" s="3"/>
      <c r="D570" s="3"/>
      <c r="E570" s="3"/>
      <c r="F570" s="3"/>
      <c r="G570" s="3"/>
      <c r="H570" s="3"/>
      <c r="I570" s="21"/>
      <c r="J570" s="22"/>
      <c r="K570" s="18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19">
        <f t="shared" si="1"/>
        <v>507</v>
      </c>
      <c r="B571" s="3"/>
      <c r="C571" s="3"/>
      <c r="D571" s="3"/>
      <c r="E571" s="3"/>
      <c r="F571" s="3"/>
      <c r="G571" s="3"/>
      <c r="H571" s="3"/>
      <c r="I571" s="21"/>
      <c r="J571" s="22"/>
      <c r="K571" s="18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19">
        <f t="shared" si="1"/>
        <v>508</v>
      </c>
      <c r="B572" s="3"/>
      <c r="C572" s="3"/>
      <c r="D572" s="3"/>
      <c r="E572" s="3"/>
      <c r="F572" s="3"/>
      <c r="G572" s="3"/>
      <c r="H572" s="3"/>
      <c r="I572" s="21"/>
      <c r="J572" s="22"/>
      <c r="K572" s="18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19">
        <f t="shared" si="1"/>
        <v>509</v>
      </c>
      <c r="B573" s="3"/>
      <c r="C573" s="3"/>
      <c r="D573" s="3"/>
      <c r="E573" s="3"/>
      <c r="F573" s="3"/>
      <c r="G573" s="3"/>
      <c r="H573" s="3"/>
      <c r="I573" s="21"/>
      <c r="J573" s="22"/>
      <c r="K573" s="18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19">
        <f t="shared" si="1"/>
        <v>510</v>
      </c>
      <c r="B574" s="3"/>
      <c r="C574" s="3"/>
      <c r="D574" s="3"/>
      <c r="E574" s="3"/>
      <c r="F574" s="3"/>
      <c r="G574" s="3"/>
      <c r="H574" s="3"/>
      <c r="I574" s="21"/>
      <c r="J574" s="22"/>
      <c r="K574" s="18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19">
        <f t="shared" si="1"/>
        <v>511</v>
      </c>
      <c r="B575" s="3"/>
      <c r="C575" s="3"/>
      <c r="D575" s="3"/>
      <c r="E575" s="3"/>
      <c r="F575" s="3"/>
      <c r="G575" s="3"/>
      <c r="H575" s="3"/>
      <c r="I575" s="21"/>
      <c r="J575" s="22"/>
      <c r="K575" s="18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19">
        <f t="shared" si="1"/>
        <v>512</v>
      </c>
      <c r="B576" s="3"/>
      <c r="C576" s="3"/>
      <c r="D576" s="3"/>
      <c r="E576" s="3"/>
      <c r="F576" s="3"/>
      <c r="G576" s="3"/>
      <c r="H576" s="3"/>
      <c r="I576" s="21"/>
      <c r="J576" s="22"/>
      <c r="K576" s="18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19">
        <f t="shared" si="1"/>
        <v>513</v>
      </c>
      <c r="B577" s="3"/>
      <c r="C577" s="3"/>
      <c r="D577" s="3"/>
      <c r="E577" s="3"/>
      <c r="F577" s="3"/>
      <c r="G577" s="3"/>
      <c r="H577" s="3"/>
      <c r="I577" s="21"/>
      <c r="J577" s="22"/>
      <c r="K577" s="18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19">
        <f t="shared" si="1"/>
        <v>514</v>
      </c>
      <c r="B578" s="3"/>
      <c r="C578" s="3"/>
      <c r="D578" s="3"/>
      <c r="E578" s="3"/>
      <c r="F578" s="3"/>
      <c r="G578" s="3"/>
      <c r="H578" s="3"/>
      <c r="I578" s="21"/>
      <c r="J578" s="22"/>
      <c r="K578" s="18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19">
        <f t="shared" si="1"/>
        <v>515</v>
      </c>
      <c r="B579" s="3"/>
      <c r="C579" s="3"/>
      <c r="D579" s="3"/>
      <c r="E579" s="3"/>
      <c r="F579" s="3"/>
      <c r="G579" s="3"/>
      <c r="H579" s="3"/>
      <c r="I579" s="21"/>
      <c r="J579" s="22"/>
      <c r="K579" s="18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19">
        <f t="shared" si="1"/>
        <v>516</v>
      </c>
      <c r="B580" s="3"/>
      <c r="C580" s="3"/>
      <c r="D580" s="3"/>
      <c r="E580" s="3"/>
      <c r="F580" s="3"/>
      <c r="G580" s="3"/>
      <c r="H580" s="3"/>
      <c r="I580" s="21"/>
      <c r="J580" s="22"/>
      <c r="K580" s="18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19">
        <f t="shared" si="1"/>
        <v>517</v>
      </c>
      <c r="B581" s="3"/>
      <c r="C581" s="3"/>
      <c r="D581" s="3"/>
      <c r="E581" s="3"/>
      <c r="F581" s="3"/>
      <c r="G581" s="3"/>
      <c r="H581" s="3"/>
      <c r="I581" s="21"/>
      <c r="J581" s="22"/>
      <c r="K581" s="18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19">
        <f t="shared" si="1"/>
        <v>518</v>
      </c>
      <c r="B582" s="3"/>
      <c r="C582" s="3"/>
      <c r="D582" s="3"/>
      <c r="E582" s="3"/>
      <c r="F582" s="3"/>
      <c r="G582" s="3"/>
      <c r="H582" s="3"/>
      <c r="I582" s="21"/>
      <c r="J582" s="22"/>
      <c r="K582" s="18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19">
        <f t="shared" si="1"/>
        <v>519</v>
      </c>
      <c r="B583" s="3"/>
      <c r="C583" s="3"/>
      <c r="D583" s="3"/>
      <c r="E583" s="3"/>
      <c r="F583" s="3"/>
      <c r="G583" s="3"/>
      <c r="H583" s="3"/>
      <c r="I583" s="21"/>
      <c r="J583" s="22"/>
      <c r="K583" s="18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19">
        <f t="shared" si="1"/>
        <v>520</v>
      </c>
      <c r="B584" s="3"/>
      <c r="C584" s="3"/>
      <c r="D584" s="3"/>
      <c r="E584" s="3"/>
      <c r="F584" s="3"/>
      <c r="G584" s="3"/>
      <c r="H584" s="3"/>
      <c r="I584" s="21"/>
      <c r="J584" s="22"/>
      <c r="K584" s="18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19">
        <f t="shared" si="1"/>
        <v>521</v>
      </c>
      <c r="B585" s="3"/>
      <c r="C585" s="3"/>
      <c r="D585" s="3"/>
      <c r="E585" s="3"/>
      <c r="F585" s="3"/>
      <c r="G585" s="3"/>
      <c r="H585" s="3"/>
      <c r="I585" s="21"/>
      <c r="J585" s="22"/>
      <c r="K585" s="18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19">
        <f t="shared" si="1"/>
        <v>522</v>
      </c>
      <c r="B586" s="3"/>
      <c r="C586" s="3"/>
      <c r="D586" s="3"/>
      <c r="E586" s="3"/>
      <c r="F586" s="3"/>
      <c r="G586" s="3"/>
      <c r="H586" s="3"/>
      <c r="I586" s="21"/>
      <c r="J586" s="22"/>
      <c r="K586" s="18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19">
        <f t="shared" si="1"/>
        <v>523</v>
      </c>
      <c r="B587" s="3"/>
      <c r="C587" s="3"/>
      <c r="D587" s="3"/>
      <c r="E587" s="3"/>
      <c r="F587" s="3"/>
      <c r="G587" s="3"/>
      <c r="H587" s="3"/>
      <c r="I587" s="21"/>
      <c r="J587" s="22"/>
      <c r="K587" s="18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19">
        <f t="shared" si="1"/>
        <v>524</v>
      </c>
      <c r="B588" s="3"/>
      <c r="C588" s="3"/>
      <c r="D588" s="3"/>
      <c r="E588" s="3"/>
      <c r="F588" s="3"/>
      <c r="G588" s="3"/>
      <c r="H588" s="3"/>
      <c r="I588" s="21"/>
      <c r="J588" s="22"/>
      <c r="K588" s="18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19">
        <f t="shared" si="1"/>
        <v>525</v>
      </c>
      <c r="B589" s="3"/>
      <c r="C589" s="3"/>
      <c r="D589" s="3"/>
      <c r="E589" s="3"/>
      <c r="F589" s="3"/>
      <c r="G589" s="3"/>
      <c r="H589" s="3"/>
      <c r="I589" s="21"/>
      <c r="J589" s="22"/>
      <c r="K589" s="18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19">
        <f t="shared" si="1"/>
        <v>526</v>
      </c>
      <c r="B590" s="3"/>
      <c r="C590" s="3"/>
      <c r="D590" s="3"/>
      <c r="E590" s="3"/>
      <c r="F590" s="3"/>
      <c r="G590" s="3"/>
      <c r="H590" s="3"/>
      <c r="I590" s="21"/>
      <c r="J590" s="22"/>
      <c r="K590" s="18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19">
        <f t="shared" si="1"/>
        <v>527</v>
      </c>
      <c r="B591" s="3"/>
      <c r="C591" s="3"/>
      <c r="D591" s="3"/>
      <c r="E591" s="3"/>
      <c r="F591" s="3"/>
      <c r="G591" s="3"/>
      <c r="H591" s="3"/>
      <c r="I591" s="21"/>
      <c r="J591" s="22"/>
      <c r="K591" s="18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19">
        <f t="shared" si="1"/>
        <v>528</v>
      </c>
      <c r="B592" s="3"/>
      <c r="C592" s="3"/>
      <c r="D592" s="3"/>
      <c r="E592" s="3"/>
      <c r="F592" s="3"/>
      <c r="G592" s="3"/>
      <c r="H592" s="3"/>
      <c r="I592" s="21"/>
      <c r="J592" s="22"/>
      <c r="K592" s="18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19">
        <f t="shared" si="1"/>
        <v>529</v>
      </c>
      <c r="B593" s="3"/>
      <c r="C593" s="3"/>
      <c r="D593" s="3"/>
      <c r="E593" s="3"/>
      <c r="F593" s="3"/>
      <c r="G593" s="3"/>
      <c r="H593" s="3"/>
      <c r="I593" s="21"/>
      <c r="J593" s="22"/>
      <c r="K593" s="18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19">
        <f t="shared" si="1"/>
        <v>530</v>
      </c>
      <c r="B594" s="3"/>
      <c r="C594" s="3"/>
      <c r="D594" s="3"/>
      <c r="E594" s="3"/>
      <c r="F594" s="3"/>
      <c r="G594" s="3"/>
      <c r="H594" s="3"/>
      <c r="I594" s="21"/>
      <c r="J594" s="22"/>
      <c r="K594" s="18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19">
        <f t="shared" si="1"/>
        <v>531</v>
      </c>
      <c r="B595" s="3"/>
      <c r="C595" s="3"/>
      <c r="D595" s="3"/>
      <c r="E595" s="3"/>
      <c r="F595" s="3"/>
      <c r="G595" s="3"/>
      <c r="H595" s="3"/>
      <c r="I595" s="21"/>
      <c r="J595" s="22"/>
      <c r="K595" s="18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19">
        <f t="shared" si="1"/>
        <v>532</v>
      </c>
      <c r="B596" s="3"/>
      <c r="C596" s="3"/>
      <c r="D596" s="3"/>
      <c r="E596" s="3"/>
      <c r="F596" s="3"/>
      <c r="G596" s="3"/>
      <c r="H596" s="3"/>
      <c r="I596" s="21"/>
      <c r="J596" s="22"/>
      <c r="K596" s="18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19">
        <f t="shared" si="1"/>
        <v>533</v>
      </c>
      <c r="B597" s="3"/>
      <c r="C597" s="3"/>
      <c r="D597" s="3"/>
      <c r="E597" s="3"/>
      <c r="F597" s="3"/>
      <c r="G597" s="3"/>
      <c r="H597" s="3"/>
      <c r="I597" s="21"/>
      <c r="J597" s="22"/>
      <c r="K597" s="18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19">
        <f t="shared" si="1"/>
        <v>534</v>
      </c>
      <c r="B598" s="3"/>
      <c r="C598" s="3"/>
      <c r="D598" s="3"/>
      <c r="E598" s="3"/>
      <c r="F598" s="3"/>
      <c r="G598" s="3"/>
      <c r="H598" s="3"/>
      <c r="I598" s="21"/>
      <c r="J598" s="22"/>
      <c r="K598" s="18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19">
        <f t="shared" si="1"/>
        <v>535</v>
      </c>
      <c r="B599" s="3"/>
      <c r="C599" s="3"/>
      <c r="D599" s="3"/>
      <c r="E599" s="3"/>
      <c r="F599" s="3"/>
      <c r="G599" s="3"/>
      <c r="H599" s="3"/>
      <c r="I599" s="21"/>
      <c r="J599" s="22"/>
      <c r="K599" s="18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19">
        <f t="shared" si="1"/>
        <v>536</v>
      </c>
      <c r="B600" s="3"/>
      <c r="C600" s="3"/>
      <c r="D600" s="3"/>
      <c r="E600" s="3"/>
      <c r="F600" s="3"/>
      <c r="G600" s="3"/>
      <c r="H600" s="3"/>
      <c r="I600" s="21"/>
      <c r="J600" s="22"/>
      <c r="K600" s="18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19">
        <f t="shared" si="1"/>
        <v>537</v>
      </c>
      <c r="B601" s="3"/>
      <c r="C601" s="3"/>
      <c r="D601" s="3"/>
      <c r="E601" s="3"/>
      <c r="F601" s="3"/>
      <c r="G601" s="3"/>
      <c r="H601" s="3"/>
      <c r="I601" s="21"/>
      <c r="J601" s="22"/>
      <c r="K601" s="18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19">
        <f t="shared" si="1"/>
        <v>538</v>
      </c>
      <c r="B602" s="3"/>
      <c r="C602" s="3"/>
      <c r="D602" s="3"/>
      <c r="E602" s="3"/>
      <c r="F602" s="3"/>
      <c r="G602" s="3"/>
      <c r="H602" s="3"/>
      <c r="I602" s="21"/>
      <c r="J602" s="22"/>
      <c r="K602" s="18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19">
        <f t="shared" si="1"/>
        <v>539</v>
      </c>
      <c r="B603" s="3"/>
      <c r="C603" s="3"/>
      <c r="D603" s="3"/>
      <c r="E603" s="3"/>
      <c r="F603" s="3"/>
      <c r="G603" s="3"/>
      <c r="H603" s="3"/>
      <c r="I603" s="21"/>
      <c r="J603" s="22"/>
      <c r="K603" s="18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19">
        <f t="shared" si="1"/>
        <v>540</v>
      </c>
      <c r="B604" s="3"/>
      <c r="C604" s="3"/>
      <c r="D604" s="3"/>
      <c r="E604" s="3"/>
      <c r="F604" s="3"/>
      <c r="G604" s="3"/>
      <c r="H604" s="3"/>
      <c r="I604" s="21"/>
      <c r="J604" s="22"/>
      <c r="K604" s="18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19">
        <f t="shared" si="1"/>
        <v>541</v>
      </c>
      <c r="B605" s="3"/>
      <c r="C605" s="3"/>
      <c r="D605" s="3"/>
      <c r="E605" s="3"/>
      <c r="F605" s="3"/>
      <c r="G605" s="3"/>
      <c r="H605" s="3"/>
      <c r="I605" s="21"/>
      <c r="J605" s="22"/>
      <c r="K605" s="18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19">
        <f t="shared" si="1"/>
        <v>542</v>
      </c>
      <c r="B606" s="3"/>
      <c r="C606" s="3"/>
      <c r="D606" s="3"/>
      <c r="E606" s="3"/>
      <c r="F606" s="3"/>
      <c r="G606" s="3"/>
      <c r="H606" s="3"/>
      <c r="I606" s="21"/>
      <c r="J606" s="22"/>
      <c r="K606" s="18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19">
        <f t="shared" si="1"/>
        <v>543</v>
      </c>
      <c r="B607" s="3"/>
      <c r="C607" s="3"/>
      <c r="D607" s="3"/>
      <c r="E607" s="3"/>
      <c r="F607" s="3"/>
      <c r="G607" s="3"/>
      <c r="H607" s="3"/>
      <c r="I607" s="21"/>
      <c r="J607" s="22"/>
      <c r="K607" s="18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19">
        <f t="shared" si="1"/>
        <v>544</v>
      </c>
      <c r="B608" s="3"/>
      <c r="C608" s="3"/>
      <c r="D608" s="3"/>
      <c r="E608" s="3"/>
      <c r="F608" s="3"/>
      <c r="G608" s="3"/>
      <c r="H608" s="3"/>
      <c r="I608" s="21"/>
      <c r="J608" s="22"/>
      <c r="K608" s="18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19">
        <f t="shared" si="1"/>
        <v>545</v>
      </c>
      <c r="B609" s="3"/>
      <c r="C609" s="3"/>
      <c r="D609" s="3"/>
      <c r="E609" s="3"/>
      <c r="F609" s="3"/>
      <c r="G609" s="3"/>
      <c r="H609" s="3"/>
      <c r="I609" s="21"/>
      <c r="J609" s="22"/>
      <c r="K609" s="18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19">
        <f t="shared" si="1"/>
        <v>546</v>
      </c>
      <c r="B610" s="3"/>
      <c r="C610" s="3"/>
      <c r="D610" s="3"/>
      <c r="E610" s="3"/>
      <c r="F610" s="3"/>
      <c r="G610" s="3"/>
      <c r="H610" s="3"/>
      <c r="I610" s="21"/>
      <c r="J610" s="22"/>
      <c r="K610" s="18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19">
        <f t="shared" si="1"/>
        <v>547</v>
      </c>
      <c r="B611" s="3"/>
      <c r="C611" s="3"/>
      <c r="D611" s="3"/>
      <c r="E611" s="3"/>
      <c r="F611" s="3"/>
      <c r="G611" s="3"/>
      <c r="H611" s="3"/>
      <c r="I611" s="21"/>
      <c r="J611" s="22"/>
      <c r="K611" s="18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19">
        <f t="shared" si="1"/>
        <v>548</v>
      </c>
      <c r="B612" s="3"/>
      <c r="C612" s="3"/>
      <c r="D612" s="3"/>
      <c r="E612" s="3"/>
      <c r="F612" s="3"/>
      <c r="G612" s="3"/>
      <c r="H612" s="3"/>
      <c r="I612" s="21"/>
      <c r="J612" s="22"/>
      <c r="K612" s="18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19">
        <f t="shared" si="1"/>
        <v>549</v>
      </c>
      <c r="B613" s="3"/>
      <c r="C613" s="3"/>
      <c r="D613" s="3"/>
      <c r="E613" s="3"/>
      <c r="F613" s="3"/>
      <c r="G613" s="3"/>
      <c r="H613" s="3"/>
      <c r="I613" s="21"/>
      <c r="J613" s="22"/>
      <c r="K613" s="18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19">
        <f t="shared" si="1"/>
        <v>550</v>
      </c>
      <c r="B614" s="3"/>
      <c r="C614" s="3"/>
      <c r="D614" s="3"/>
      <c r="E614" s="3"/>
      <c r="F614" s="3"/>
      <c r="G614" s="3"/>
      <c r="H614" s="3"/>
      <c r="I614" s="21"/>
      <c r="J614" s="22"/>
      <c r="K614" s="18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19">
        <f t="shared" si="1"/>
        <v>551</v>
      </c>
      <c r="B615" s="3"/>
      <c r="C615" s="3"/>
      <c r="D615" s="3"/>
      <c r="E615" s="3"/>
      <c r="F615" s="3"/>
      <c r="G615" s="3"/>
      <c r="H615" s="3"/>
      <c r="I615" s="21"/>
      <c r="J615" s="22"/>
      <c r="K615" s="18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19">
        <f t="shared" si="1"/>
        <v>552</v>
      </c>
      <c r="B616" s="3"/>
      <c r="C616" s="3"/>
      <c r="D616" s="3"/>
      <c r="E616" s="3"/>
      <c r="F616" s="3"/>
      <c r="G616" s="3"/>
      <c r="H616" s="3"/>
      <c r="I616" s="21"/>
      <c r="J616" s="22"/>
      <c r="K616" s="18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19">
        <f t="shared" si="1"/>
        <v>553</v>
      </c>
      <c r="B617" s="3"/>
      <c r="C617" s="3"/>
      <c r="D617" s="3"/>
      <c r="E617" s="3"/>
      <c r="F617" s="3"/>
      <c r="G617" s="3"/>
      <c r="H617" s="3"/>
      <c r="I617" s="21"/>
      <c r="J617" s="22"/>
      <c r="K617" s="18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19">
        <f t="shared" si="1"/>
        <v>554</v>
      </c>
      <c r="B618" s="3"/>
      <c r="C618" s="3"/>
      <c r="D618" s="3"/>
      <c r="E618" s="3"/>
      <c r="F618" s="3"/>
      <c r="G618" s="3"/>
      <c r="H618" s="3"/>
      <c r="I618" s="21"/>
      <c r="J618" s="22"/>
      <c r="K618" s="18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19">
        <f t="shared" si="1"/>
        <v>555</v>
      </c>
      <c r="B619" s="3"/>
      <c r="C619" s="3"/>
      <c r="D619" s="3"/>
      <c r="E619" s="3"/>
      <c r="F619" s="3"/>
      <c r="G619" s="3"/>
      <c r="H619" s="3"/>
      <c r="I619" s="21"/>
      <c r="J619" s="22"/>
      <c r="K619" s="18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19">
        <f t="shared" si="1"/>
        <v>556</v>
      </c>
      <c r="B620" s="3"/>
      <c r="C620" s="3"/>
      <c r="D620" s="3"/>
      <c r="E620" s="3"/>
      <c r="F620" s="3"/>
      <c r="G620" s="3"/>
      <c r="H620" s="3"/>
      <c r="I620" s="21"/>
      <c r="J620" s="22"/>
      <c r="K620" s="18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19">
        <f t="shared" si="1"/>
        <v>557</v>
      </c>
      <c r="B621" s="3"/>
      <c r="C621" s="3"/>
      <c r="D621" s="3"/>
      <c r="E621" s="3"/>
      <c r="F621" s="3"/>
      <c r="G621" s="3"/>
      <c r="H621" s="3"/>
      <c r="I621" s="21"/>
      <c r="J621" s="22"/>
      <c r="K621" s="18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19">
        <f t="shared" si="1"/>
        <v>558</v>
      </c>
      <c r="B622" s="3"/>
      <c r="C622" s="3"/>
      <c r="D622" s="3"/>
      <c r="E622" s="3"/>
      <c r="F622" s="3"/>
      <c r="G622" s="3"/>
      <c r="H622" s="3"/>
      <c r="I622" s="21"/>
      <c r="J622" s="22"/>
      <c r="K622" s="18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19">
        <f t="shared" si="1"/>
        <v>559</v>
      </c>
      <c r="B623" s="3"/>
      <c r="C623" s="3"/>
      <c r="D623" s="3"/>
      <c r="E623" s="3"/>
      <c r="F623" s="3"/>
      <c r="G623" s="3"/>
      <c r="H623" s="3"/>
      <c r="I623" s="21"/>
      <c r="J623" s="22"/>
      <c r="K623" s="18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19">
        <f t="shared" si="1"/>
        <v>560</v>
      </c>
      <c r="B624" s="3"/>
      <c r="C624" s="3"/>
      <c r="D624" s="3"/>
      <c r="E624" s="3"/>
      <c r="F624" s="3"/>
      <c r="G624" s="3"/>
      <c r="H624" s="3"/>
      <c r="I624" s="21"/>
      <c r="J624" s="22"/>
      <c r="K624" s="18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19">
        <f t="shared" si="1"/>
        <v>561</v>
      </c>
      <c r="B625" s="3"/>
      <c r="C625" s="3"/>
      <c r="D625" s="3"/>
      <c r="E625" s="3"/>
      <c r="F625" s="3"/>
      <c r="G625" s="3"/>
      <c r="H625" s="3"/>
      <c r="I625" s="21"/>
      <c r="J625" s="22"/>
      <c r="K625" s="18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19">
        <f t="shared" si="1"/>
        <v>562</v>
      </c>
      <c r="B626" s="3"/>
      <c r="C626" s="3"/>
      <c r="D626" s="3"/>
      <c r="E626" s="3"/>
      <c r="F626" s="3"/>
      <c r="G626" s="3"/>
      <c r="H626" s="3"/>
      <c r="I626" s="21"/>
      <c r="J626" s="22"/>
      <c r="K626" s="18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19">
        <f t="shared" si="1"/>
        <v>563</v>
      </c>
      <c r="B627" s="3"/>
      <c r="C627" s="3"/>
      <c r="D627" s="3"/>
      <c r="E627" s="3"/>
      <c r="F627" s="3"/>
      <c r="G627" s="3"/>
      <c r="H627" s="3"/>
      <c r="I627" s="21"/>
      <c r="J627" s="22"/>
      <c r="K627" s="18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19">
        <f t="shared" si="1"/>
        <v>564</v>
      </c>
      <c r="B628" s="3"/>
      <c r="C628" s="3"/>
      <c r="D628" s="3"/>
      <c r="E628" s="3"/>
      <c r="F628" s="3"/>
      <c r="G628" s="3"/>
      <c r="H628" s="3"/>
      <c r="I628" s="21"/>
      <c r="J628" s="22"/>
      <c r="K628" s="18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19">
        <f t="shared" si="1"/>
        <v>565</v>
      </c>
      <c r="B629" s="3"/>
      <c r="C629" s="3"/>
      <c r="D629" s="3"/>
      <c r="E629" s="3"/>
      <c r="F629" s="3"/>
      <c r="G629" s="3"/>
      <c r="H629" s="3"/>
      <c r="I629" s="21"/>
      <c r="J629" s="22"/>
      <c r="K629" s="18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19">
        <f t="shared" si="1"/>
        <v>566</v>
      </c>
      <c r="B630" s="3"/>
      <c r="C630" s="3"/>
      <c r="D630" s="3"/>
      <c r="E630" s="3"/>
      <c r="F630" s="3"/>
      <c r="G630" s="3"/>
      <c r="H630" s="3"/>
      <c r="I630" s="21"/>
      <c r="J630" s="22"/>
      <c r="K630" s="18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19">
        <f t="shared" si="1"/>
        <v>567</v>
      </c>
      <c r="B631" s="3"/>
      <c r="C631" s="3"/>
      <c r="D631" s="3"/>
      <c r="E631" s="3"/>
      <c r="F631" s="3"/>
      <c r="G631" s="3"/>
      <c r="H631" s="3"/>
      <c r="I631" s="21"/>
      <c r="J631" s="22"/>
      <c r="K631" s="18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19">
        <f t="shared" si="1"/>
        <v>568</v>
      </c>
      <c r="B632" s="3"/>
      <c r="C632" s="3"/>
      <c r="D632" s="3"/>
      <c r="E632" s="3"/>
      <c r="F632" s="3"/>
      <c r="G632" s="3"/>
      <c r="H632" s="3"/>
      <c r="I632" s="21"/>
      <c r="J632" s="22"/>
      <c r="K632" s="18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19">
        <f t="shared" si="1"/>
        <v>569</v>
      </c>
      <c r="B633" s="3"/>
      <c r="C633" s="3"/>
      <c r="D633" s="3"/>
      <c r="E633" s="3"/>
      <c r="F633" s="3"/>
      <c r="G633" s="3"/>
      <c r="H633" s="3"/>
      <c r="I633" s="21"/>
      <c r="J633" s="22"/>
      <c r="K633" s="18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19">
        <f t="shared" si="1"/>
        <v>570</v>
      </c>
      <c r="B634" s="3"/>
      <c r="C634" s="3"/>
      <c r="D634" s="3"/>
      <c r="E634" s="3"/>
      <c r="F634" s="3"/>
      <c r="G634" s="3"/>
      <c r="H634" s="3"/>
      <c r="I634" s="21"/>
      <c r="J634" s="22"/>
      <c r="K634" s="18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19">
        <f t="shared" si="1"/>
        <v>571</v>
      </c>
      <c r="B635" s="3"/>
      <c r="C635" s="3"/>
      <c r="D635" s="3"/>
      <c r="E635" s="3"/>
      <c r="F635" s="3"/>
      <c r="G635" s="3"/>
      <c r="H635" s="3"/>
      <c r="I635" s="21"/>
      <c r="J635" s="22"/>
      <c r="K635" s="18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19">
        <f t="shared" si="1"/>
        <v>572</v>
      </c>
      <c r="B636" s="3"/>
      <c r="C636" s="3"/>
      <c r="D636" s="3"/>
      <c r="E636" s="3"/>
      <c r="F636" s="3"/>
      <c r="G636" s="3"/>
      <c r="H636" s="3"/>
      <c r="I636" s="21"/>
      <c r="J636" s="22"/>
      <c r="K636" s="18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19">
        <f t="shared" si="1"/>
        <v>573</v>
      </c>
      <c r="B637" s="3"/>
      <c r="C637" s="3"/>
      <c r="D637" s="3"/>
      <c r="E637" s="3"/>
      <c r="F637" s="3"/>
      <c r="G637" s="3"/>
      <c r="H637" s="3"/>
      <c r="I637" s="21"/>
      <c r="J637" s="22"/>
      <c r="K637" s="18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19">
        <f t="shared" si="1"/>
        <v>574</v>
      </c>
      <c r="B638" s="3"/>
      <c r="C638" s="3"/>
      <c r="D638" s="3"/>
      <c r="E638" s="3"/>
      <c r="F638" s="3"/>
      <c r="G638" s="3"/>
      <c r="H638" s="3"/>
      <c r="I638" s="21"/>
      <c r="J638" s="22"/>
      <c r="K638" s="18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19">
        <f t="shared" si="1"/>
        <v>575</v>
      </c>
      <c r="B639" s="3"/>
      <c r="C639" s="3"/>
      <c r="D639" s="3"/>
      <c r="E639" s="3"/>
      <c r="F639" s="3"/>
      <c r="G639" s="3"/>
      <c r="H639" s="3"/>
      <c r="I639" s="21"/>
      <c r="J639" s="22"/>
      <c r="K639" s="18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19">
        <f t="shared" si="1"/>
        <v>576</v>
      </c>
      <c r="B640" s="3"/>
      <c r="C640" s="3"/>
      <c r="D640" s="3"/>
      <c r="E640" s="3"/>
      <c r="F640" s="3"/>
      <c r="G640" s="3"/>
      <c r="H640" s="3"/>
      <c r="I640" s="21"/>
      <c r="J640" s="22"/>
      <c r="K640" s="18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19">
        <f t="shared" si="1"/>
        <v>577</v>
      </c>
      <c r="B641" s="3"/>
      <c r="C641" s="3"/>
      <c r="D641" s="3"/>
      <c r="E641" s="3"/>
      <c r="F641" s="3"/>
      <c r="G641" s="3"/>
      <c r="H641" s="3"/>
      <c r="I641" s="21"/>
      <c r="J641" s="22"/>
      <c r="K641" s="18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19">
        <f t="shared" si="1"/>
        <v>578</v>
      </c>
      <c r="B642" s="3"/>
      <c r="C642" s="3"/>
      <c r="D642" s="3"/>
      <c r="E642" s="3"/>
      <c r="F642" s="3"/>
      <c r="G642" s="3"/>
      <c r="H642" s="3"/>
      <c r="I642" s="21"/>
      <c r="J642" s="22"/>
      <c r="K642" s="18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19">
        <f t="shared" si="1"/>
        <v>579</v>
      </c>
      <c r="B643" s="3"/>
      <c r="C643" s="3"/>
      <c r="D643" s="3"/>
      <c r="E643" s="3"/>
      <c r="F643" s="3"/>
      <c r="G643" s="3"/>
      <c r="H643" s="3"/>
      <c r="I643" s="21"/>
      <c r="J643" s="22"/>
      <c r="K643" s="18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19">
        <f t="shared" si="1"/>
        <v>580</v>
      </c>
      <c r="B644" s="3"/>
      <c r="C644" s="3"/>
      <c r="D644" s="3"/>
      <c r="E644" s="3"/>
      <c r="F644" s="3"/>
      <c r="G644" s="3"/>
      <c r="H644" s="3"/>
      <c r="I644" s="21"/>
      <c r="J644" s="22"/>
      <c r="K644" s="18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19">
        <f t="shared" si="1"/>
        <v>581</v>
      </c>
      <c r="B645" s="3"/>
      <c r="C645" s="3"/>
      <c r="D645" s="3"/>
      <c r="E645" s="3"/>
      <c r="F645" s="3"/>
      <c r="G645" s="3"/>
      <c r="H645" s="3"/>
      <c r="I645" s="21"/>
      <c r="J645" s="22"/>
      <c r="K645" s="18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19">
        <f t="shared" si="1"/>
        <v>582</v>
      </c>
      <c r="B646" s="3"/>
      <c r="C646" s="3"/>
      <c r="D646" s="3"/>
      <c r="E646" s="3"/>
      <c r="F646" s="3"/>
      <c r="G646" s="3"/>
      <c r="H646" s="3"/>
      <c r="I646" s="21"/>
      <c r="J646" s="22"/>
      <c r="K646" s="18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19">
        <f t="shared" si="1"/>
        <v>583</v>
      </c>
      <c r="B647" s="3"/>
      <c r="C647" s="3"/>
      <c r="D647" s="3"/>
      <c r="E647" s="3"/>
      <c r="F647" s="3"/>
      <c r="G647" s="3"/>
      <c r="H647" s="3"/>
      <c r="I647" s="21"/>
      <c r="J647" s="22"/>
      <c r="K647" s="18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19">
        <f t="shared" si="1"/>
        <v>584</v>
      </c>
      <c r="B648" s="3"/>
      <c r="C648" s="3"/>
      <c r="D648" s="3"/>
      <c r="E648" s="3"/>
      <c r="F648" s="3"/>
      <c r="G648" s="3"/>
      <c r="H648" s="3"/>
      <c r="I648" s="21"/>
      <c r="J648" s="22"/>
      <c r="K648" s="18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19">
        <f t="shared" si="1"/>
        <v>585</v>
      </c>
      <c r="B649" s="3"/>
      <c r="C649" s="3"/>
      <c r="D649" s="3"/>
      <c r="E649" s="3"/>
      <c r="F649" s="3"/>
      <c r="G649" s="3"/>
      <c r="H649" s="3"/>
      <c r="I649" s="21"/>
      <c r="J649" s="22"/>
      <c r="K649" s="18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19">
        <f t="shared" si="1"/>
        <v>586</v>
      </c>
      <c r="B650" s="3"/>
      <c r="C650" s="3"/>
      <c r="D650" s="3"/>
      <c r="E650" s="3"/>
      <c r="F650" s="3"/>
      <c r="G650" s="3"/>
      <c r="H650" s="3"/>
      <c r="I650" s="21"/>
      <c r="J650" s="22"/>
      <c r="K650" s="18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19">
        <f t="shared" si="1"/>
        <v>587</v>
      </c>
      <c r="B651" s="3"/>
      <c r="C651" s="3"/>
      <c r="D651" s="3"/>
      <c r="E651" s="3"/>
      <c r="F651" s="3"/>
      <c r="G651" s="3"/>
      <c r="H651" s="3"/>
      <c r="I651" s="21"/>
      <c r="J651" s="22"/>
      <c r="K651" s="18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19">
        <f t="shared" si="1"/>
        <v>588</v>
      </c>
      <c r="B652" s="3"/>
      <c r="C652" s="3"/>
      <c r="D652" s="3"/>
      <c r="E652" s="3"/>
      <c r="F652" s="3"/>
      <c r="G652" s="3"/>
      <c r="H652" s="3"/>
      <c r="I652" s="21"/>
      <c r="J652" s="22"/>
      <c r="K652" s="18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19">
        <f t="shared" si="1"/>
        <v>589</v>
      </c>
      <c r="B653" s="3"/>
      <c r="C653" s="3"/>
      <c r="D653" s="3"/>
      <c r="E653" s="3"/>
      <c r="F653" s="3"/>
      <c r="G653" s="3"/>
      <c r="H653" s="3"/>
      <c r="I653" s="21"/>
      <c r="J653" s="22"/>
      <c r="K653" s="18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19">
        <f t="shared" si="1"/>
        <v>590</v>
      </c>
      <c r="B654" s="3"/>
      <c r="C654" s="3"/>
      <c r="D654" s="3"/>
      <c r="E654" s="3"/>
      <c r="F654" s="3"/>
      <c r="G654" s="3"/>
      <c r="H654" s="3"/>
      <c r="I654" s="21"/>
      <c r="J654" s="22"/>
      <c r="K654" s="18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19">
        <f t="shared" si="1"/>
        <v>591</v>
      </c>
      <c r="B655" s="3"/>
      <c r="C655" s="3"/>
      <c r="D655" s="3"/>
      <c r="E655" s="3"/>
      <c r="F655" s="3"/>
      <c r="G655" s="3"/>
      <c r="H655" s="3"/>
      <c r="I655" s="21"/>
      <c r="J655" s="22"/>
      <c r="K655" s="18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19">
        <f t="shared" si="1"/>
        <v>592</v>
      </c>
      <c r="B656" s="3"/>
      <c r="C656" s="3"/>
      <c r="D656" s="3"/>
      <c r="E656" s="3"/>
      <c r="F656" s="3"/>
      <c r="G656" s="3"/>
      <c r="H656" s="3"/>
      <c r="I656" s="21"/>
      <c r="J656" s="22"/>
      <c r="K656" s="18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19">
        <f t="shared" si="1"/>
        <v>593</v>
      </c>
      <c r="B657" s="3"/>
      <c r="C657" s="3"/>
      <c r="D657" s="3"/>
      <c r="E657" s="3"/>
      <c r="F657" s="3"/>
      <c r="G657" s="3"/>
      <c r="H657" s="3"/>
      <c r="I657" s="21"/>
      <c r="J657" s="22"/>
      <c r="K657" s="18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19">
        <f t="shared" si="1"/>
        <v>594</v>
      </c>
      <c r="B658" s="3"/>
      <c r="C658" s="3"/>
      <c r="D658" s="3"/>
      <c r="E658" s="3"/>
      <c r="F658" s="3"/>
      <c r="G658" s="3"/>
      <c r="H658" s="3"/>
      <c r="I658" s="21"/>
      <c r="J658" s="22"/>
      <c r="K658" s="18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19">
        <f t="shared" si="1"/>
        <v>595</v>
      </c>
      <c r="B659" s="3"/>
      <c r="C659" s="3"/>
      <c r="D659" s="3"/>
      <c r="E659" s="3"/>
      <c r="F659" s="3"/>
      <c r="G659" s="3"/>
      <c r="H659" s="3"/>
      <c r="I659" s="21"/>
      <c r="J659" s="22"/>
      <c r="K659" s="18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19">
        <f t="shared" si="1"/>
        <v>596</v>
      </c>
      <c r="B660" s="3"/>
      <c r="C660" s="3"/>
      <c r="D660" s="3"/>
      <c r="E660" s="3"/>
      <c r="F660" s="3"/>
      <c r="G660" s="3"/>
      <c r="H660" s="3"/>
      <c r="I660" s="21"/>
      <c r="J660" s="22"/>
      <c r="K660" s="18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19">
        <f t="shared" si="1"/>
        <v>597</v>
      </c>
      <c r="B661" s="3"/>
      <c r="C661" s="3"/>
      <c r="D661" s="3"/>
      <c r="E661" s="3"/>
      <c r="F661" s="3"/>
      <c r="G661" s="3"/>
      <c r="H661" s="3"/>
      <c r="I661" s="21"/>
      <c r="J661" s="22"/>
      <c r="K661" s="18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19">
        <f t="shared" si="1"/>
        <v>598</v>
      </c>
      <c r="B662" s="3"/>
      <c r="C662" s="3"/>
      <c r="D662" s="3"/>
      <c r="E662" s="3"/>
      <c r="F662" s="3"/>
      <c r="G662" s="3"/>
      <c r="H662" s="3"/>
      <c r="I662" s="21"/>
      <c r="J662" s="22"/>
      <c r="K662" s="18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19">
        <f t="shared" si="1"/>
        <v>599</v>
      </c>
      <c r="B663" s="3"/>
      <c r="C663" s="3"/>
      <c r="D663" s="3"/>
      <c r="E663" s="3"/>
      <c r="F663" s="3"/>
      <c r="G663" s="3"/>
      <c r="H663" s="3"/>
      <c r="I663" s="21"/>
      <c r="J663" s="22"/>
      <c r="K663" s="18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19">
        <f t="shared" si="1"/>
        <v>600</v>
      </c>
      <c r="B664" s="3"/>
      <c r="C664" s="3"/>
      <c r="D664" s="3"/>
      <c r="E664" s="3"/>
      <c r="F664" s="3"/>
      <c r="G664" s="3"/>
      <c r="H664" s="3"/>
      <c r="I664" s="21"/>
      <c r="J664" s="22"/>
      <c r="K664" s="18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19">
        <f t="shared" si="1"/>
        <v>601</v>
      </c>
      <c r="B665" s="3"/>
      <c r="C665" s="3"/>
      <c r="D665" s="3"/>
      <c r="E665" s="3"/>
      <c r="F665" s="3"/>
      <c r="G665" s="3"/>
      <c r="H665" s="3"/>
      <c r="I665" s="21"/>
      <c r="J665" s="22"/>
      <c r="K665" s="18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19">
        <f t="shared" si="1"/>
        <v>602</v>
      </c>
      <c r="B666" s="3"/>
      <c r="C666" s="3"/>
      <c r="D666" s="3"/>
      <c r="E666" s="3"/>
      <c r="F666" s="3"/>
      <c r="G666" s="3"/>
      <c r="H666" s="3"/>
      <c r="I666" s="21"/>
      <c r="J666" s="22"/>
      <c r="K666" s="18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19">
        <f t="shared" si="1"/>
        <v>603</v>
      </c>
      <c r="B667" s="3"/>
      <c r="C667" s="3"/>
      <c r="D667" s="3"/>
      <c r="E667" s="3"/>
      <c r="F667" s="3"/>
      <c r="G667" s="3"/>
      <c r="H667" s="3"/>
      <c r="I667" s="21"/>
      <c r="J667" s="22"/>
      <c r="K667" s="18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19">
        <f t="shared" si="1"/>
        <v>604</v>
      </c>
      <c r="B668" s="3"/>
      <c r="C668" s="3"/>
      <c r="D668" s="3"/>
      <c r="E668" s="3"/>
      <c r="F668" s="3"/>
      <c r="G668" s="3"/>
      <c r="H668" s="3"/>
      <c r="I668" s="21"/>
      <c r="J668" s="22"/>
      <c r="K668" s="18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19">
        <f t="shared" si="1"/>
        <v>605</v>
      </c>
      <c r="B669" s="3"/>
      <c r="C669" s="3"/>
      <c r="D669" s="3"/>
      <c r="E669" s="3"/>
      <c r="F669" s="3"/>
      <c r="G669" s="3"/>
      <c r="H669" s="3"/>
      <c r="I669" s="21"/>
      <c r="J669" s="22"/>
      <c r="K669" s="18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19">
        <f t="shared" si="1"/>
        <v>606</v>
      </c>
      <c r="B670" s="3"/>
      <c r="C670" s="3"/>
      <c r="D670" s="3"/>
      <c r="E670" s="3"/>
      <c r="F670" s="3"/>
      <c r="G670" s="3"/>
      <c r="H670" s="3"/>
      <c r="I670" s="21"/>
      <c r="J670" s="22"/>
      <c r="K670" s="18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19">
        <f t="shared" si="1"/>
        <v>607</v>
      </c>
      <c r="B671" s="3"/>
      <c r="C671" s="3"/>
      <c r="D671" s="3"/>
      <c r="E671" s="3"/>
      <c r="F671" s="3"/>
      <c r="G671" s="3"/>
      <c r="H671" s="3"/>
      <c r="I671" s="21"/>
      <c r="J671" s="22"/>
      <c r="K671" s="18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19">
        <f t="shared" si="1"/>
        <v>608</v>
      </c>
      <c r="B672" s="3"/>
      <c r="C672" s="3"/>
      <c r="D672" s="3"/>
      <c r="E672" s="3"/>
      <c r="F672" s="3"/>
      <c r="G672" s="3"/>
      <c r="H672" s="3"/>
      <c r="I672" s="21"/>
      <c r="J672" s="22"/>
      <c r="K672" s="18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19">
        <f t="shared" si="1"/>
        <v>609</v>
      </c>
      <c r="B673" s="3"/>
      <c r="C673" s="3"/>
      <c r="D673" s="3"/>
      <c r="E673" s="3"/>
      <c r="F673" s="3"/>
      <c r="G673" s="3"/>
      <c r="H673" s="3"/>
      <c r="I673" s="21"/>
      <c r="J673" s="22"/>
      <c r="K673" s="18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19">
        <f t="shared" si="1"/>
        <v>610</v>
      </c>
      <c r="B674" s="3"/>
      <c r="C674" s="3"/>
      <c r="D674" s="3"/>
      <c r="E674" s="3"/>
      <c r="F674" s="3"/>
      <c r="G674" s="3"/>
      <c r="H674" s="3"/>
      <c r="I674" s="21"/>
      <c r="J674" s="22"/>
      <c r="K674" s="18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19">
        <f t="shared" si="1"/>
        <v>611</v>
      </c>
      <c r="B675" s="3"/>
      <c r="C675" s="3"/>
      <c r="D675" s="3"/>
      <c r="E675" s="3"/>
      <c r="F675" s="3"/>
      <c r="G675" s="3"/>
      <c r="H675" s="3"/>
      <c r="I675" s="21"/>
      <c r="J675" s="22"/>
      <c r="K675" s="18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19">
        <f t="shared" si="1"/>
        <v>612</v>
      </c>
      <c r="B676" s="3"/>
      <c r="C676" s="3"/>
      <c r="D676" s="3"/>
      <c r="E676" s="3"/>
      <c r="F676" s="3"/>
      <c r="G676" s="3"/>
      <c r="H676" s="3"/>
      <c r="I676" s="21"/>
      <c r="J676" s="22"/>
      <c r="K676" s="18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19">
        <f t="shared" si="1"/>
        <v>613</v>
      </c>
      <c r="B677" s="3"/>
      <c r="C677" s="3"/>
      <c r="D677" s="3"/>
      <c r="E677" s="3"/>
      <c r="F677" s="3"/>
      <c r="G677" s="3"/>
      <c r="H677" s="3"/>
      <c r="I677" s="21"/>
      <c r="J677" s="22"/>
      <c r="K677" s="18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19">
        <f t="shared" si="1"/>
        <v>614</v>
      </c>
      <c r="B678" s="3"/>
      <c r="C678" s="3"/>
      <c r="D678" s="3"/>
      <c r="E678" s="3"/>
      <c r="F678" s="3"/>
      <c r="G678" s="3"/>
      <c r="H678" s="3"/>
      <c r="I678" s="21"/>
      <c r="J678" s="22"/>
      <c r="K678" s="18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19">
        <f t="shared" si="1"/>
        <v>615</v>
      </c>
      <c r="B679" s="3"/>
      <c r="C679" s="3"/>
      <c r="D679" s="3"/>
      <c r="E679" s="3"/>
      <c r="F679" s="3"/>
      <c r="G679" s="3"/>
      <c r="H679" s="3"/>
      <c r="I679" s="21"/>
      <c r="J679" s="22"/>
      <c r="K679" s="18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19">
        <f t="shared" si="1"/>
        <v>616</v>
      </c>
      <c r="B680" s="3"/>
      <c r="C680" s="3"/>
      <c r="D680" s="3"/>
      <c r="E680" s="3"/>
      <c r="F680" s="3"/>
      <c r="G680" s="3"/>
      <c r="H680" s="3"/>
      <c r="I680" s="21"/>
      <c r="J680" s="22"/>
      <c r="K680" s="18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19">
        <f t="shared" si="1"/>
        <v>617</v>
      </c>
      <c r="B681" s="3"/>
      <c r="C681" s="3"/>
      <c r="D681" s="3"/>
      <c r="E681" s="3"/>
      <c r="F681" s="3"/>
      <c r="G681" s="3"/>
      <c r="H681" s="3"/>
      <c r="I681" s="21"/>
      <c r="J681" s="22"/>
      <c r="K681" s="18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19">
        <f t="shared" si="1"/>
        <v>618</v>
      </c>
      <c r="B682" s="3"/>
      <c r="C682" s="3"/>
      <c r="D682" s="3"/>
      <c r="E682" s="3"/>
      <c r="F682" s="3"/>
      <c r="G682" s="3"/>
      <c r="H682" s="3"/>
      <c r="I682" s="21"/>
      <c r="J682" s="22"/>
      <c r="K682" s="18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19">
        <f t="shared" si="1"/>
        <v>619</v>
      </c>
      <c r="B683" s="3"/>
      <c r="C683" s="3"/>
      <c r="D683" s="3"/>
      <c r="E683" s="3"/>
      <c r="F683" s="3"/>
      <c r="G683" s="3"/>
      <c r="H683" s="3"/>
      <c r="I683" s="21"/>
      <c r="J683" s="22"/>
      <c r="K683" s="18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19">
        <f t="shared" si="1"/>
        <v>620</v>
      </c>
      <c r="B684" s="3"/>
      <c r="C684" s="3"/>
      <c r="D684" s="3"/>
      <c r="E684" s="3"/>
      <c r="F684" s="3"/>
      <c r="G684" s="3"/>
      <c r="H684" s="3"/>
      <c r="I684" s="21"/>
      <c r="J684" s="22"/>
      <c r="K684" s="18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19">
        <f t="shared" si="1"/>
        <v>621</v>
      </c>
      <c r="B685" s="3"/>
      <c r="C685" s="3"/>
      <c r="D685" s="3"/>
      <c r="E685" s="3"/>
      <c r="F685" s="3"/>
      <c r="G685" s="3"/>
      <c r="H685" s="3"/>
      <c r="I685" s="21"/>
      <c r="J685" s="22"/>
      <c r="K685" s="18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19">
        <f t="shared" si="1"/>
        <v>622</v>
      </c>
      <c r="B686" s="3"/>
      <c r="C686" s="3"/>
      <c r="D686" s="3"/>
      <c r="E686" s="3"/>
      <c r="F686" s="3"/>
      <c r="G686" s="3"/>
      <c r="H686" s="3"/>
      <c r="I686" s="21"/>
      <c r="J686" s="22"/>
      <c r="K686" s="18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19">
        <f t="shared" si="1"/>
        <v>623</v>
      </c>
      <c r="B687" s="3"/>
      <c r="C687" s="3"/>
      <c r="D687" s="3"/>
      <c r="E687" s="3"/>
      <c r="F687" s="3"/>
      <c r="G687" s="3"/>
      <c r="H687" s="3"/>
      <c r="I687" s="21"/>
      <c r="J687" s="22"/>
      <c r="K687" s="18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19">
        <f t="shared" si="1"/>
        <v>624</v>
      </c>
      <c r="B688" s="3"/>
      <c r="C688" s="3"/>
      <c r="D688" s="3"/>
      <c r="E688" s="3"/>
      <c r="F688" s="3"/>
      <c r="G688" s="3"/>
      <c r="H688" s="3"/>
      <c r="I688" s="21"/>
      <c r="J688" s="22"/>
      <c r="K688" s="18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19">
        <f t="shared" si="1"/>
        <v>625</v>
      </c>
      <c r="B689" s="3"/>
      <c r="C689" s="3"/>
      <c r="D689" s="3"/>
      <c r="E689" s="3"/>
      <c r="F689" s="3"/>
      <c r="G689" s="3"/>
      <c r="H689" s="3"/>
      <c r="I689" s="21"/>
      <c r="J689" s="22"/>
      <c r="K689" s="18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19">
        <f t="shared" si="1"/>
        <v>626</v>
      </c>
      <c r="B690" s="3"/>
      <c r="C690" s="3"/>
      <c r="D690" s="3"/>
      <c r="E690" s="3"/>
      <c r="F690" s="3"/>
      <c r="G690" s="3"/>
      <c r="H690" s="3"/>
      <c r="I690" s="21"/>
      <c r="J690" s="22"/>
      <c r="K690" s="18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19">
        <f t="shared" si="1"/>
        <v>627</v>
      </c>
      <c r="B691" s="3"/>
      <c r="C691" s="3"/>
      <c r="D691" s="3"/>
      <c r="E691" s="3"/>
      <c r="F691" s="3"/>
      <c r="G691" s="3"/>
      <c r="H691" s="3"/>
      <c r="I691" s="21"/>
      <c r="J691" s="22"/>
      <c r="K691" s="18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19">
        <f t="shared" si="1"/>
        <v>628</v>
      </c>
      <c r="B692" s="3"/>
      <c r="C692" s="3"/>
      <c r="D692" s="3"/>
      <c r="E692" s="3"/>
      <c r="F692" s="3"/>
      <c r="G692" s="3"/>
      <c r="H692" s="3"/>
      <c r="I692" s="21"/>
      <c r="J692" s="22"/>
      <c r="K692" s="18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19">
        <f t="shared" si="1"/>
        <v>629</v>
      </c>
      <c r="B693" s="3"/>
      <c r="C693" s="3"/>
      <c r="D693" s="3"/>
      <c r="E693" s="3"/>
      <c r="F693" s="3"/>
      <c r="G693" s="3"/>
      <c r="H693" s="3"/>
      <c r="I693" s="21"/>
      <c r="J693" s="22"/>
      <c r="K693" s="18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19">
        <f t="shared" si="1"/>
        <v>630</v>
      </c>
      <c r="B694" s="3"/>
      <c r="C694" s="3"/>
      <c r="D694" s="3"/>
      <c r="E694" s="3"/>
      <c r="F694" s="3"/>
      <c r="G694" s="3"/>
      <c r="H694" s="3"/>
      <c r="I694" s="21"/>
      <c r="J694" s="22"/>
      <c r="K694" s="18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19">
        <f t="shared" si="1"/>
        <v>631</v>
      </c>
      <c r="B695" s="3"/>
      <c r="C695" s="3"/>
      <c r="D695" s="3"/>
      <c r="E695" s="3"/>
      <c r="F695" s="3"/>
      <c r="G695" s="3"/>
      <c r="H695" s="3"/>
      <c r="I695" s="21"/>
      <c r="J695" s="22"/>
      <c r="K695" s="18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19">
        <f t="shared" si="1"/>
        <v>632</v>
      </c>
      <c r="B696" s="3"/>
      <c r="C696" s="3"/>
      <c r="D696" s="3"/>
      <c r="E696" s="3"/>
      <c r="F696" s="3"/>
      <c r="G696" s="3"/>
      <c r="H696" s="3"/>
      <c r="I696" s="21"/>
      <c r="J696" s="22"/>
      <c r="K696" s="18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19">
        <f t="shared" si="1"/>
        <v>633</v>
      </c>
      <c r="B697" s="3"/>
      <c r="C697" s="3"/>
      <c r="D697" s="3"/>
      <c r="E697" s="3"/>
      <c r="F697" s="3"/>
      <c r="G697" s="3"/>
      <c r="H697" s="3"/>
      <c r="I697" s="21"/>
      <c r="J697" s="22"/>
      <c r="K697" s="18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19">
        <f t="shared" si="1"/>
        <v>634</v>
      </c>
      <c r="B698" s="3"/>
      <c r="C698" s="3"/>
      <c r="D698" s="3"/>
      <c r="E698" s="3"/>
      <c r="F698" s="3"/>
      <c r="G698" s="3"/>
      <c r="H698" s="3"/>
      <c r="I698" s="21"/>
      <c r="J698" s="22"/>
      <c r="K698" s="18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19">
        <f t="shared" si="1"/>
        <v>635</v>
      </c>
      <c r="B699" s="3"/>
      <c r="C699" s="3"/>
      <c r="D699" s="3"/>
      <c r="E699" s="3"/>
      <c r="F699" s="3"/>
      <c r="G699" s="3"/>
      <c r="H699" s="3"/>
      <c r="I699" s="21"/>
      <c r="J699" s="22"/>
      <c r="K699" s="18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19">
        <f t="shared" si="1"/>
        <v>636</v>
      </c>
      <c r="B700" s="3"/>
      <c r="C700" s="3"/>
      <c r="D700" s="3"/>
      <c r="E700" s="3"/>
      <c r="F700" s="3"/>
      <c r="G700" s="3"/>
      <c r="H700" s="3"/>
      <c r="I700" s="21"/>
      <c r="J700" s="22"/>
      <c r="K700" s="18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19">
        <f t="shared" si="1"/>
        <v>637</v>
      </c>
      <c r="B701" s="3"/>
      <c r="C701" s="3"/>
      <c r="D701" s="3"/>
      <c r="E701" s="3"/>
      <c r="F701" s="3"/>
      <c r="G701" s="3"/>
      <c r="H701" s="3"/>
      <c r="I701" s="21"/>
      <c r="J701" s="22"/>
      <c r="K701" s="18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19">
        <f t="shared" si="1"/>
        <v>638</v>
      </c>
      <c r="B702" s="3"/>
      <c r="C702" s="3"/>
      <c r="D702" s="3"/>
      <c r="E702" s="3"/>
      <c r="F702" s="3"/>
      <c r="G702" s="3"/>
      <c r="H702" s="3"/>
      <c r="I702" s="21"/>
      <c r="J702" s="22"/>
      <c r="K702" s="18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19">
        <f t="shared" si="1"/>
        <v>639</v>
      </c>
      <c r="B703" s="3"/>
      <c r="C703" s="3"/>
      <c r="D703" s="3"/>
      <c r="E703" s="3"/>
      <c r="F703" s="3"/>
      <c r="G703" s="3"/>
      <c r="H703" s="3"/>
      <c r="I703" s="21"/>
      <c r="J703" s="22"/>
      <c r="K703" s="18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19">
        <f t="shared" si="1"/>
        <v>640</v>
      </c>
      <c r="B704" s="3"/>
      <c r="C704" s="3"/>
      <c r="D704" s="3"/>
      <c r="E704" s="3"/>
      <c r="F704" s="3"/>
      <c r="G704" s="3"/>
      <c r="H704" s="3"/>
      <c r="I704" s="21"/>
      <c r="J704" s="22"/>
      <c r="K704" s="18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19">
        <f t="shared" si="1"/>
        <v>641</v>
      </c>
      <c r="B705" s="3"/>
      <c r="C705" s="3"/>
      <c r="D705" s="3"/>
      <c r="E705" s="3"/>
      <c r="F705" s="3"/>
      <c r="G705" s="3"/>
      <c r="H705" s="3"/>
      <c r="I705" s="21"/>
      <c r="J705" s="22"/>
      <c r="K705" s="18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19">
        <f t="shared" si="1"/>
        <v>642</v>
      </c>
      <c r="B706" s="3"/>
      <c r="C706" s="3"/>
      <c r="D706" s="3"/>
      <c r="E706" s="3"/>
      <c r="F706" s="3"/>
      <c r="G706" s="3"/>
      <c r="H706" s="3"/>
      <c r="I706" s="21"/>
      <c r="J706" s="22"/>
      <c r="K706" s="18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19">
        <f t="shared" si="1"/>
        <v>643</v>
      </c>
      <c r="B707" s="3"/>
      <c r="C707" s="3"/>
      <c r="D707" s="3"/>
      <c r="E707" s="3"/>
      <c r="F707" s="3"/>
      <c r="G707" s="3"/>
      <c r="H707" s="3"/>
      <c r="I707" s="21"/>
      <c r="J707" s="22"/>
      <c r="K707" s="18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19">
        <f t="shared" si="1"/>
        <v>644</v>
      </c>
      <c r="B708" s="3"/>
      <c r="C708" s="3"/>
      <c r="D708" s="3"/>
      <c r="E708" s="3"/>
      <c r="F708" s="3"/>
      <c r="G708" s="3"/>
      <c r="H708" s="3"/>
      <c r="I708" s="21"/>
      <c r="J708" s="22"/>
      <c r="K708" s="18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19">
        <f t="shared" si="1"/>
        <v>645</v>
      </c>
      <c r="B709" s="3"/>
      <c r="C709" s="3"/>
      <c r="D709" s="3"/>
      <c r="E709" s="3"/>
      <c r="F709" s="3"/>
      <c r="G709" s="3"/>
      <c r="H709" s="3"/>
      <c r="I709" s="21"/>
      <c r="J709" s="22"/>
      <c r="K709" s="18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19">
        <f t="shared" si="1"/>
        <v>646</v>
      </c>
      <c r="B710" s="3"/>
      <c r="C710" s="3"/>
      <c r="D710" s="3"/>
      <c r="E710" s="3"/>
      <c r="F710" s="3"/>
      <c r="G710" s="3"/>
      <c r="H710" s="3"/>
      <c r="I710" s="21"/>
      <c r="J710" s="22"/>
      <c r="K710" s="18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19">
        <f t="shared" si="1"/>
        <v>647</v>
      </c>
      <c r="B711" s="3"/>
      <c r="C711" s="3"/>
      <c r="D711" s="3"/>
      <c r="E711" s="3"/>
      <c r="F711" s="3"/>
      <c r="G711" s="3"/>
      <c r="H711" s="3"/>
      <c r="I711" s="21"/>
      <c r="J711" s="22"/>
      <c r="K711" s="18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19">
        <f t="shared" si="1"/>
        <v>648</v>
      </c>
      <c r="B712" s="3"/>
      <c r="C712" s="3"/>
      <c r="D712" s="3"/>
      <c r="E712" s="3"/>
      <c r="F712" s="3"/>
      <c r="G712" s="3"/>
      <c r="H712" s="3"/>
      <c r="I712" s="21"/>
      <c r="J712" s="22"/>
      <c r="K712" s="18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19">
        <f t="shared" si="1"/>
        <v>649</v>
      </c>
      <c r="B713" s="3"/>
      <c r="C713" s="3"/>
      <c r="D713" s="3"/>
      <c r="E713" s="3"/>
      <c r="F713" s="3"/>
      <c r="G713" s="3"/>
      <c r="H713" s="3"/>
      <c r="I713" s="21"/>
      <c r="J713" s="22"/>
      <c r="K713" s="18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19">
        <f t="shared" si="1"/>
        <v>650</v>
      </c>
      <c r="B714" s="3"/>
      <c r="C714" s="3"/>
      <c r="D714" s="3"/>
      <c r="E714" s="3"/>
      <c r="F714" s="3"/>
      <c r="G714" s="3"/>
      <c r="H714" s="3"/>
      <c r="I714" s="21"/>
      <c r="J714" s="22"/>
      <c r="K714" s="18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19">
        <f t="shared" si="1"/>
        <v>651</v>
      </c>
      <c r="B715" s="3"/>
      <c r="C715" s="3"/>
      <c r="D715" s="3"/>
      <c r="E715" s="3"/>
      <c r="F715" s="3"/>
      <c r="G715" s="3"/>
      <c r="H715" s="3"/>
      <c r="I715" s="21"/>
      <c r="J715" s="22"/>
      <c r="K715" s="18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19">
        <f t="shared" si="1"/>
        <v>652</v>
      </c>
      <c r="B716" s="3"/>
      <c r="C716" s="3"/>
      <c r="D716" s="3"/>
      <c r="E716" s="3"/>
      <c r="F716" s="3"/>
      <c r="G716" s="3"/>
      <c r="H716" s="3"/>
      <c r="I716" s="21"/>
      <c r="J716" s="22"/>
      <c r="K716" s="18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19">
        <f t="shared" si="1"/>
        <v>653</v>
      </c>
      <c r="B717" s="3"/>
      <c r="C717" s="3"/>
      <c r="D717" s="3"/>
      <c r="E717" s="3"/>
      <c r="F717" s="3"/>
      <c r="G717" s="3"/>
      <c r="H717" s="3"/>
      <c r="I717" s="21"/>
      <c r="J717" s="22"/>
      <c r="K717" s="18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19">
        <f t="shared" si="1"/>
        <v>654</v>
      </c>
      <c r="B718" s="3"/>
      <c r="C718" s="3"/>
      <c r="D718" s="3"/>
      <c r="E718" s="3"/>
      <c r="F718" s="3"/>
      <c r="G718" s="3"/>
      <c r="H718" s="3"/>
      <c r="I718" s="21"/>
      <c r="J718" s="22"/>
      <c r="K718" s="18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19">
        <f t="shared" si="1"/>
        <v>655</v>
      </c>
      <c r="B719" s="3"/>
      <c r="C719" s="3"/>
      <c r="D719" s="3"/>
      <c r="E719" s="3"/>
      <c r="F719" s="3"/>
      <c r="G719" s="3"/>
      <c r="H719" s="3"/>
      <c r="I719" s="21"/>
      <c r="J719" s="22"/>
      <c r="K719" s="18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19">
        <f t="shared" si="1"/>
        <v>656</v>
      </c>
      <c r="B720" s="3"/>
      <c r="C720" s="3"/>
      <c r="D720" s="3"/>
      <c r="E720" s="3"/>
      <c r="F720" s="3"/>
      <c r="G720" s="3"/>
      <c r="H720" s="3"/>
      <c r="I720" s="21"/>
      <c r="J720" s="22"/>
      <c r="K720" s="18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19">
        <f t="shared" si="1"/>
        <v>657</v>
      </c>
      <c r="B721" s="3"/>
      <c r="C721" s="3"/>
      <c r="D721" s="3"/>
      <c r="E721" s="3"/>
      <c r="F721" s="3"/>
      <c r="G721" s="3"/>
      <c r="H721" s="3"/>
      <c r="I721" s="21"/>
      <c r="J721" s="22"/>
      <c r="K721" s="18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19">
        <f t="shared" si="1"/>
        <v>658</v>
      </c>
      <c r="B722" s="3"/>
      <c r="C722" s="3"/>
      <c r="D722" s="3"/>
      <c r="E722" s="3"/>
      <c r="F722" s="3"/>
      <c r="G722" s="3"/>
      <c r="H722" s="3"/>
      <c r="I722" s="21"/>
      <c r="J722" s="22"/>
      <c r="K722" s="18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19">
        <f t="shared" si="1"/>
        <v>659</v>
      </c>
      <c r="B723" s="3"/>
      <c r="C723" s="3"/>
      <c r="D723" s="3"/>
      <c r="E723" s="3"/>
      <c r="F723" s="3"/>
      <c r="G723" s="3"/>
      <c r="H723" s="3"/>
      <c r="I723" s="21"/>
      <c r="J723" s="22"/>
      <c r="K723" s="18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19">
        <f t="shared" si="1"/>
        <v>660</v>
      </c>
      <c r="B724" s="3"/>
      <c r="C724" s="3"/>
      <c r="D724" s="3"/>
      <c r="E724" s="3"/>
      <c r="F724" s="3"/>
      <c r="G724" s="3"/>
      <c r="H724" s="3"/>
      <c r="I724" s="21"/>
      <c r="J724" s="22"/>
      <c r="K724" s="18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19">
        <f t="shared" si="1"/>
        <v>661</v>
      </c>
      <c r="B725" s="3"/>
      <c r="C725" s="3"/>
      <c r="D725" s="3"/>
      <c r="E725" s="3"/>
      <c r="F725" s="3"/>
      <c r="G725" s="3"/>
      <c r="H725" s="3"/>
      <c r="I725" s="21"/>
      <c r="J725" s="22"/>
      <c r="K725" s="18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19">
        <f t="shared" si="1"/>
        <v>662</v>
      </c>
      <c r="B726" s="3"/>
      <c r="C726" s="3"/>
      <c r="D726" s="3"/>
      <c r="E726" s="3"/>
      <c r="F726" s="3"/>
      <c r="G726" s="3"/>
      <c r="H726" s="3"/>
      <c r="I726" s="21"/>
      <c r="J726" s="22"/>
      <c r="K726" s="18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19">
        <f t="shared" si="1"/>
        <v>663</v>
      </c>
      <c r="B727" s="3"/>
      <c r="C727" s="3"/>
      <c r="D727" s="3"/>
      <c r="E727" s="3"/>
      <c r="F727" s="3"/>
      <c r="G727" s="3"/>
      <c r="H727" s="3"/>
      <c r="I727" s="21"/>
      <c r="J727" s="22"/>
      <c r="K727" s="18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19">
        <f t="shared" si="1"/>
        <v>664</v>
      </c>
      <c r="B728" s="3"/>
      <c r="C728" s="3"/>
      <c r="D728" s="3"/>
      <c r="E728" s="3"/>
      <c r="F728" s="3"/>
      <c r="G728" s="3"/>
      <c r="H728" s="3"/>
      <c r="I728" s="21"/>
      <c r="J728" s="22"/>
      <c r="K728" s="18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19">
        <f t="shared" si="1"/>
        <v>665</v>
      </c>
      <c r="B729" s="3"/>
      <c r="C729" s="3"/>
      <c r="D729" s="3"/>
      <c r="E729" s="3"/>
      <c r="F729" s="3"/>
      <c r="G729" s="3"/>
      <c r="H729" s="3"/>
      <c r="I729" s="21"/>
      <c r="J729" s="22"/>
      <c r="K729" s="18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19">
        <f t="shared" si="1"/>
        <v>666</v>
      </c>
      <c r="B730" s="3"/>
      <c r="C730" s="3"/>
      <c r="D730" s="3"/>
      <c r="E730" s="3"/>
      <c r="F730" s="3"/>
      <c r="G730" s="3"/>
      <c r="H730" s="3"/>
      <c r="I730" s="21"/>
      <c r="J730" s="22"/>
      <c r="K730" s="18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19">
        <f t="shared" si="1"/>
        <v>667</v>
      </c>
      <c r="B731" s="3"/>
      <c r="C731" s="3"/>
      <c r="D731" s="3"/>
      <c r="E731" s="3"/>
      <c r="F731" s="3"/>
      <c r="G731" s="3"/>
      <c r="H731" s="3"/>
      <c r="I731" s="21"/>
      <c r="J731" s="22"/>
      <c r="K731" s="18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19">
        <f t="shared" si="1"/>
        <v>668</v>
      </c>
      <c r="B732" s="3"/>
      <c r="C732" s="3"/>
      <c r="D732" s="3"/>
      <c r="E732" s="3"/>
      <c r="F732" s="3"/>
      <c r="G732" s="3"/>
      <c r="H732" s="3"/>
      <c r="I732" s="21"/>
      <c r="J732" s="22"/>
      <c r="K732" s="18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19">
        <f t="shared" si="1"/>
        <v>669</v>
      </c>
      <c r="B733" s="3"/>
      <c r="C733" s="3"/>
      <c r="D733" s="3"/>
      <c r="E733" s="3"/>
      <c r="F733" s="3"/>
      <c r="G733" s="3"/>
      <c r="H733" s="3"/>
      <c r="I733" s="21"/>
      <c r="J733" s="22"/>
      <c r="K733" s="18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19">
        <f t="shared" si="1"/>
        <v>670</v>
      </c>
      <c r="B734" s="3"/>
      <c r="C734" s="3"/>
      <c r="D734" s="3"/>
      <c r="E734" s="3"/>
      <c r="F734" s="3"/>
      <c r="G734" s="3"/>
      <c r="H734" s="3"/>
      <c r="I734" s="21"/>
      <c r="J734" s="22"/>
      <c r="K734" s="18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19">
        <f t="shared" si="1"/>
        <v>671</v>
      </c>
      <c r="B735" s="3"/>
      <c r="C735" s="3"/>
      <c r="D735" s="3"/>
      <c r="E735" s="3"/>
      <c r="F735" s="3"/>
      <c r="G735" s="3"/>
      <c r="H735" s="3"/>
      <c r="I735" s="21"/>
      <c r="J735" s="22"/>
      <c r="K735" s="18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19">
        <f t="shared" si="1"/>
        <v>672</v>
      </c>
      <c r="B736" s="3"/>
      <c r="C736" s="3"/>
      <c r="D736" s="3"/>
      <c r="E736" s="3"/>
      <c r="F736" s="3"/>
      <c r="G736" s="3"/>
      <c r="H736" s="3"/>
      <c r="I736" s="21"/>
      <c r="J736" s="22"/>
      <c r="K736" s="18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19">
        <f t="shared" si="1"/>
        <v>673</v>
      </c>
      <c r="B737" s="3"/>
      <c r="C737" s="3"/>
      <c r="D737" s="3"/>
      <c r="E737" s="3"/>
      <c r="F737" s="3"/>
      <c r="G737" s="3"/>
      <c r="H737" s="3"/>
      <c r="I737" s="21"/>
      <c r="J737" s="22"/>
      <c r="K737" s="18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19">
        <f t="shared" si="1"/>
        <v>674</v>
      </c>
      <c r="B738" s="3"/>
      <c r="C738" s="3"/>
      <c r="D738" s="3"/>
      <c r="E738" s="3"/>
      <c r="F738" s="3"/>
      <c r="G738" s="3"/>
      <c r="H738" s="3"/>
      <c r="I738" s="21"/>
      <c r="J738" s="22"/>
      <c r="K738" s="18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19">
        <f t="shared" si="1"/>
        <v>675</v>
      </c>
      <c r="B739" s="3"/>
      <c r="C739" s="3"/>
      <c r="D739" s="3"/>
      <c r="E739" s="3"/>
      <c r="F739" s="3"/>
      <c r="G739" s="3"/>
      <c r="H739" s="3"/>
      <c r="I739" s="21"/>
      <c r="J739" s="22"/>
      <c r="K739" s="18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19">
        <f t="shared" si="1"/>
        <v>676</v>
      </c>
      <c r="B740" s="3"/>
      <c r="C740" s="3"/>
      <c r="D740" s="3"/>
      <c r="E740" s="3"/>
      <c r="F740" s="3"/>
      <c r="G740" s="3"/>
      <c r="H740" s="3"/>
      <c r="I740" s="21"/>
      <c r="J740" s="22"/>
      <c r="K740" s="18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19">
        <f t="shared" si="1"/>
        <v>677</v>
      </c>
      <c r="B741" s="3"/>
      <c r="C741" s="3"/>
      <c r="D741" s="3"/>
      <c r="E741" s="3"/>
      <c r="F741" s="3"/>
      <c r="G741" s="3"/>
      <c r="H741" s="3"/>
      <c r="I741" s="21"/>
      <c r="J741" s="22"/>
      <c r="K741" s="18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19">
        <f t="shared" si="1"/>
        <v>678</v>
      </c>
      <c r="B742" s="3"/>
      <c r="C742" s="3"/>
      <c r="D742" s="3"/>
      <c r="E742" s="3"/>
      <c r="F742" s="3"/>
      <c r="G742" s="3"/>
      <c r="H742" s="3"/>
      <c r="I742" s="21"/>
      <c r="J742" s="22"/>
      <c r="K742" s="18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19">
        <f t="shared" si="1"/>
        <v>679</v>
      </c>
      <c r="B743" s="3"/>
      <c r="C743" s="3"/>
      <c r="D743" s="3"/>
      <c r="E743" s="3"/>
      <c r="F743" s="3"/>
      <c r="G743" s="3"/>
      <c r="H743" s="3"/>
      <c r="I743" s="21"/>
      <c r="J743" s="22"/>
      <c r="K743" s="18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19">
        <f t="shared" si="1"/>
        <v>680</v>
      </c>
      <c r="B744" s="3"/>
      <c r="C744" s="3"/>
      <c r="D744" s="3"/>
      <c r="E744" s="3"/>
      <c r="F744" s="3"/>
      <c r="G744" s="3"/>
      <c r="H744" s="3"/>
      <c r="I744" s="21"/>
      <c r="J744" s="22"/>
      <c r="K744" s="18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19">
        <f t="shared" si="1"/>
        <v>681</v>
      </c>
      <c r="B745" s="3"/>
      <c r="C745" s="3"/>
      <c r="D745" s="3"/>
      <c r="E745" s="3"/>
      <c r="F745" s="3"/>
      <c r="G745" s="3"/>
      <c r="H745" s="3"/>
      <c r="I745" s="21"/>
      <c r="J745" s="22"/>
      <c r="K745" s="18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19">
        <f t="shared" si="1"/>
        <v>682</v>
      </c>
      <c r="B746" s="3"/>
      <c r="C746" s="3"/>
      <c r="D746" s="3"/>
      <c r="E746" s="3"/>
      <c r="F746" s="3"/>
      <c r="G746" s="3"/>
      <c r="H746" s="3"/>
      <c r="I746" s="21"/>
      <c r="J746" s="22"/>
      <c r="K746" s="18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19">
        <f t="shared" si="1"/>
        <v>683</v>
      </c>
      <c r="B747" s="3"/>
      <c r="C747" s="3"/>
      <c r="D747" s="3"/>
      <c r="E747" s="3"/>
      <c r="F747" s="3"/>
      <c r="G747" s="3"/>
      <c r="H747" s="3"/>
      <c r="I747" s="21"/>
      <c r="J747" s="22"/>
      <c r="K747" s="18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19">
        <f t="shared" si="1"/>
        <v>684</v>
      </c>
      <c r="B748" s="3"/>
      <c r="C748" s="3"/>
      <c r="D748" s="3"/>
      <c r="E748" s="3"/>
      <c r="F748" s="3"/>
      <c r="G748" s="3"/>
      <c r="H748" s="3"/>
      <c r="I748" s="21"/>
      <c r="J748" s="22"/>
      <c r="K748" s="18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19">
        <f t="shared" si="1"/>
        <v>685</v>
      </c>
      <c r="B749" s="3"/>
      <c r="C749" s="3"/>
      <c r="D749" s="3"/>
      <c r="E749" s="3"/>
      <c r="F749" s="3"/>
      <c r="G749" s="3"/>
      <c r="H749" s="3"/>
      <c r="I749" s="21"/>
      <c r="J749" s="22"/>
      <c r="K749" s="18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19">
        <f t="shared" si="1"/>
        <v>686</v>
      </c>
      <c r="B750" s="3"/>
      <c r="C750" s="3"/>
      <c r="D750" s="3"/>
      <c r="E750" s="3"/>
      <c r="F750" s="3"/>
      <c r="G750" s="3"/>
      <c r="H750" s="3"/>
      <c r="I750" s="21"/>
      <c r="J750" s="22"/>
      <c r="K750" s="18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19">
        <f t="shared" si="1"/>
        <v>687</v>
      </c>
      <c r="B751" s="3"/>
      <c r="C751" s="3"/>
      <c r="D751" s="3"/>
      <c r="E751" s="3"/>
      <c r="F751" s="3"/>
      <c r="G751" s="3"/>
      <c r="H751" s="3"/>
      <c r="I751" s="21"/>
      <c r="J751" s="22"/>
      <c r="K751" s="18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19">
        <f t="shared" si="1"/>
        <v>688</v>
      </c>
      <c r="B752" s="3"/>
      <c r="C752" s="3"/>
      <c r="D752" s="3"/>
      <c r="E752" s="3"/>
      <c r="F752" s="3"/>
      <c r="G752" s="3"/>
      <c r="H752" s="3"/>
      <c r="I752" s="21"/>
      <c r="J752" s="22"/>
      <c r="K752" s="18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19">
        <f t="shared" si="1"/>
        <v>689</v>
      </c>
      <c r="B753" s="3"/>
      <c r="C753" s="3"/>
      <c r="D753" s="3"/>
      <c r="E753" s="3"/>
      <c r="F753" s="3"/>
      <c r="G753" s="3"/>
      <c r="H753" s="3"/>
      <c r="I753" s="21"/>
      <c r="J753" s="22"/>
      <c r="K753" s="18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19">
        <f t="shared" si="1"/>
        <v>690</v>
      </c>
      <c r="B754" s="3"/>
      <c r="C754" s="3"/>
      <c r="D754" s="3"/>
      <c r="E754" s="3"/>
      <c r="F754" s="3"/>
      <c r="G754" s="3"/>
      <c r="H754" s="3"/>
      <c r="I754" s="21"/>
      <c r="J754" s="22"/>
      <c r="K754" s="18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19">
        <f t="shared" si="1"/>
        <v>691</v>
      </c>
      <c r="B755" s="3"/>
      <c r="C755" s="3"/>
      <c r="D755" s="3"/>
      <c r="E755" s="3"/>
      <c r="F755" s="3"/>
      <c r="G755" s="3"/>
      <c r="H755" s="3"/>
      <c r="I755" s="21"/>
      <c r="J755" s="22"/>
      <c r="K755" s="18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19">
        <f t="shared" si="1"/>
        <v>692</v>
      </c>
      <c r="B756" s="3"/>
      <c r="C756" s="3"/>
      <c r="D756" s="3"/>
      <c r="E756" s="3"/>
      <c r="F756" s="3"/>
      <c r="G756" s="3"/>
      <c r="H756" s="3"/>
      <c r="I756" s="21"/>
      <c r="J756" s="22"/>
      <c r="K756" s="18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19">
        <f t="shared" si="1"/>
        <v>693</v>
      </c>
      <c r="B757" s="3"/>
      <c r="C757" s="3"/>
      <c r="D757" s="3"/>
      <c r="E757" s="3"/>
      <c r="F757" s="3"/>
      <c r="G757" s="3"/>
      <c r="H757" s="3"/>
      <c r="I757" s="21"/>
      <c r="J757" s="22"/>
      <c r="K757" s="18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19">
        <f t="shared" si="1"/>
        <v>694</v>
      </c>
      <c r="B758" s="3"/>
      <c r="C758" s="3"/>
      <c r="D758" s="3"/>
      <c r="E758" s="3"/>
      <c r="F758" s="3"/>
      <c r="G758" s="3"/>
      <c r="H758" s="3"/>
      <c r="I758" s="21"/>
      <c r="J758" s="22"/>
      <c r="K758" s="18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19">
        <f t="shared" si="1"/>
        <v>695</v>
      </c>
      <c r="B759" s="3"/>
      <c r="C759" s="3"/>
      <c r="D759" s="3"/>
      <c r="E759" s="3"/>
      <c r="F759" s="3"/>
      <c r="G759" s="3"/>
      <c r="H759" s="3"/>
      <c r="I759" s="21"/>
      <c r="J759" s="22"/>
      <c r="K759" s="18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19">
        <f t="shared" si="1"/>
        <v>696</v>
      </c>
      <c r="B760" s="3"/>
      <c r="C760" s="3"/>
      <c r="D760" s="3"/>
      <c r="E760" s="3"/>
      <c r="F760" s="3"/>
      <c r="G760" s="3"/>
      <c r="H760" s="3"/>
      <c r="I760" s="21"/>
      <c r="J760" s="22"/>
      <c r="K760" s="18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19">
        <f t="shared" si="1"/>
        <v>697</v>
      </c>
      <c r="B761" s="3"/>
      <c r="C761" s="3"/>
      <c r="D761" s="3"/>
      <c r="E761" s="3"/>
      <c r="F761" s="3"/>
      <c r="G761" s="3"/>
      <c r="H761" s="3"/>
      <c r="I761" s="21"/>
      <c r="J761" s="22"/>
      <c r="K761" s="18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19">
        <f t="shared" si="1"/>
        <v>698</v>
      </c>
      <c r="B762" s="3"/>
      <c r="C762" s="3"/>
      <c r="D762" s="3"/>
      <c r="E762" s="3"/>
      <c r="F762" s="3"/>
      <c r="G762" s="3"/>
      <c r="H762" s="3"/>
      <c r="I762" s="21"/>
      <c r="J762" s="22"/>
      <c r="K762" s="18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19">
        <f t="shared" si="1"/>
        <v>699</v>
      </c>
      <c r="B763" s="3"/>
      <c r="C763" s="3"/>
      <c r="D763" s="3"/>
      <c r="E763" s="3"/>
      <c r="F763" s="3"/>
      <c r="G763" s="3"/>
      <c r="H763" s="3"/>
      <c r="I763" s="21"/>
      <c r="J763" s="22"/>
      <c r="K763" s="18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19">
        <f t="shared" si="1"/>
        <v>700</v>
      </c>
      <c r="B764" s="3"/>
      <c r="C764" s="3"/>
      <c r="D764" s="3"/>
      <c r="E764" s="3"/>
      <c r="F764" s="3"/>
      <c r="G764" s="3"/>
      <c r="H764" s="3"/>
      <c r="I764" s="21"/>
      <c r="J764" s="22"/>
      <c r="K764" s="18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19">
        <f t="shared" si="1"/>
        <v>701</v>
      </c>
      <c r="B765" s="3"/>
      <c r="C765" s="3"/>
      <c r="D765" s="3"/>
      <c r="E765" s="3"/>
      <c r="F765" s="3"/>
      <c r="G765" s="3"/>
      <c r="H765" s="3"/>
      <c r="I765" s="21"/>
      <c r="J765" s="22"/>
      <c r="K765" s="18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19">
        <f t="shared" si="1"/>
        <v>702</v>
      </c>
      <c r="B766" s="3"/>
      <c r="C766" s="3"/>
      <c r="D766" s="3"/>
      <c r="E766" s="3"/>
      <c r="F766" s="3"/>
      <c r="G766" s="3"/>
      <c r="H766" s="3"/>
      <c r="I766" s="21"/>
      <c r="J766" s="22"/>
      <c r="K766" s="18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19">
        <f t="shared" si="1"/>
        <v>703</v>
      </c>
      <c r="B767" s="3"/>
      <c r="C767" s="3"/>
      <c r="D767" s="3"/>
      <c r="E767" s="3"/>
      <c r="F767" s="3"/>
      <c r="G767" s="3"/>
      <c r="H767" s="3"/>
      <c r="I767" s="21"/>
      <c r="J767" s="22"/>
      <c r="K767" s="18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19">
        <f t="shared" si="1"/>
        <v>704</v>
      </c>
      <c r="B768" s="3"/>
      <c r="C768" s="3"/>
      <c r="D768" s="3"/>
      <c r="E768" s="3"/>
      <c r="F768" s="3"/>
      <c r="G768" s="3"/>
      <c r="H768" s="3"/>
      <c r="I768" s="21"/>
      <c r="J768" s="22"/>
      <c r="K768" s="18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19">
        <f t="shared" si="1"/>
        <v>705</v>
      </c>
      <c r="B769" s="3"/>
      <c r="C769" s="3"/>
      <c r="D769" s="3"/>
      <c r="E769" s="3"/>
      <c r="F769" s="3"/>
      <c r="G769" s="3"/>
      <c r="H769" s="3"/>
      <c r="I769" s="21"/>
      <c r="J769" s="22"/>
      <c r="K769" s="18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19">
        <f t="shared" si="1"/>
        <v>706</v>
      </c>
      <c r="B770" s="3"/>
      <c r="C770" s="3"/>
      <c r="D770" s="3"/>
      <c r="E770" s="3"/>
      <c r="F770" s="3"/>
      <c r="G770" s="3"/>
      <c r="H770" s="3"/>
      <c r="I770" s="21"/>
      <c r="J770" s="22"/>
      <c r="K770" s="18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19">
        <f t="shared" si="1"/>
        <v>707</v>
      </c>
      <c r="B771" s="3"/>
      <c r="C771" s="3"/>
      <c r="D771" s="3"/>
      <c r="E771" s="3"/>
      <c r="F771" s="3"/>
      <c r="G771" s="3"/>
      <c r="H771" s="3"/>
      <c r="I771" s="21"/>
      <c r="J771" s="22"/>
      <c r="K771" s="18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19">
        <f t="shared" si="1"/>
        <v>708</v>
      </c>
      <c r="B772" s="3"/>
      <c r="C772" s="3"/>
      <c r="D772" s="3"/>
      <c r="E772" s="3"/>
      <c r="F772" s="3"/>
      <c r="G772" s="3"/>
      <c r="H772" s="3"/>
      <c r="I772" s="21"/>
      <c r="J772" s="22"/>
      <c r="K772" s="18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19">
        <f t="shared" si="1"/>
        <v>709</v>
      </c>
      <c r="B773" s="3"/>
      <c r="C773" s="3"/>
      <c r="D773" s="3"/>
      <c r="E773" s="3"/>
      <c r="F773" s="3"/>
      <c r="G773" s="3"/>
      <c r="H773" s="3"/>
      <c r="I773" s="21"/>
      <c r="J773" s="22"/>
      <c r="K773" s="18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19">
        <f t="shared" si="1"/>
        <v>710</v>
      </c>
      <c r="B774" s="3"/>
      <c r="C774" s="3"/>
      <c r="D774" s="3"/>
      <c r="E774" s="3"/>
      <c r="F774" s="3"/>
      <c r="G774" s="3"/>
      <c r="H774" s="3"/>
      <c r="I774" s="21"/>
      <c r="J774" s="22"/>
      <c r="K774" s="18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19">
        <f t="shared" si="1"/>
        <v>711</v>
      </c>
      <c r="B775" s="3"/>
      <c r="C775" s="3"/>
      <c r="D775" s="3"/>
      <c r="E775" s="3"/>
      <c r="F775" s="3"/>
      <c r="G775" s="3"/>
      <c r="H775" s="3"/>
      <c r="I775" s="21"/>
      <c r="J775" s="22"/>
      <c r="K775" s="18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19">
        <f t="shared" si="1"/>
        <v>712</v>
      </c>
      <c r="B776" s="3"/>
      <c r="C776" s="3"/>
      <c r="D776" s="3"/>
      <c r="E776" s="3"/>
      <c r="F776" s="3"/>
      <c r="G776" s="3"/>
      <c r="H776" s="3"/>
      <c r="I776" s="21"/>
      <c r="J776" s="22"/>
      <c r="K776" s="18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19">
        <f t="shared" si="1"/>
        <v>713</v>
      </c>
      <c r="B777" s="3"/>
      <c r="C777" s="3"/>
      <c r="D777" s="3"/>
      <c r="E777" s="3"/>
      <c r="F777" s="3"/>
      <c r="G777" s="3"/>
      <c r="H777" s="3"/>
      <c r="I777" s="21"/>
      <c r="J777" s="22"/>
      <c r="K777" s="18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19">
        <f t="shared" si="1"/>
        <v>714</v>
      </c>
      <c r="B778" s="3"/>
      <c r="C778" s="3"/>
      <c r="D778" s="3"/>
      <c r="E778" s="3"/>
      <c r="F778" s="3"/>
      <c r="G778" s="3"/>
      <c r="H778" s="3"/>
      <c r="I778" s="21"/>
      <c r="J778" s="22"/>
      <c r="K778" s="18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19">
        <f t="shared" si="1"/>
        <v>715</v>
      </c>
      <c r="B779" s="3"/>
      <c r="C779" s="3"/>
      <c r="D779" s="3"/>
      <c r="E779" s="3"/>
      <c r="F779" s="3"/>
      <c r="G779" s="3"/>
      <c r="H779" s="3"/>
      <c r="I779" s="21"/>
      <c r="J779" s="22"/>
      <c r="K779" s="18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19">
        <f t="shared" si="1"/>
        <v>716</v>
      </c>
      <c r="B780" s="3"/>
      <c r="C780" s="3"/>
      <c r="D780" s="3"/>
      <c r="E780" s="3"/>
      <c r="F780" s="3"/>
      <c r="G780" s="3"/>
      <c r="H780" s="3"/>
      <c r="I780" s="21"/>
      <c r="J780" s="22"/>
      <c r="K780" s="18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19">
        <f t="shared" si="1"/>
        <v>717</v>
      </c>
      <c r="B781" s="3"/>
      <c r="C781" s="3"/>
      <c r="D781" s="3"/>
      <c r="E781" s="3"/>
      <c r="F781" s="3"/>
      <c r="G781" s="3"/>
      <c r="H781" s="3"/>
      <c r="I781" s="21"/>
      <c r="J781" s="22"/>
      <c r="K781" s="18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19">
        <f t="shared" si="1"/>
        <v>718</v>
      </c>
      <c r="B782" s="3"/>
      <c r="C782" s="3"/>
      <c r="D782" s="3"/>
      <c r="E782" s="3"/>
      <c r="F782" s="3"/>
      <c r="G782" s="3"/>
      <c r="H782" s="3"/>
      <c r="I782" s="21"/>
      <c r="J782" s="22"/>
      <c r="K782" s="18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19">
        <f t="shared" si="1"/>
        <v>719</v>
      </c>
      <c r="B783" s="3"/>
      <c r="C783" s="3"/>
      <c r="D783" s="3"/>
      <c r="E783" s="3"/>
      <c r="F783" s="3"/>
      <c r="G783" s="3"/>
      <c r="H783" s="3"/>
      <c r="I783" s="21"/>
      <c r="J783" s="22"/>
      <c r="K783" s="18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19">
        <f t="shared" si="1"/>
        <v>720</v>
      </c>
      <c r="B784" s="3"/>
      <c r="C784" s="3"/>
      <c r="D784" s="3"/>
      <c r="E784" s="3"/>
      <c r="F784" s="3"/>
      <c r="G784" s="3"/>
      <c r="H784" s="3"/>
      <c r="I784" s="21"/>
      <c r="J784" s="22"/>
      <c r="K784" s="18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19">
        <f t="shared" si="1"/>
        <v>721</v>
      </c>
      <c r="B785" s="3"/>
      <c r="C785" s="3"/>
      <c r="D785" s="3"/>
      <c r="E785" s="3"/>
      <c r="F785" s="3"/>
      <c r="G785" s="3"/>
      <c r="H785" s="3"/>
      <c r="I785" s="21"/>
      <c r="J785" s="22"/>
      <c r="K785" s="18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19">
        <f t="shared" si="1"/>
        <v>722</v>
      </c>
      <c r="B786" s="3"/>
      <c r="C786" s="3"/>
      <c r="D786" s="3"/>
      <c r="E786" s="3"/>
      <c r="F786" s="3"/>
      <c r="G786" s="3"/>
      <c r="H786" s="3"/>
      <c r="I786" s="21"/>
      <c r="J786" s="22"/>
      <c r="K786" s="18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19">
        <f t="shared" si="1"/>
        <v>723</v>
      </c>
      <c r="B787" s="3"/>
      <c r="C787" s="3"/>
      <c r="D787" s="3"/>
      <c r="E787" s="3"/>
      <c r="F787" s="3"/>
      <c r="G787" s="3"/>
      <c r="H787" s="3"/>
      <c r="I787" s="21"/>
      <c r="J787" s="22"/>
      <c r="K787" s="18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19">
        <f t="shared" si="1"/>
        <v>724</v>
      </c>
      <c r="B788" s="3"/>
      <c r="C788" s="3"/>
      <c r="D788" s="3"/>
      <c r="E788" s="3"/>
      <c r="F788" s="3"/>
      <c r="G788" s="3"/>
      <c r="H788" s="3"/>
      <c r="I788" s="21"/>
      <c r="J788" s="22"/>
      <c r="K788" s="18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19">
        <f t="shared" si="1"/>
        <v>725</v>
      </c>
      <c r="B789" s="3"/>
      <c r="C789" s="3"/>
      <c r="D789" s="3"/>
      <c r="E789" s="3"/>
      <c r="F789" s="3"/>
      <c r="G789" s="3"/>
      <c r="H789" s="3"/>
      <c r="I789" s="21"/>
      <c r="J789" s="22"/>
      <c r="K789" s="18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19">
        <f t="shared" si="1"/>
        <v>726</v>
      </c>
      <c r="B790" s="3"/>
      <c r="C790" s="3"/>
      <c r="D790" s="3"/>
      <c r="E790" s="3"/>
      <c r="F790" s="3"/>
      <c r="G790" s="3"/>
      <c r="H790" s="3"/>
      <c r="I790" s="21"/>
      <c r="J790" s="22"/>
      <c r="K790" s="18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19">
        <f t="shared" si="1"/>
        <v>727</v>
      </c>
      <c r="B791" s="3"/>
      <c r="C791" s="3"/>
      <c r="D791" s="3"/>
      <c r="E791" s="3"/>
      <c r="F791" s="3"/>
      <c r="G791" s="3"/>
      <c r="H791" s="3"/>
      <c r="I791" s="21"/>
      <c r="J791" s="22"/>
      <c r="K791" s="18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19">
        <f t="shared" si="1"/>
        <v>728</v>
      </c>
      <c r="B792" s="3"/>
      <c r="C792" s="3"/>
      <c r="D792" s="3"/>
      <c r="E792" s="3"/>
      <c r="F792" s="3"/>
      <c r="G792" s="3"/>
      <c r="H792" s="3"/>
      <c r="I792" s="21"/>
      <c r="J792" s="22"/>
      <c r="K792" s="18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19">
        <f t="shared" si="1"/>
        <v>729</v>
      </c>
      <c r="B793" s="3"/>
      <c r="C793" s="3"/>
      <c r="D793" s="3"/>
      <c r="E793" s="3"/>
      <c r="F793" s="3"/>
      <c r="G793" s="3"/>
      <c r="H793" s="3"/>
      <c r="I793" s="21"/>
      <c r="J793" s="22"/>
      <c r="K793" s="18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19">
        <f t="shared" si="1"/>
        <v>730</v>
      </c>
      <c r="B794" s="3"/>
      <c r="C794" s="3"/>
      <c r="D794" s="3"/>
      <c r="E794" s="3"/>
      <c r="F794" s="3"/>
      <c r="G794" s="3"/>
      <c r="H794" s="3"/>
      <c r="I794" s="21"/>
      <c r="J794" s="22"/>
      <c r="K794" s="18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19">
        <f t="shared" si="1"/>
        <v>731</v>
      </c>
      <c r="B795" s="3"/>
      <c r="C795" s="3"/>
      <c r="D795" s="3"/>
      <c r="E795" s="3"/>
      <c r="F795" s="3"/>
      <c r="G795" s="3"/>
      <c r="H795" s="3"/>
      <c r="I795" s="21"/>
      <c r="J795" s="22"/>
      <c r="K795" s="18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19">
        <f t="shared" si="1"/>
        <v>732</v>
      </c>
      <c r="B796" s="3"/>
      <c r="C796" s="3"/>
      <c r="D796" s="3"/>
      <c r="E796" s="3"/>
      <c r="F796" s="3"/>
      <c r="G796" s="3"/>
      <c r="H796" s="3"/>
      <c r="I796" s="21"/>
      <c r="J796" s="22"/>
      <c r="K796" s="18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19">
        <f t="shared" si="1"/>
        <v>733</v>
      </c>
      <c r="B797" s="3"/>
      <c r="C797" s="3"/>
      <c r="D797" s="3"/>
      <c r="E797" s="3"/>
      <c r="F797" s="3"/>
      <c r="G797" s="3"/>
      <c r="H797" s="3"/>
      <c r="I797" s="21"/>
      <c r="J797" s="22"/>
      <c r="K797" s="18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19">
        <f t="shared" si="1"/>
        <v>734</v>
      </c>
      <c r="B798" s="3"/>
      <c r="C798" s="3"/>
      <c r="D798" s="3"/>
      <c r="E798" s="3"/>
      <c r="F798" s="3"/>
      <c r="G798" s="3"/>
      <c r="H798" s="3"/>
      <c r="I798" s="21"/>
      <c r="J798" s="22"/>
      <c r="K798" s="18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19">
        <f t="shared" si="1"/>
        <v>735</v>
      </c>
      <c r="B799" s="3"/>
      <c r="C799" s="3"/>
      <c r="D799" s="3"/>
      <c r="E799" s="3"/>
      <c r="F799" s="3"/>
      <c r="G799" s="3"/>
      <c r="H799" s="3"/>
      <c r="I799" s="21"/>
      <c r="J799" s="22"/>
      <c r="K799" s="18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19">
        <f t="shared" si="1"/>
        <v>736</v>
      </c>
      <c r="B800" s="3"/>
      <c r="C800" s="3"/>
      <c r="D800" s="3"/>
      <c r="E800" s="3"/>
      <c r="F800" s="3"/>
      <c r="G800" s="3"/>
      <c r="H800" s="3"/>
      <c r="I800" s="21"/>
      <c r="J800" s="22"/>
      <c r="K800" s="18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19">
        <f t="shared" si="1"/>
        <v>737</v>
      </c>
      <c r="B801" s="3"/>
      <c r="C801" s="3"/>
      <c r="D801" s="3"/>
      <c r="E801" s="3"/>
      <c r="F801" s="3"/>
      <c r="G801" s="3"/>
      <c r="H801" s="3"/>
      <c r="I801" s="21"/>
      <c r="J801" s="22"/>
      <c r="K801" s="18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19">
        <f t="shared" si="1"/>
        <v>738</v>
      </c>
      <c r="B802" s="3"/>
      <c r="C802" s="3"/>
      <c r="D802" s="3"/>
      <c r="E802" s="3"/>
      <c r="F802" s="3"/>
      <c r="G802" s="3"/>
      <c r="H802" s="3"/>
      <c r="I802" s="21"/>
      <c r="J802" s="22"/>
      <c r="K802" s="18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19">
        <f t="shared" si="1"/>
        <v>739</v>
      </c>
      <c r="B803" s="3"/>
      <c r="C803" s="3"/>
      <c r="D803" s="3"/>
      <c r="E803" s="3"/>
      <c r="F803" s="3"/>
      <c r="G803" s="3"/>
      <c r="H803" s="3"/>
      <c r="I803" s="21"/>
      <c r="J803" s="22"/>
      <c r="K803" s="18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19">
        <f t="shared" si="1"/>
        <v>740</v>
      </c>
      <c r="B804" s="3"/>
      <c r="C804" s="3"/>
      <c r="D804" s="3"/>
      <c r="E804" s="3"/>
      <c r="F804" s="3"/>
      <c r="G804" s="3"/>
      <c r="H804" s="3"/>
      <c r="I804" s="21"/>
      <c r="J804" s="22"/>
      <c r="K804" s="18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19">
        <f t="shared" si="1"/>
        <v>741</v>
      </c>
      <c r="B805" s="3"/>
      <c r="C805" s="3"/>
      <c r="D805" s="3"/>
      <c r="E805" s="3"/>
      <c r="F805" s="3"/>
      <c r="G805" s="3"/>
      <c r="H805" s="3"/>
      <c r="I805" s="21"/>
      <c r="J805" s="22"/>
      <c r="K805" s="18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19">
        <f t="shared" si="1"/>
        <v>742</v>
      </c>
      <c r="B806" s="3"/>
      <c r="C806" s="3"/>
      <c r="D806" s="3"/>
      <c r="E806" s="3"/>
      <c r="F806" s="3"/>
      <c r="G806" s="3"/>
      <c r="H806" s="3"/>
      <c r="I806" s="21"/>
      <c r="J806" s="22"/>
      <c r="K806" s="18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19">
        <f t="shared" si="1"/>
        <v>743</v>
      </c>
      <c r="B807" s="3"/>
      <c r="C807" s="3"/>
      <c r="D807" s="3"/>
      <c r="E807" s="3"/>
      <c r="F807" s="3"/>
      <c r="G807" s="3"/>
      <c r="H807" s="3"/>
      <c r="I807" s="21"/>
      <c r="J807" s="22"/>
      <c r="K807" s="18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19">
        <f t="shared" si="1"/>
        <v>744</v>
      </c>
      <c r="B808" s="3"/>
      <c r="C808" s="3"/>
      <c r="D808" s="3"/>
      <c r="E808" s="3"/>
      <c r="F808" s="3"/>
      <c r="G808" s="3"/>
      <c r="H808" s="3"/>
      <c r="I808" s="21"/>
      <c r="J808" s="22"/>
      <c r="K808" s="18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19">
        <f t="shared" si="1"/>
        <v>745</v>
      </c>
      <c r="B809" s="3"/>
      <c r="C809" s="3"/>
      <c r="D809" s="3"/>
      <c r="E809" s="3"/>
      <c r="F809" s="3"/>
      <c r="G809" s="3"/>
      <c r="H809" s="3"/>
      <c r="I809" s="21"/>
      <c r="J809" s="22"/>
      <c r="K809" s="18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19">
        <f t="shared" si="1"/>
        <v>746</v>
      </c>
      <c r="B810" s="3"/>
      <c r="C810" s="3"/>
      <c r="D810" s="3"/>
      <c r="E810" s="3"/>
      <c r="F810" s="3"/>
      <c r="G810" s="3"/>
      <c r="H810" s="3"/>
      <c r="I810" s="21"/>
      <c r="J810" s="22"/>
      <c r="K810" s="18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19">
        <f t="shared" si="1"/>
        <v>747</v>
      </c>
      <c r="B811" s="3"/>
      <c r="C811" s="3"/>
      <c r="D811" s="3"/>
      <c r="E811" s="3"/>
      <c r="F811" s="3"/>
      <c r="G811" s="3"/>
      <c r="H811" s="3"/>
      <c r="I811" s="21"/>
      <c r="J811" s="22"/>
      <c r="K811" s="18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19">
        <f t="shared" si="1"/>
        <v>748</v>
      </c>
      <c r="B812" s="3"/>
      <c r="C812" s="3"/>
      <c r="D812" s="3"/>
      <c r="E812" s="3"/>
      <c r="F812" s="3"/>
      <c r="G812" s="3"/>
      <c r="H812" s="3"/>
      <c r="I812" s="21"/>
      <c r="J812" s="22"/>
      <c r="K812" s="18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19">
        <f t="shared" si="1"/>
        <v>749</v>
      </c>
      <c r="B813" s="3"/>
      <c r="C813" s="3"/>
      <c r="D813" s="3"/>
      <c r="E813" s="3"/>
      <c r="F813" s="3"/>
      <c r="G813" s="3"/>
      <c r="H813" s="3"/>
      <c r="I813" s="21"/>
      <c r="J813" s="22"/>
      <c r="K813" s="18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19">
        <f t="shared" si="1"/>
        <v>750</v>
      </c>
      <c r="B814" s="3"/>
      <c r="C814" s="3"/>
      <c r="D814" s="3"/>
      <c r="E814" s="3"/>
      <c r="F814" s="3"/>
      <c r="G814" s="3"/>
      <c r="H814" s="3"/>
      <c r="I814" s="21"/>
      <c r="J814" s="22"/>
      <c r="K814" s="18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19">
        <f t="shared" si="1"/>
        <v>751</v>
      </c>
      <c r="B815" s="3"/>
      <c r="C815" s="3"/>
      <c r="D815" s="3"/>
      <c r="E815" s="3"/>
      <c r="F815" s="3"/>
      <c r="G815" s="3"/>
      <c r="H815" s="3"/>
      <c r="I815" s="21"/>
      <c r="J815" s="22"/>
      <c r="K815" s="18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19">
        <f t="shared" si="1"/>
        <v>752</v>
      </c>
      <c r="B816" s="3"/>
      <c r="C816" s="3"/>
      <c r="D816" s="3"/>
      <c r="E816" s="3"/>
      <c r="F816" s="3"/>
      <c r="G816" s="3"/>
      <c r="H816" s="3"/>
      <c r="I816" s="21"/>
      <c r="J816" s="22"/>
      <c r="K816" s="18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19">
        <f t="shared" si="1"/>
        <v>753</v>
      </c>
      <c r="B817" s="3"/>
      <c r="C817" s="3"/>
      <c r="D817" s="3"/>
      <c r="E817" s="3"/>
      <c r="F817" s="3"/>
      <c r="G817" s="3"/>
      <c r="H817" s="3"/>
      <c r="I817" s="21"/>
      <c r="J817" s="22"/>
      <c r="K817" s="18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19">
        <f t="shared" si="1"/>
        <v>754</v>
      </c>
      <c r="B818" s="3"/>
      <c r="C818" s="3"/>
      <c r="D818" s="3"/>
      <c r="E818" s="3"/>
      <c r="F818" s="3"/>
      <c r="G818" s="3"/>
      <c r="H818" s="3"/>
      <c r="I818" s="21"/>
      <c r="J818" s="22"/>
      <c r="K818" s="18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19">
        <f t="shared" si="1"/>
        <v>755</v>
      </c>
      <c r="B819" s="3"/>
      <c r="C819" s="3"/>
      <c r="D819" s="3"/>
      <c r="E819" s="3"/>
      <c r="F819" s="3"/>
      <c r="G819" s="3"/>
      <c r="H819" s="3"/>
      <c r="I819" s="21"/>
      <c r="J819" s="22"/>
      <c r="K819" s="18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19">
        <f t="shared" si="1"/>
        <v>756</v>
      </c>
      <c r="B820" s="3"/>
      <c r="C820" s="3"/>
      <c r="D820" s="3"/>
      <c r="E820" s="3"/>
      <c r="F820" s="3"/>
      <c r="G820" s="3"/>
      <c r="H820" s="3"/>
      <c r="I820" s="21"/>
      <c r="J820" s="22"/>
      <c r="K820" s="18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19">
        <f t="shared" si="1"/>
        <v>757</v>
      </c>
      <c r="B821" s="3"/>
      <c r="C821" s="3"/>
      <c r="D821" s="3"/>
      <c r="E821" s="3"/>
      <c r="F821" s="3"/>
      <c r="G821" s="3"/>
      <c r="H821" s="3"/>
      <c r="I821" s="21"/>
      <c r="J821" s="22"/>
      <c r="K821" s="18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19">
        <f t="shared" si="1"/>
        <v>758</v>
      </c>
      <c r="B822" s="3"/>
      <c r="C822" s="3"/>
      <c r="D822" s="3"/>
      <c r="E822" s="3"/>
      <c r="F822" s="3"/>
      <c r="G822" s="3"/>
      <c r="H822" s="3"/>
      <c r="I822" s="21"/>
      <c r="J822" s="22"/>
      <c r="K822" s="18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19">
        <f t="shared" si="1"/>
        <v>759</v>
      </c>
      <c r="B823" s="3"/>
      <c r="C823" s="3"/>
      <c r="D823" s="3"/>
      <c r="E823" s="3"/>
      <c r="F823" s="3"/>
      <c r="G823" s="3"/>
      <c r="H823" s="3"/>
      <c r="I823" s="21"/>
      <c r="J823" s="22"/>
      <c r="K823" s="18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19">
        <f t="shared" si="1"/>
        <v>760</v>
      </c>
      <c r="B824" s="3"/>
      <c r="C824" s="3"/>
      <c r="D824" s="3"/>
      <c r="E824" s="3"/>
      <c r="F824" s="3"/>
      <c r="G824" s="3"/>
      <c r="H824" s="3"/>
      <c r="I824" s="21"/>
      <c r="J824" s="22"/>
      <c r="K824" s="18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19">
        <f t="shared" si="1"/>
        <v>761</v>
      </c>
      <c r="B825" s="3"/>
      <c r="C825" s="3"/>
      <c r="D825" s="3"/>
      <c r="E825" s="3"/>
      <c r="F825" s="3"/>
      <c r="G825" s="3"/>
      <c r="H825" s="3"/>
      <c r="I825" s="21"/>
      <c r="J825" s="22"/>
      <c r="K825" s="18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19">
        <f t="shared" si="1"/>
        <v>762</v>
      </c>
      <c r="B826" s="3"/>
      <c r="C826" s="3"/>
      <c r="D826" s="3"/>
      <c r="E826" s="3"/>
      <c r="F826" s="3"/>
      <c r="G826" s="3"/>
      <c r="H826" s="3"/>
      <c r="I826" s="21"/>
      <c r="J826" s="22"/>
      <c r="K826" s="18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19">
        <f t="shared" si="1"/>
        <v>763</v>
      </c>
      <c r="B827" s="3"/>
      <c r="C827" s="3"/>
      <c r="D827" s="3"/>
      <c r="E827" s="3"/>
      <c r="F827" s="3"/>
      <c r="G827" s="3"/>
      <c r="H827" s="3"/>
      <c r="I827" s="21"/>
      <c r="J827" s="22"/>
      <c r="K827" s="18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19">
        <f t="shared" si="1"/>
        <v>764</v>
      </c>
      <c r="B828" s="3"/>
      <c r="C828" s="3"/>
      <c r="D828" s="3"/>
      <c r="E828" s="3"/>
      <c r="F828" s="3"/>
      <c r="G828" s="3"/>
      <c r="H828" s="3"/>
      <c r="I828" s="21"/>
      <c r="J828" s="22"/>
      <c r="K828" s="18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19">
        <f t="shared" si="1"/>
        <v>765</v>
      </c>
      <c r="B829" s="3"/>
      <c r="C829" s="3"/>
      <c r="D829" s="3"/>
      <c r="E829" s="3"/>
      <c r="F829" s="3"/>
      <c r="G829" s="3"/>
      <c r="H829" s="3"/>
      <c r="I829" s="21"/>
      <c r="J829" s="22"/>
      <c r="K829" s="18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19">
        <f t="shared" si="1"/>
        <v>766</v>
      </c>
      <c r="B830" s="3"/>
      <c r="C830" s="3"/>
      <c r="D830" s="3"/>
      <c r="E830" s="3"/>
      <c r="F830" s="3"/>
      <c r="G830" s="3"/>
      <c r="H830" s="3"/>
      <c r="I830" s="21"/>
      <c r="J830" s="22"/>
      <c r="K830" s="18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19">
        <f t="shared" si="1"/>
        <v>767</v>
      </c>
      <c r="B831" s="3"/>
      <c r="C831" s="3"/>
      <c r="D831" s="3"/>
      <c r="E831" s="3"/>
      <c r="F831" s="3"/>
      <c r="G831" s="3"/>
      <c r="H831" s="3"/>
      <c r="I831" s="21"/>
      <c r="J831" s="22"/>
      <c r="K831" s="18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19">
        <f t="shared" si="1"/>
        <v>768</v>
      </c>
      <c r="B832" s="3"/>
      <c r="C832" s="3"/>
      <c r="D832" s="3"/>
      <c r="E832" s="3"/>
      <c r="F832" s="3"/>
      <c r="G832" s="3"/>
      <c r="H832" s="3"/>
      <c r="I832" s="21"/>
      <c r="J832" s="22"/>
      <c r="K832" s="18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19">
        <f t="shared" si="1"/>
        <v>769</v>
      </c>
      <c r="B833" s="3"/>
      <c r="C833" s="3"/>
      <c r="D833" s="3"/>
      <c r="E833" s="3"/>
      <c r="F833" s="3"/>
      <c r="G833" s="3"/>
      <c r="H833" s="3"/>
      <c r="I833" s="21"/>
      <c r="J833" s="22"/>
      <c r="K833" s="18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19">
        <f t="shared" si="1"/>
        <v>770</v>
      </c>
      <c r="B834" s="3"/>
      <c r="C834" s="3"/>
      <c r="D834" s="3"/>
      <c r="E834" s="3"/>
      <c r="F834" s="3"/>
      <c r="G834" s="3"/>
      <c r="H834" s="3"/>
      <c r="I834" s="21"/>
      <c r="J834" s="22"/>
      <c r="K834" s="18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19">
        <f t="shared" si="1"/>
        <v>771</v>
      </c>
      <c r="B835" s="3"/>
      <c r="C835" s="3"/>
      <c r="D835" s="3"/>
      <c r="E835" s="3"/>
      <c r="F835" s="3"/>
      <c r="G835" s="3"/>
      <c r="H835" s="3"/>
      <c r="I835" s="21"/>
      <c r="J835" s="22"/>
      <c r="K835" s="18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19">
        <f t="shared" si="1"/>
        <v>772</v>
      </c>
      <c r="B836" s="3"/>
      <c r="C836" s="3"/>
      <c r="D836" s="3"/>
      <c r="E836" s="3"/>
      <c r="F836" s="3"/>
      <c r="G836" s="3"/>
      <c r="H836" s="3"/>
      <c r="I836" s="21"/>
      <c r="J836" s="22"/>
      <c r="K836" s="18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19">
        <f t="shared" si="1"/>
        <v>773</v>
      </c>
      <c r="B837" s="3"/>
      <c r="C837" s="3"/>
      <c r="D837" s="3"/>
      <c r="E837" s="3"/>
      <c r="F837" s="3"/>
      <c r="G837" s="3"/>
      <c r="H837" s="3"/>
      <c r="I837" s="21"/>
      <c r="J837" s="22"/>
      <c r="K837" s="18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19">
        <f t="shared" si="1"/>
        <v>774</v>
      </c>
      <c r="B838" s="3"/>
      <c r="C838" s="3"/>
      <c r="D838" s="3"/>
      <c r="E838" s="3"/>
      <c r="F838" s="3"/>
      <c r="G838" s="3"/>
      <c r="H838" s="3"/>
      <c r="I838" s="21"/>
      <c r="J838" s="22"/>
      <c r="K838" s="18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19">
        <f t="shared" si="1"/>
        <v>775</v>
      </c>
      <c r="B839" s="3"/>
      <c r="C839" s="3"/>
      <c r="D839" s="3"/>
      <c r="E839" s="3"/>
      <c r="F839" s="3"/>
      <c r="G839" s="3"/>
      <c r="H839" s="3"/>
      <c r="I839" s="21"/>
      <c r="J839" s="22"/>
      <c r="K839" s="18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19">
        <f t="shared" si="1"/>
        <v>776</v>
      </c>
      <c r="B840" s="3"/>
      <c r="C840" s="3"/>
      <c r="D840" s="3"/>
      <c r="E840" s="3"/>
      <c r="F840" s="3"/>
      <c r="G840" s="3"/>
      <c r="H840" s="3"/>
      <c r="I840" s="21"/>
      <c r="J840" s="22"/>
      <c r="K840" s="18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19">
        <f t="shared" si="1"/>
        <v>777</v>
      </c>
      <c r="B841" s="3"/>
      <c r="C841" s="3"/>
      <c r="D841" s="3"/>
      <c r="E841" s="3"/>
      <c r="F841" s="3"/>
      <c r="G841" s="3"/>
      <c r="H841" s="3"/>
      <c r="I841" s="21"/>
      <c r="J841" s="22"/>
      <c r="K841" s="18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19">
        <f t="shared" si="1"/>
        <v>778</v>
      </c>
      <c r="B842" s="3"/>
      <c r="C842" s="3"/>
      <c r="D842" s="3"/>
      <c r="E842" s="3"/>
      <c r="F842" s="3"/>
      <c r="G842" s="3"/>
      <c r="H842" s="3"/>
      <c r="I842" s="21"/>
      <c r="J842" s="22"/>
      <c r="K842" s="18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19">
        <f t="shared" si="1"/>
        <v>779</v>
      </c>
      <c r="B843" s="3"/>
      <c r="C843" s="3"/>
      <c r="D843" s="3"/>
      <c r="E843" s="3"/>
      <c r="F843" s="3"/>
      <c r="G843" s="3"/>
      <c r="H843" s="3"/>
      <c r="I843" s="21"/>
      <c r="J843" s="22"/>
      <c r="K843" s="18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19">
        <f t="shared" si="1"/>
        <v>780</v>
      </c>
      <c r="B844" s="3"/>
      <c r="C844" s="3"/>
      <c r="D844" s="3"/>
      <c r="E844" s="3"/>
      <c r="F844" s="3"/>
      <c r="G844" s="3"/>
      <c r="H844" s="3"/>
      <c r="I844" s="21"/>
      <c r="J844" s="22"/>
      <c r="K844" s="18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19">
        <f t="shared" si="1"/>
        <v>781</v>
      </c>
      <c r="B845" s="3"/>
      <c r="C845" s="3"/>
      <c r="D845" s="3"/>
      <c r="E845" s="3"/>
      <c r="F845" s="3"/>
      <c r="G845" s="3"/>
      <c r="H845" s="3"/>
      <c r="I845" s="21"/>
      <c r="J845" s="22"/>
      <c r="K845" s="18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19">
        <f t="shared" si="1"/>
        <v>782</v>
      </c>
      <c r="B846" s="3"/>
      <c r="C846" s="3"/>
      <c r="D846" s="3"/>
      <c r="E846" s="3"/>
      <c r="F846" s="3"/>
      <c r="G846" s="3"/>
      <c r="H846" s="3"/>
      <c r="I846" s="21"/>
      <c r="J846" s="22"/>
      <c r="K846" s="18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19">
        <f t="shared" si="1"/>
        <v>783</v>
      </c>
      <c r="B847" s="3"/>
      <c r="C847" s="3"/>
      <c r="D847" s="3"/>
      <c r="E847" s="3"/>
      <c r="F847" s="3"/>
      <c r="G847" s="3"/>
      <c r="H847" s="3"/>
      <c r="I847" s="21"/>
      <c r="J847" s="22"/>
      <c r="K847" s="18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19">
        <f t="shared" si="1"/>
        <v>784</v>
      </c>
      <c r="B848" s="3"/>
      <c r="C848" s="3"/>
      <c r="D848" s="3"/>
      <c r="E848" s="3"/>
      <c r="F848" s="3"/>
      <c r="G848" s="3"/>
      <c r="H848" s="3"/>
      <c r="I848" s="21"/>
      <c r="J848" s="22"/>
      <c r="K848" s="18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19">
        <f t="shared" si="1"/>
        <v>785</v>
      </c>
      <c r="B849" s="3"/>
      <c r="C849" s="3"/>
      <c r="D849" s="3"/>
      <c r="E849" s="3"/>
      <c r="F849" s="3"/>
      <c r="G849" s="3"/>
      <c r="H849" s="3"/>
      <c r="I849" s="21"/>
      <c r="J849" s="22"/>
      <c r="K849" s="18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19">
        <f t="shared" si="1"/>
        <v>786</v>
      </c>
      <c r="B850" s="3"/>
      <c r="C850" s="3"/>
      <c r="D850" s="3"/>
      <c r="E850" s="3"/>
      <c r="F850" s="3"/>
      <c r="G850" s="3"/>
      <c r="H850" s="3"/>
      <c r="I850" s="21"/>
      <c r="J850" s="22"/>
      <c r="K850" s="18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19">
        <f t="shared" si="1"/>
        <v>787</v>
      </c>
      <c r="B851" s="3"/>
      <c r="C851" s="3"/>
      <c r="D851" s="3"/>
      <c r="E851" s="3"/>
      <c r="F851" s="3"/>
      <c r="G851" s="3"/>
      <c r="H851" s="3"/>
      <c r="I851" s="21"/>
      <c r="J851" s="22"/>
      <c r="K851" s="18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19">
        <f t="shared" si="1"/>
        <v>788</v>
      </c>
      <c r="B852" s="3"/>
      <c r="C852" s="3"/>
      <c r="D852" s="3"/>
      <c r="E852" s="3"/>
      <c r="F852" s="3"/>
      <c r="G852" s="3"/>
      <c r="H852" s="3"/>
      <c r="I852" s="21"/>
      <c r="J852" s="22"/>
      <c r="K852" s="18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19">
        <f t="shared" si="1"/>
        <v>789</v>
      </c>
      <c r="B853" s="3"/>
      <c r="C853" s="3"/>
      <c r="D853" s="3"/>
      <c r="E853" s="3"/>
      <c r="F853" s="3"/>
      <c r="G853" s="3"/>
      <c r="H853" s="3"/>
      <c r="I853" s="21"/>
      <c r="J853" s="22"/>
      <c r="K853" s="18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19">
        <f t="shared" si="1"/>
        <v>790</v>
      </c>
      <c r="B854" s="3"/>
      <c r="C854" s="3"/>
      <c r="D854" s="3"/>
      <c r="E854" s="3"/>
      <c r="F854" s="3"/>
      <c r="G854" s="3"/>
      <c r="H854" s="3"/>
      <c r="I854" s="21"/>
      <c r="J854" s="22"/>
      <c r="K854" s="18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19">
        <f t="shared" si="1"/>
        <v>791</v>
      </c>
      <c r="B855" s="3"/>
      <c r="C855" s="3"/>
      <c r="D855" s="3"/>
      <c r="E855" s="3"/>
      <c r="F855" s="3"/>
      <c r="G855" s="3"/>
      <c r="H855" s="3"/>
      <c r="I855" s="21"/>
      <c r="J855" s="22"/>
      <c r="K855" s="18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19">
        <f t="shared" si="1"/>
        <v>792</v>
      </c>
      <c r="B856" s="3"/>
      <c r="C856" s="3"/>
      <c r="D856" s="3"/>
      <c r="E856" s="3"/>
      <c r="F856" s="3"/>
      <c r="G856" s="3"/>
      <c r="H856" s="3"/>
      <c r="I856" s="21"/>
      <c r="J856" s="22"/>
      <c r="K856" s="18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19">
        <f t="shared" si="1"/>
        <v>793</v>
      </c>
      <c r="B857" s="3"/>
      <c r="C857" s="3"/>
      <c r="D857" s="3"/>
      <c r="E857" s="3"/>
      <c r="F857" s="3"/>
      <c r="G857" s="3"/>
      <c r="H857" s="3"/>
      <c r="I857" s="21"/>
      <c r="J857" s="22"/>
      <c r="K857" s="18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19">
        <f t="shared" si="1"/>
        <v>794</v>
      </c>
      <c r="B858" s="3"/>
      <c r="C858" s="3"/>
      <c r="D858" s="3"/>
      <c r="E858" s="3"/>
      <c r="F858" s="3"/>
      <c r="G858" s="3"/>
      <c r="H858" s="3"/>
      <c r="I858" s="21"/>
      <c r="J858" s="22"/>
      <c r="K858" s="18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19">
        <f t="shared" si="1"/>
        <v>795</v>
      </c>
      <c r="B859" s="3"/>
      <c r="C859" s="3"/>
      <c r="D859" s="3"/>
      <c r="E859" s="3"/>
      <c r="F859" s="3"/>
      <c r="G859" s="3"/>
      <c r="H859" s="3"/>
      <c r="I859" s="21"/>
      <c r="J859" s="22"/>
      <c r="K859" s="18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19">
        <f t="shared" si="1"/>
        <v>796</v>
      </c>
      <c r="B860" s="3"/>
      <c r="C860" s="3"/>
      <c r="D860" s="3"/>
      <c r="E860" s="3"/>
      <c r="F860" s="3"/>
      <c r="G860" s="3"/>
      <c r="H860" s="3"/>
      <c r="I860" s="21"/>
      <c r="J860" s="22"/>
      <c r="K860" s="18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19">
        <f t="shared" si="1"/>
        <v>797</v>
      </c>
      <c r="B861" s="3"/>
      <c r="C861" s="3"/>
      <c r="D861" s="3"/>
      <c r="E861" s="3"/>
      <c r="F861" s="3"/>
      <c r="G861" s="3"/>
      <c r="H861" s="3"/>
      <c r="I861" s="21"/>
      <c r="J861" s="22"/>
      <c r="K861" s="18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19">
        <f t="shared" si="1"/>
        <v>798</v>
      </c>
      <c r="B862" s="3"/>
      <c r="C862" s="3"/>
      <c r="D862" s="3"/>
      <c r="E862" s="3"/>
      <c r="F862" s="3"/>
      <c r="G862" s="3"/>
      <c r="H862" s="3"/>
      <c r="I862" s="21"/>
      <c r="J862" s="22"/>
      <c r="K862" s="18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19">
        <f t="shared" si="1"/>
        <v>799</v>
      </c>
      <c r="B863" s="3"/>
      <c r="C863" s="3"/>
      <c r="D863" s="3"/>
      <c r="E863" s="3"/>
      <c r="F863" s="3"/>
      <c r="G863" s="3"/>
      <c r="H863" s="3"/>
      <c r="I863" s="21"/>
      <c r="J863" s="22"/>
      <c r="K863" s="18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19">
        <f t="shared" si="1"/>
        <v>800</v>
      </c>
      <c r="B864" s="3"/>
      <c r="C864" s="3"/>
      <c r="D864" s="3"/>
      <c r="E864" s="3"/>
      <c r="F864" s="3"/>
      <c r="G864" s="3"/>
      <c r="H864" s="3"/>
      <c r="I864" s="21"/>
      <c r="J864" s="22"/>
      <c r="K864" s="18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19">
        <f t="shared" si="1"/>
        <v>801</v>
      </c>
      <c r="B865" s="3"/>
      <c r="C865" s="3"/>
      <c r="D865" s="3"/>
      <c r="E865" s="3"/>
      <c r="F865" s="3"/>
      <c r="G865" s="3"/>
      <c r="H865" s="3"/>
      <c r="I865" s="21"/>
      <c r="J865" s="22"/>
      <c r="K865" s="18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19">
        <f t="shared" si="1"/>
        <v>802</v>
      </c>
      <c r="B866" s="3"/>
      <c r="C866" s="3"/>
      <c r="D866" s="3"/>
      <c r="E866" s="3"/>
      <c r="F866" s="3"/>
      <c r="G866" s="3"/>
      <c r="H866" s="3"/>
      <c r="I866" s="21"/>
      <c r="J866" s="22"/>
      <c r="K866" s="18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19">
        <f t="shared" si="1"/>
        <v>803</v>
      </c>
      <c r="B867" s="3"/>
      <c r="C867" s="3"/>
      <c r="D867" s="3"/>
      <c r="E867" s="3"/>
      <c r="F867" s="3"/>
      <c r="G867" s="3"/>
      <c r="H867" s="3"/>
      <c r="I867" s="21"/>
      <c r="J867" s="22"/>
      <c r="K867" s="18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19">
        <f t="shared" si="1"/>
        <v>804</v>
      </c>
      <c r="B868" s="3"/>
      <c r="C868" s="3"/>
      <c r="D868" s="3"/>
      <c r="E868" s="3"/>
      <c r="F868" s="3"/>
      <c r="G868" s="3"/>
      <c r="H868" s="3"/>
      <c r="I868" s="21"/>
      <c r="J868" s="22"/>
      <c r="K868" s="18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19">
        <f t="shared" si="1"/>
        <v>805</v>
      </c>
      <c r="B869" s="3"/>
      <c r="C869" s="3"/>
      <c r="D869" s="3"/>
      <c r="E869" s="3"/>
      <c r="F869" s="3"/>
      <c r="G869" s="3"/>
      <c r="H869" s="3"/>
      <c r="I869" s="21"/>
      <c r="J869" s="22"/>
      <c r="K869" s="18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19">
        <f t="shared" si="1"/>
        <v>806</v>
      </c>
      <c r="B870" s="3"/>
      <c r="C870" s="3"/>
      <c r="D870" s="3"/>
      <c r="E870" s="3"/>
      <c r="F870" s="3"/>
      <c r="G870" s="3"/>
      <c r="H870" s="3"/>
      <c r="I870" s="21"/>
      <c r="J870" s="22"/>
      <c r="K870" s="18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19">
        <f t="shared" si="1"/>
        <v>807</v>
      </c>
      <c r="B871" s="3"/>
      <c r="C871" s="3"/>
      <c r="D871" s="3"/>
      <c r="E871" s="3"/>
      <c r="F871" s="3"/>
      <c r="G871" s="3"/>
      <c r="H871" s="3"/>
      <c r="I871" s="21"/>
      <c r="J871" s="22"/>
      <c r="K871" s="18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19">
        <f t="shared" si="1"/>
        <v>808</v>
      </c>
      <c r="B872" s="3"/>
      <c r="C872" s="3"/>
      <c r="D872" s="3"/>
      <c r="E872" s="3"/>
      <c r="F872" s="3"/>
      <c r="G872" s="3"/>
      <c r="H872" s="3"/>
      <c r="I872" s="21"/>
      <c r="J872" s="22"/>
      <c r="K872" s="18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19">
        <f t="shared" si="1"/>
        <v>809</v>
      </c>
      <c r="B873" s="3"/>
      <c r="C873" s="3"/>
      <c r="D873" s="3"/>
      <c r="E873" s="3"/>
      <c r="F873" s="3"/>
      <c r="G873" s="3"/>
      <c r="H873" s="3"/>
      <c r="I873" s="21"/>
      <c r="J873" s="22"/>
      <c r="K873" s="18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19">
        <f t="shared" si="1"/>
        <v>810</v>
      </c>
      <c r="B874" s="3"/>
      <c r="C874" s="3"/>
      <c r="D874" s="3"/>
      <c r="E874" s="3"/>
      <c r="F874" s="3"/>
      <c r="G874" s="3"/>
      <c r="H874" s="3"/>
      <c r="I874" s="21"/>
      <c r="J874" s="22"/>
      <c r="K874" s="18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19">
        <f t="shared" si="1"/>
        <v>811</v>
      </c>
      <c r="B875" s="3"/>
      <c r="C875" s="3"/>
      <c r="D875" s="3"/>
      <c r="E875" s="3"/>
      <c r="F875" s="3"/>
      <c r="G875" s="3"/>
      <c r="H875" s="3"/>
      <c r="I875" s="21"/>
      <c r="J875" s="22"/>
      <c r="K875" s="18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19">
        <f t="shared" si="1"/>
        <v>812</v>
      </c>
      <c r="B876" s="3"/>
      <c r="C876" s="3"/>
      <c r="D876" s="3"/>
      <c r="E876" s="3"/>
      <c r="F876" s="3"/>
      <c r="G876" s="3"/>
      <c r="H876" s="3"/>
      <c r="I876" s="21"/>
      <c r="J876" s="22"/>
      <c r="K876" s="18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19">
        <f t="shared" si="1"/>
        <v>813</v>
      </c>
      <c r="B877" s="3"/>
      <c r="C877" s="3"/>
      <c r="D877" s="3"/>
      <c r="E877" s="3"/>
      <c r="F877" s="3"/>
      <c r="G877" s="3"/>
      <c r="H877" s="3"/>
      <c r="I877" s="21"/>
      <c r="J877" s="22"/>
      <c r="K877" s="18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19">
        <f t="shared" si="1"/>
        <v>814</v>
      </c>
      <c r="B878" s="3"/>
      <c r="C878" s="3"/>
      <c r="D878" s="3"/>
      <c r="E878" s="3"/>
      <c r="F878" s="3"/>
      <c r="G878" s="3"/>
      <c r="H878" s="3"/>
      <c r="I878" s="21"/>
      <c r="J878" s="22"/>
      <c r="K878" s="18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19">
        <f t="shared" si="1"/>
        <v>815</v>
      </c>
      <c r="B879" s="3"/>
      <c r="C879" s="3"/>
      <c r="D879" s="3"/>
      <c r="E879" s="3"/>
      <c r="F879" s="3"/>
      <c r="G879" s="3"/>
      <c r="H879" s="3"/>
      <c r="I879" s="21"/>
      <c r="J879" s="22"/>
      <c r="K879" s="18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19">
        <f t="shared" si="1"/>
        <v>816</v>
      </c>
      <c r="B880" s="3"/>
      <c r="C880" s="3"/>
      <c r="D880" s="3"/>
      <c r="E880" s="3"/>
      <c r="F880" s="3"/>
      <c r="G880" s="3"/>
      <c r="H880" s="3"/>
      <c r="I880" s="21"/>
      <c r="J880" s="22"/>
      <c r="K880" s="18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19">
        <f t="shared" si="1"/>
        <v>817</v>
      </c>
      <c r="B881" s="3"/>
      <c r="C881" s="3"/>
      <c r="D881" s="3"/>
      <c r="E881" s="3"/>
      <c r="F881" s="3"/>
      <c r="G881" s="3"/>
      <c r="H881" s="3"/>
      <c r="I881" s="21"/>
      <c r="J881" s="22"/>
      <c r="K881" s="18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19">
        <f t="shared" si="1"/>
        <v>818</v>
      </c>
      <c r="B882" s="3"/>
      <c r="C882" s="3"/>
      <c r="D882" s="3"/>
      <c r="E882" s="3"/>
      <c r="F882" s="3"/>
      <c r="G882" s="3"/>
      <c r="H882" s="3"/>
      <c r="I882" s="21"/>
      <c r="J882" s="22"/>
      <c r="K882" s="18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19">
        <f t="shared" si="1"/>
        <v>819</v>
      </c>
      <c r="B883" s="3"/>
      <c r="C883" s="3"/>
      <c r="D883" s="3"/>
      <c r="E883" s="3"/>
      <c r="F883" s="3"/>
      <c r="G883" s="3"/>
      <c r="H883" s="3"/>
      <c r="I883" s="21"/>
      <c r="J883" s="22"/>
      <c r="K883" s="18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19">
        <f t="shared" si="1"/>
        <v>820</v>
      </c>
      <c r="B884" s="3"/>
      <c r="C884" s="3"/>
      <c r="D884" s="3"/>
      <c r="E884" s="3"/>
      <c r="F884" s="3"/>
      <c r="G884" s="3"/>
      <c r="H884" s="3"/>
      <c r="I884" s="21"/>
      <c r="J884" s="22"/>
      <c r="K884" s="18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19">
        <f t="shared" si="1"/>
        <v>821</v>
      </c>
      <c r="B885" s="3"/>
      <c r="C885" s="3"/>
      <c r="D885" s="3"/>
      <c r="E885" s="3"/>
      <c r="F885" s="3"/>
      <c r="G885" s="3"/>
      <c r="H885" s="3"/>
      <c r="I885" s="21"/>
      <c r="J885" s="22"/>
      <c r="K885" s="18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19">
        <f t="shared" si="1"/>
        <v>822</v>
      </c>
      <c r="B886" s="3"/>
      <c r="C886" s="3"/>
      <c r="D886" s="3"/>
      <c r="E886" s="3"/>
      <c r="F886" s="3"/>
      <c r="G886" s="3"/>
      <c r="H886" s="3"/>
      <c r="I886" s="21"/>
      <c r="J886" s="22"/>
      <c r="K886" s="18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19">
        <f t="shared" si="1"/>
        <v>823</v>
      </c>
      <c r="B887" s="3"/>
      <c r="C887" s="3"/>
      <c r="D887" s="3"/>
      <c r="E887" s="3"/>
      <c r="F887" s="3"/>
      <c r="G887" s="3"/>
      <c r="H887" s="3"/>
      <c r="I887" s="21"/>
      <c r="J887" s="22"/>
      <c r="K887" s="18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19">
        <f t="shared" si="1"/>
        <v>824</v>
      </c>
      <c r="B888" s="3"/>
      <c r="C888" s="3"/>
      <c r="D888" s="3"/>
      <c r="E888" s="3"/>
      <c r="F888" s="3"/>
      <c r="G888" s="3"/>
      <c r="H888" s="3"/>
      <c r="I888" s="21"/>
      <c r="J888" s="22"/>
      <c r="K888" s="18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19">
        <f t="shared" si="1"/>
        <v>825</v>
      </c>
      <c r="B889" s="3"/>
      <c r="C889" s="3"/>
      <c r="D889" s="3"/>
      <c r="E889" s="3"/>
      <c r="F889" s="3"/>
      <c r="G889" s="3"/>
      <c r="H889" s="3"/>
      <c r="I889" s="21"/>
      <c r="J889" s="22"/>
      <c r="K889" s="18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19">
        <f t="shared" si="1"/>
        <v>826</v>
      </c>
      <c r="B890" s="3"/>
      <c r="C890" s="3"/>
      <c r="D890" s="3"/>
      <c r="E890" s="3"/>
      <c r="F890" s="3"/>
      <c r="G890" s="3"/>
      <c r="H890" s="3"/>
      <c r="I890" s="21"/>
      <c r="J890" s="22"/>
      <c r="K890" s="18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19">
        <f t="shared" si="1"/>
        <v>827</v>
      </c>
      <c r="B891" s="3"/>
      <c r="C891" s="3"/>
      <c r="D891" s="3"/>
      <c r="E891" s="3"/>
      <c r="F891" s="3"/>
      <c r="G891" s="3"/>
      <c r="H891" s="3"/>
      <c r="I891" s="21"/>
      <c r="J891" s="22"/>
      <c r="K891" s="18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19">
        <f t="shared" si="1"/>
        <v>828</v>
      </c>
      <c r="B892" s="3"/>
      <c r="C892" s="3"/>
      <c r="D892" s="3"/>
      <c r="E892" s="3"/>
      <c r="F892" s="3"/>
      <c r="G892" s="3"/>
      <c r="H892" s="3"/>
      <c r="I892" s="21"/>
      <c r="J892" s="22"/>
      <c r="K892" s="18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19">
        <f t="shared" si="1"/>
        <v>829</v>
      </c>
      <c r="B893" s="3"/>
      <c r="C893" s="3"/>
      <c r="D893" s="3"/>
      <c r="E893" s="3"/>
      <c r="F893" s="3"/>
      <c r="G893" s="3"/>
      <c r="H893" s="3"/>
      <c r="I893" s="21"/>
      <c r="J893" s="22"/>
      <c r="K893" s="18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19">
        <f t="shared" si="1"/>
        <v>830</v>
      </c>
      <c r="B894" s="3"/>
      <c r="C894" s="3"/>
      <c r="D894" s="3"/>
      <c r="E894" s="3"/>
      <c r="F894" s="3"/>
      <c r="G894" s="3"/>
      <c r="H894" s="3"/>
      <c r="I894" s="21"/>
      <c r="J894" s="22"/>
      <c r="K894" s="18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19">
        <f t="shared" si="1"/>
        <v>831</v>
      </c>
      <c r="B895" s="3"/>
      <c r="C895" s="3"/>
      <c r="D895" s="3"/>
      <c r="E895" s="3"/>
      <c r="F895" s="3"/>
      <c r="G895" s="3"/>
      <c r="H895" s="3"/>
      <c r="I895" s="21"/>
      <c r="J895" s="22"/>
      <c r="K895" s="18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19">
        <f t="shared" si="1"/>
        <v>832</v>
      </c>
      <c r="B896" s="3"/>
      <c r="C896" s="3"/>
      <c r="D896" s="3"/>
      <c r="E896" s="3"/>
      <c r="F896" s="3"/>
      <c r="G896" s="3"/>
      <c r="H896" s="3"/>
      <c r="I896" s="21"/>
      <c r="J896" s="22"/>
      <c r="K896" s="18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19">
        <f t="shared" si="1"/>
        <v>833</v>
      </c>
      <c r="B897" s="3"/>
      <c r="C897" s="3"/>
      <c r="D897" s="3"/>
      <c r="E897" s="3"/>
      <c r="F897" s="3"/>
      <c r="G897" s="3"/>
      <c r="H897" s="3"/>
      <c r="I897" s="21"/>
      <c r="J897" s="22"/>
      <c r="K897" s="18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19">
        <f t="shared" si="1"/>
        <v>834</v>
      </c>
      <c r="B898" s="3"/>
      <c r="C898" s="3"/>
      <c r="D898" s="3"/>
      <c r="E898" s="3"/>
      <c r="F898" s="3"/>
      <c r="G898" s="3"/>
      <c r="H898" s="3"/>
      <c r="I898" s="21"/>
      <c r="J898" s="22"/>
      <c r="K898" s="18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19">
        <f t="shared" si="1"/>
        <v>835</v>
      </c>
      <c r="B899" s="3"/>
      <c r="C899" s="3"/>
      <c r="D899" s="3"/>
      <c r="E899" s="3"/>
      <c r="F899" s="3"/>
      <c r="G899" s="3"/>
      <c r="H899" s="3"/>
      <c r="I899" s="21"/>
      <c r="J899" s="22"/>
      <c r="K899" s="18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19">
        <f t="shared" si="1"/>
        <v>836</v>
      </c>
      <c r="B900" s="3"/>
      <c r="C900" s="3"/>
      <c r="D900" s="3"/>
      <c r="E900" s="3"/>
      <c r="F900" s="3"/>
      <c r="G900" s="3"/>
      <c r="H900" s="3"/>
      <c r="I900" s="21"/>
      <c r="J900" s="22"/>
      <c r="K900" s="18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19">
        <f t="shared" si="1"/>
        <v>837</v>
      </c>
      <c r="B901" s="3"/>
      <c r="C901" s="3"/>
      <c r="D901" s="3"/>
      <c r="E901" s="3"/>
      <c r="F901" s="3"/>
      <c r="G901" s="3"/>
      <c r="H901" s="3"/>
      <c r="I901" s="21"/>
      <c r="J901" s="22"/>
      <c r="K901" s="18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19">
        <f t="shared" si="1"/>
        <v>838</v>
      </c>
      <c r="B902" s="3"/>
      <c r="C902" s="3"/>
      <c r="D902" s="3"/>
      <c r="E902" s="3"/>
      <c r="F902" s="3"/>
      <c r="G902" s="3"/>
      <c r="H902" s="3"/>
      <c r="I902" s="21"/>
      <c r="J902" s="22"/>
      <c r="K902" s="18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19">
        <f t="shared" si="1"/>
        <v>839</v>
      </c>
      <c r="B903" s="3"/>
      <c r="C903" s="3"/>
      <c r="D903" s="3"/>
      <c r="E903" s="3"/>
      <c r="F903" s="3"/>
      <c r="G903" s="3"/>
      <c r="H903" s="3"/>
      <c r="I903" s="21"/>
      <c r="J903" s="22"/>
      <c r="K903" s="18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19">
        <f t="shared" si="1"/>
        <v>840</v>
      </c>
      <c r="B904" s="3"/>
      <c r="C904" s="3"/>
      <c r="D904" s="3"/>
      <c r="E904" s="3"/>
      <c r="F904" s="3"/>
      <c r="G904" s="3"/>
      <c r="H904" s="3"/>
      <c r="I904" s="21"/>
      <c r="J904" s="22"/>
      <c r="K904" s="18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19">
        <f t="shared" si="1"/>
        <v>841</v>
      </c>
      <c r="B905" s="3"/>
      <c r="C905" s="3"/>
      <c r="D905" s="3"/>
      <c r="E905" s="3"/>
      <c r="F905" s="3"/>
      <c r="G905" s="3"/>
      <c r="H905" s="3"/>
      <c r="I905" s="21"/>
      <c r="J905" s="22"/>
      <c r="K905" s="18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19">
        <f t="shared" si="1"/>
        <v>842</v>
      </c>
      <c r="B906" s="3"/>
      <c r="C906" s="3"/>
      <c r="D906" s="3"/>
      <c r="E906" s="3"/>
      <c r="F906" s="3"/>
      <c r="G906" s="3"/>
      <c r="H906" s="3"/>
      <c r="I906" s="21"/>
      <c r="J906" s="22"/>
      <c r="K906" s="18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19">
        <f t="shared" si="1"/>
        <v>843</v>
      </c>
      <c r="B907" s="3"/>
      <c r="C907" s="3"/>
      <c r="D907" s="3"/>
      <c r="E907" s="3"/>
      <c r="F907" s="3"/>
      <c r="G907" s="3"/>
      <c r="H907" s="3"/>
      <c r="I907" s="21"/>
      <c r="J907" s="22"/>
      <c r="K907" s="18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19">
        <f t="shared" si="1"/>
        <v>844</v>
      </c>
      <c r="B908" s="3"/>
      <c r="C908" s="3"/>
      <c r="D908" s="3"/>
      <c r="E908" s="3"/>
      <c r="F908" s="3"/>
      <c r="G908" s="3"/>
      <c r="H908" s="3"/>
      <c r="I908" s="21"/>
      <c r="J908" s="22"/>
      <c r="K908" s="18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19">
        <f t="shared" si="1"/>
        <v>845</v>
      </c>
      <c r="B909" s="3"/>
      <c r="C909" s="3"/>
      <c r="D909" s="3"/>
      <c r="E909" s="3"/>
      <c r="F909" s="3"/>
      <c r="G909" s="3"/>
      <c r="H909" s="3"/>
      <c r="I909" s="21"/>
      <c r="J909" s="22"/>
      <c r="K909" s="18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19">
        <f t="shared" si="1"/>
        <v>846</v>
      </c>
      <c r="B910" s="3"/>
      <c r="C910" s="3"/>
      <c r="D910" s="3"/>
      <c r="E910" s="3"/>
      <c r="F910" s="3"/>
      <c r="G910" s="3"/>
      <c r="H910" s="3"/>
      <c r="I910" s="21"/>
      <c r="J910" s="22"/>
      <c r="K910" s="18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19">
        <f t="shared" si="1"/>
        <v>847</v>
      </c>
      <c r="B911" s="3"/>
      <c r="C911" s="3"/>
      <c r="D911" s="3"/>
      <c r="E911" s="3"/>
      <c r="F911" s="3"/>
      <c r="G911" s="3"/>
      <c r="H911" s="3"/>
      <c r="I911" s="21"/>
      <c r="J911" s="22"/>
      <c r="K911" s="18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19">
        <f t="shared" si="1"/>
        <v>848</v>
      </c>
      <c r="B912" s="3"/>
      <c r="C912" s="3"/>
      <c r="D912" s="3"/>
      <c r="E912" s="3"/>
      <c r="F912" s="3"/>
      <c r="G912" s="3"/>
      <c r="H912" s="3"/>
      <c r="I912" s="21"/>
      <c r="J912" s="22"/>
      <c r="K912" s="18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19">
        <f t="shared" si="1"/>
        <v>849</v>
      </c>
      <c r="B913" s="3"/>
      <c r="C913" s="3"/>
      <c r="D913" s="3"/>
      <c r="E913" s="3"/>
      <c r="F913" s="3"/>
      <c r="G913" s="3"/>
      <c r="H913" s="3"/>
      <c r="I913" s="21"/>
      <c r="J913" s="22"/>
      <c r="K913" s="18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19">
        <f t="shared" si="1"/>
        <v>850</v>
      </c>
      <c r="B914" s="3"/>
      <c r="C914" s="3"/>
      <c r="D914" s="3"/>
      <c r="E914" s="3"/>
      <c r="F914" s="3"/>
      <c r="G914" s="3"/>
      <c r="H914" s="3"/>
      <c r="I914" s="21"/>
      <c r="J914" s="22"/>
      <c r="K914" s="18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19">
        <f t="shared" si="1"/>
        <v>851</v>
      </c>
      <c r="B915" s="3"/>
      <c r="C915" s="3"/>
      <c r="D915" s="3"/>
      <c r="E915" s="3"/>
      <c r="F915" s="3"/>
      <c r="G915" s="3"/>
      <c r="H915" s="3"/>
      <c r="I915" s="21"/>
      <c r="J915" s="22"/>
      <c r="K915" s="18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19">
        <f t="shared" si="1"/>
        <v>852</v>
      </c>
      <c r="B916" s="3"/>
      <c r="C916" s="3"/>
      <c r="D916" s="3"/>
      <c r="E916" s="3"/>
      <c r="F916" s="3"/>
      <c r="G916" s="3"/>
      <c r="H916" s="3"/>
      <c r="I916" s="21"/>
      <c r="J916" s="22"/>
      <c r="K916" s="18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19">
        <f t="shared" si="1"/>
        <v>853</v>
      </c>
      <c r="B917" s="3"/>
      <c r="C917" s="3"/>
      <c r="D917" s="3"/>
      <c r="E917" s="3"/>
      <c r="F917" s="3"/>
      <c r="G917" s="3"/>
      <c r="H917" s="3"/>
      <c r="I917" s="21"/>
      <c r="J917" s="22"/>
      <c r="K917" s="18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19">
        <f t="shared" si="1"/>
        <v>854</v>
      </c>
      <c r="B918" s="3"/>
      <c r="C918" s="3"/>
      <c r="D918" s="3"/>
      <c r="E918" s="3"/>
      <c r="F918" s="3"/>
      <c r="G918" s="3"/>
      <c r="H918" s="3"/>
      <c r="I918" s="21"/>
      <c r="J918" s="22"/>
      <c r="K918" s="18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19">
        <f t="shared" si="1"/>
        <v>855</v>
      </c>
      <c r="B919" s="3"/>
      <c r="C919" s="3"/>
      <c r="D919" s="3"/>
      <c r="E919" s="3"/>
      <c r="F919" s="3"/>
      <c r="G919" s="3"/>
      <c r="H919" s="3"/>
      <c r="I919" s="21"/>
      <c r="J919" s="22"/>
      <c r="K919" s="18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19">
        <f t="shared" si="1"/>
        <v>856</v>
      </c>
      <c r="B920" s="3"/>
      <c r="C920" s="3"/>
      <c r="D920" s="3"/>
      <c r="E920" s="3"/>
      <c r="F920" s="3"/>
      <c r="G920" s="3"/>
      <c r="H920" s="3"/>
      <c r="I920" s="21"/>
      <c r="J920" s="22"/>
      <c r="K920" s="18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19">
        <f t="shared" si="1"/>
        <v>857</v>
      </c>
      <c r="B921" s="3"/>
      <c r="C921" s="3"/>
      <c r="D921" s="3"/>
      <c r="E921" s="3"/>
      <c r="F921" s="3"/>
      <c r="G921" s="3"/>
      <c r="H921" s="3"/>
      <c r="I921" s="21"/>
      <c r="J921" s="22"/>
      <c r="K921" s="18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19">
        <f t="shared" si="1"/>
        <v>858</v>
      </c>
      <c r="B922" s="3"/>
      <c r="C922" s="3"/>
      <c r="D922" s="3"/>
      <c r="E922" s="3"/>
      <c r="F922" s="3"/>
      <c r="G922" s="3"/>
      <c r="H922" s="3"/>
      <c r="I922" s="21"/>
      <c r="J922" s="22"/>
      <c r="K922" s="18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19">
        <f t="shared" si="1"/>
        <v>859</v>
      </c>
      <c r="B923" s="3"/>
      <c r="C923" s="3"/>
      <c r="D923" s="3"/>
      <c r="E923" s="3"/>
      <c r="F923" s="3"/>
      <c r="G923" s="3"/>
      <c r="H923" s="3"/>
      <c r="I923" s="21"/>
      <c r="J923" s="22"/>
      <c r="K923" s="18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19">
        <f t="shared" si="1"/>
        <v>860</v>
      </c>
      <c r="B924" s="3"/>
      <c r="C924" s="3"/>
      <c r="D924" s="3"/>
      <c r="E924" s="3"/>
      <c r="F924" s="3"/>
      <c r="G924" s="3"/>
      <c r="H924" s="3"/>
      <c r="I924" s="21"/>
      <c r="J924" s="22"/>
      <c r="K924" s="18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19">
        <f t="shared" si="1"/>
        <v>861</v>
      </c>
      <c r="B925" s="3"/>
      <c r="C925" s="3"/>
      <c r="D925" s="3"/>
      <c r="E925" s="3"/>
      <c r="F925" s="3"/>
      <c r="G925" s="3"/>
      <c r="H925" s="3"/>
      <c r="I925" s="21"/>
      <c r="J925" s="22"/>
      <c r="K925" s="18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19">
        <f t="shared" si="1"/>
        <v>862</v>
      </c>
      <c r="B926" s="3"/>
      <c r="C926" s="3"/>
      <c r="D926" s="3"/>
      <c r="E926" s="3"/>
      <c r="F926" s="3"/>
      <c r="G926" s="3"/>
      <c r="H926" s="3"/>
      <c r="I926" s="21"/>
      <c r="J926" s="22"/>
      <c r="K926" s="18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19">
        <f t="shared" si="1"/>
        <v>863</v>
      </c>
      <c r="B927" s="3"/>
      <c r="C927" s="3"/>
      <c r="D927" s="3"/>
      <c r="E927" s="3"/>
      <c r="F927" s="3"/>
      <c r="G927" s="3"/>
      <c r="H927" s="3"/>
      <c r="I927" s="21"/>
      <c r="J927" s="22"/>
      <c r="K927" s="18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19">
        <f t="shared" si="1"/>
        <v>864</v>
      </c>
      <c r="B928" s="3"/>
      <c r="C928" s="3"/>
      <c r="D928" s="3"/>
      <c r="E928" s="3"/>
      <c r="F928" s="3"/>
      <c r="G928" s="3"/>
      <c r="H928" s="3"/>
      <c r="I928" s="21"/>
      <c r="J928" s="22"/>
      <c r="K928" s="18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19">
        <f t="shared" si="1"/>
        <v>865</v>
      </c>
      <c r="B929" s="3"/>
      <c r="C929" s="3"/>
      <c r="D929" s="3"/>
      <c r="E929" s="3"/>
      <c r="F929" s="3"/>
      <c r="G929" s="3"/>
      <c r="H929" s="3"/>
      <c r="I929" s="21"/>
      <c r="J929" s="22"/>
      <c r="K929" s="18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19">
        <f t="shared" si="1"/>
        <v>866</v>
      </c>
      <c r="B930" s="3"/>
      <c r="C930" s="3"/>
      <c r="D930" s="3"/>
      <c r="E930" s="3"/>
      <c r="F930" s="3"/>
      <c r="G930" s="3"/>
      <c r="H930" s="3"/>
      <c r="I930" s="21"/>
      <c r="J930" s="22"/>
      <c r="K930" s="18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19">
        <f t="shared" si="1"/>
        <v>867</v>
      </c>
      <c r="B931" s="3"/>
      <c r="C931" s="3"/>
      <c r="D931" s="3"/>
      <c r="E931" s="3"/>
      <c r="F931" s="3"/>
      <c r="G931" s="3"/>
      <c r="H931" s="3"/>
      <c r="I931" s="21"/>
      <c r="J931" s="22"/>
      <c r="K931" s="18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19">
        <f t="shared" si="1"/>
        <v>868</v>
      </c>
      <c r="B932" s="3"/>
      <c r="C932" s="3"/>
      <c r="D932" s="3"/>
      <c r="E932" s="3"/>
      <c r="F932" s="3"/>
      <c r="G932" s="3"/>
      <c r="H932" s="3"/>
      <c r="I932" s="21"/>
      <c r="J932" s="22"/>
      <c r="K932" s="18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19">
        <f t="shared" si="1"/>
        <v>869</v>
      </c>
      <c r="B933" s="3"/>
      <c r="C933" s="3"/>
      <c r="D933" s="3"/>
      <c r="E933" s="3"/>
      <c r="F933" s="3"/>
      <c r="G933" s="3"/>
      <c r="H933" s="3"/>
      <c r="I933" s="21"/>
      <c r="J933" s="22"/>
      <c r="K933" s="18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19">
        <f t="shared" si="1"/>
        <v>870</v>
      </c>
      <c r="B934" s="3"/>
      <c r="C934" s="3"/>
      <c r="D934" s="3"/>
      <c r="E934" s="3"/>
      <c r="F934" s="3"/>
      <c r="G934" s="3"/>
      <c r="H934" s="3"/>
      <c r="I934" s="21"/>
      <c r="J934" s="22"/>
      <c r="K934" s="18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19">
        <f t="shared" si="1"/>
        <v>871</v>
      </c>
      <c r="B935" s="3"/>
      <c r="C935" s="3"/>
      <c r="D935" s="3"/>
      <c r="E935" s="3"/>
      <c r="F935" s="3"/>
      <c r="G935" s="3"/>
      <c r="H935" s="3"/>
      <c r="I935" s="21"/>
      <c r="J935" s="22"/>
      <c r="K935" s="18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19">
        <f t="shared" si="1"/>
        <v>872</v>
      </c>
      <c r="B936" s="3"/>
      <c r="C936" s="3"/>
      <c r="D936" s="3"/>
      <c r="E936" s="3"/>
      <c r="F936" s="3"/>
      <c r="G936" s="3"/>
      <c r="H936" s="3"/>
      <c r="I936" s="21"/>
      <c r="J936" s="22"/>
      <c r="K936" s="18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19">
        <f t="shared" si="1"/>
        <v>873</v>
      </c>
      <c r="B937" s="3"/>
      <c r="C937" s="3"/>
      <c r="D937" s="3"/>
      <c r="E937" s="3"/>
      <c r="F937" s="3"/>
      <c r="G937" s="3"/>
      <c r="H937" s="3"/>
      <c r="I937" s="21"/>
      <c r="J937" s="22"/>
      <c r="K937" s="18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19">
        <f t="shared" si="1"/>
        <v>874</v>
      </c>
      <c r="B938" s="3"/>
      <c r="C938" s="3"/>
      <c r="D938" s="3"/>
      <c r="E938" s="3"/>
      <c r="F938" s="3"/>
      <c r="G938" s="3"/>
      <c r="H938" s="3"/>
      <c r="I938" s="21"/>
      <c r="J938" s="22"/>
      <c r="K938" s="18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19">
        <f t="shared" si="1"/>
        <v>875</v>
      </c>
      <c r="B939" s="3"/>
      <c r="C939" s="3"/>
      <c r="D939" s="3"/>
      <c r="E939" s="3"/>
      <c r="F939" s="3"/>
      <c r="G939" s="3"/>
      <c r="H939" s="3"/>
      <c r="I939" s="21"/>
      <c r="J939" s="22"/>
      <c r="K939" s="18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19">
        <f t="shared" si="1"/>
        <v>876</v>
      </c>
      <c r="B940" s="3"/>
      <c r="C940" s="3"/>
      <c r="D940" s="3"/>
      <c r="E940" s="3"/>
      <c r="F940" s="3"/>
      <c r="G940" s="3"/>
      <c r="H940" s="3"/>
      <c r="I940" s="21"/>
      <c r="J940" s="22"/>
      <c r="K940" s="18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19">
        <f t="shared" si="1"/>
        <v>877</v>
      </c>
      <c r="B941" s="3"/>
      <c r="C941" s="3"/>
      <c r="D941" s="3"/>
      <c r="E941" s="3"/>
      <c r="F941" s="3"/>
      <c r="G941" s="3"/>
      <c r="H941" s="3"/>
      <c r="I941" s="21"/>
      <c r="J941" s="22"/>
      <c r="K941" s="18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19">
        <f t="shared" si="1"/>
        <v>878</v>
      </c>
      <c r="B942" s="3"/>
      <c r="C942" s="3"/>
      <c r="D942" s="3"/>
      <c r="E942" s="3"/>
      <c r="F942" s="3"/>
      <c r="G942" s="3"/>
      <c r="H942" s="3"/>
      <c r="I942" s="21"/>
      <c r="J942" s="22"/>
      <c r="K942" s="18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19">
        <f t="shared" si="1"/>
        <v>879</v>
      </c>
      <c r="B943" s="3"/>
      <c r="C943" s="3"/>
      <c r="D943" s="3"/>
      <c r="E943" s="3"/>
      <c r="F943" s="3"/>
      <c r="G943" s="3"/>
      <c r="H943" s="3"/>
      <c r="I943" s="21"/>
      <c r="J943" s="22"/>
      <c r="K943" s="18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19">
        <f t="shared" si="1"/>
        <v>880</v>
      </c>
      <c r="B944" s="3"/>
      <c r="C944" s="3"/>
      <c r="D944" s="3"/>
      <c r="E944" s="3"/>
      <c r="F944" s="3"/>
      <c r="G944" s="3"/>
      <c r="H944" s="3"/>
      <c r="I944" s="21"/>
      <c r="J944" s="22"/>
      <c r="K944" s="18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19">
        <f t="shared" si="1"/>
        <v>881</v>
      </c>
      <c r="B945" s="3"/>
      <c r="C945" s="3"/>
      <c r="D945" s="3"/>
      <c r="E945" s="3"/>
      <c r="F945" s="3"/>
      <c r="G945" s="3"/>
      <c r="H945" s="3"/>
      <c r="I945" s="21"/>
      <c r="J945" s="22"/>
      <c r="K945" s="18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19">
        <f t="shared" si="1"/>
        <v>882</v>
      </c>
      <c r="B946" s="3"/>
      <c r="C946" s="3"/>
      <c r="D946" s="3"/>
      <c r="E946" s="3"/>
      <c r="F946" s="3"/>
      <c r="G946" s="3"/>
      <c r="H946" s="3"/>
      <c r="I946" s="21"/>
      <c r="J946" s="22"/>
      <c r="K946" s="18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19">
        <f t="shared" si="1"/>
        <v>883</v>
      </c>
      <c r="B947" s="3"/>
      <c r="C947" s="3"/>
      <c r="D947" s="3"/>
      <c r="E947" s="3"/>
      <c r="F947" s="3"/>
      <c r="G947" s="3"/>
      <c r="H947" s="3"/>
      <c r="I947" s="21"/>
      <c r="J947" s="22"/>
      <c r="K947" s="18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19">
        <f t="shared" si="1"/>
        <v>884</v>
      </c>
      <c r="B948" s="3"/>
      <c r="C948" s="3"/>
      <c r="D948" s="3"/>
      <c r="E948" s="3"/>
      <c r="F948" s="3"/>
      <c r="G948" s="3"/>
      <c r="H948" s="3"/>
      <c r="I948" s="21"/>
      <c r="J948" s="22"/>
      <c r="K948" s="18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19">
        <f t="shared" si="1"/>
        <v>885</v>
      </c>
      <c r="B949" s="3"/>
      <c r="C949" s="3"/>
      <c r="D949" s="3"/>
      <c r="E949" s="3"/>
      <c r="F949" s="3"/>
      <c r="G949" s="3"/>
      <c r="H949" s="3"/>
      <c r="I949" s="21"/>
      <c r="J949" s="22"/>
      <c r="K949" s="18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19">
        <f t="shared" si="1"/>
        <v>886</v>
      </c>
      <c r="B950" s="3"/>
      <c r="C950" s="3"/>
      <c r="D950" s="3"/>
      <c r="E950" s="3"/>
      <c r="F950" s="3"/>
      <c r="G950" s="3"/>
      <c r="H950" s="3"/>
      <c r="I950" s="21"/>
      <c r="J950" s="22"/>
      <c r="K950" s="18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19">
        <f t="shared" si="1"/>
        <v>887</v>
      </c>
      <c r="B951" s="3"/>
      <c r="C951" s="3"/>
      <c r="D951" s="3"/>
      <c r="E951" s="3"/>
      <c r="F951" s="3"/>
      <c r="G951" s="3"/>
      <c r="H951" s="3"/>
      <c r="I951" s="21"/>
      <c r="J951" s="22"/>
      <c r="K951" s="18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19">
        <f t="shared" si="1"/>
        <v>888</v>
      </c>
      <c r="B952" s="3"/>
      <c r="C952" s="3"/>
      <c r="D952" s="3"/>
      <c r="E952" s="3"/>
      <c r="F952" s="3"/>
      <c r="G952" s="3"/>
      <c r="H952" s="3"/>
      <c r="I952" s="21"/>
      <c r="J952" s="22"/>
      <c r="K952" s="18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19">
        <f t="shared" si="1"/>
        <v>889</v>
      </c>
      <c r="B953" s="3"/>
      <c r="C953" s="3"/>
      <c r="D953" s="3"/>
      <c r="E953" s="3"/>
      <c r="F953" s="3"/>
      <c r="G953" s="3"/>
      <c r="H953" s="3"/>
      <c r="I953" s="21"/>
      <c r="J953" s="22"/>
      <c r="K953" s="18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19">
        <f t="shared" si="1"/>
        <v>890</v>
      </c>
      <c r="B954" s="3"/>
      <c r="C954" s="3"/>
      <c r="D954" s="3"/>
      <c r="E954" s="3"/>
      <c r="F954" s="3"/>
      <c r="G954" s="3"/>
      <c r="H954" s="3"/>
      <c r="I954" s="21"/>
      <c r="J954" s="22"/>
      <c r="K954" s="18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19">
        <f t="shared" si="1"/>
        <v>891</v>
      </c>
      <c r="B955" s="3"/>
      <c r="C955" s="3"/>
      <c r="D955" s="3"/>
      <c r="E955" s="3"/>
      <c r="F955" s="3"/>
      <c r="G955" s="3"/>
      <c r="H955" s="3"/>
      <c r="I955" s="21"/>
      <c r="J955" s="22"/>
      <c r="K955" s="18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19">
        <f t="shared" si="1"/>
        <v>892</v>
      </c>
      <c r="B956" s="3"/>
      <c r="C956" s="3"/>
      <c r="D956" s="3"/>
      <c r="E956" s="3"/>
      <c r="F956" s="3"/>
      <c r="G956" s="3"/>
      <c r="H956" s="3"/>
      <c r="I956" s="21"/>
      <c r="J956" s="22"/>
      <c r="K956" s="18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19">
        <f t="shared" si="1"/>
        <v>893</v>
      </c>
      <c r="B957" s="3"/>
      <c r="C957" s="3"/>
      <c r="D957" s="3"/>
      <c r="E957" s="3"/>
      <c r="F957" s="3"/>
      <c r="G957" s="3"/>
      <c r="H957" s="3"/>
      <c r="I957" s="21"/>
      <c r="J957" s="22"/>
      <c r="K957" s="18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19">
        <f t="shared" si="1"/>
        <v>894</v>
      </c>
      <c r="B958" s="3"/>
      <c r="C958" s="3"/>
      <c r="D958" s="3"/>
      <c r="E958" s="3"/>
      <c r="F958" s="3"/>
      <c r="G958" s="3"/>
      <c r="H958" s="3"/>
      <c r="I958" s="21"/>
      <c r="J958" s="22"/>
      <c r="K958" s="18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19">
        <f t="shared" si="1"/>
        <v>895</v>
      </c>
      <c r="B959" s="3"/>
      <c r="C959" s="3"/>
      <c r="D959" s="3"/>
      <c r="E959" s="3"/>
      <c r="F959" s="3"/>
      <c r="G959" s="3"/>
      <c r="H959" s="3"/>
      <c r="I959" s="21"/>
      <c r="J959" s="22"/>
      <c r="K959" s="18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19">
        <f t="shared" si="1"/>
        <v>896</v>
      </c>
      <c r="B960" s="3"/>
      <c r="C960" s="3"/>
      <c r="D960" s="3"/>
      <c r="E960" s="3"/>
      <c r="F960" s="3"/>
      <c r="G960" s="3"/>
      <c r="H960" s="3"/>
      <c r="I960" s="21"/>
      <c r="J960" s="22"/>
      <c r="K960" s="18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19">
        <f t="shared" si="1"/>
        <v>897</v>
      </c>
      <c r="B961" s="3"/>
      <c r="C961" s="3"/>
      <c r="D961" s="3"/>
      <c r="E961" s="3"/>
      <c r="F961" s="3"/>
      <c r="G961" s="3"/>
      <c r="H961" s="3"/>
      <c r="I961" s="21"/>
      <c r="J961" s="22"/>
      <c r="K961" s="18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19">
        <f t="shared" si="1"/>
        <v>898</v>
      </c>
      <c r="B962" s="3"/>
      <c r="C962" s="3"/>
      <c r="D962" s="3"/>
      <c r="E962" s="3"/>
      <c r="F962" s="3"/>
      <c r="G962" s="3"/>
      <c r="H962" s="3"/>
      <c r="I962" s="21"/>
      <c r="J962" s="22"/>
      <c r="K962" s="18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19">
        <f t="shared" si="1"/>
        <v>899</v>
      </c>
      <c r="B963" s="3"/>
      <c r="C963" s="3"/>
      <c r="D963" s="3"/>
      <c r="E963" s="3"/>
      <c r="F963" s="3"/>
      <c r="G963" s="3"/>
      <c r="H963" s="3"/>
      <c r="I963" s="21"/>
      <c r="J963" s="22"/>
      <c r="K963" s="18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19">
        <f t="shared" si="1"/>
        <v>900</v>
      </c>
      <c r="B964" s="3"/>
      <c r="C964" s="3"/>
      <c r="D964" s="3"/>
      <c r="E964" s="3"/>
      <c r="F964" s="3"/>
      <c r="G964" s="3"/>
      <c r="H964" s="3"/>
      <c r="I964" s="21"/>
      <c r="J964" s="22"/>
      <c r="K964" s="18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19">
        <f t="shared" si="1"/>
        <v>901</v>
      </c>
      <c r="B965" s="3"/>
      <c r="C965" s="3"/>
      <c r="D965" s="3"/>
      <c r="E965" s="3"/>
      <c r="F965" s="3"/>
      <c r="G965" s="3"/>
      <c r="H965" s="3"/>
      <c r="I965" s="21"/>
      <c r="J965" s="22"/>
      <c r="K965" s="18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19">
        <f t="shared" si="1"/>
        <v>902</v>
      </c>
      <c r="B966" s="3"/>
      <c r="C966" s="3"/>
      <c r="D966" s="3"/>
      <c r="E966" s="3"/>
      <c r="F966" s="3"/>
      <c r="G966" s="3"/>
      <c r="H966" s="3"/>
      <c r="I966" s="21"/>
      <c r="J966" s="22"/>
      <c r="K966" s="18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19">
        <f t="shared" si="1"/>
        <v>903</v>
      </c>
      <c r="B967" s="3"/>
      <c r="C967" s="3"/>
      <c r="D967" s="3"/>
      <c r="E967" s="3"/>
      <c r="F967" s="3"/>
      <c r="G967" s="3"/>
      <c r="H967" s="3"/>
      <c r="I967" s="21"/>
      <c r="J967" s="22"/>
      <c r="K967" s="18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19">
        <f t="shared" si="1"/>
        <v>904</v>
      </c>
      <c r="B968" s="3"/>
      <c r="C968" s="3"/>
      <c r="D968" s="3"/>
      <c r="E968" s="3"/>
      <c r="F968" s="3"/>
      <c r="G968" s="3"/>
      <c r="H968" s="3"/>
      <c r="I968" s="21"/>
      <c r="J968" s="22"/>
      <c r="K968" s="18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19">
        <f t="shared" si="1"/>
        <v>905</v>
      </c>
      <c r="B969" s="3"/>
      <c r="C969" s="3"/>
      <c r="D969" s="3"/>
      <c r="E969" s="3"/>
      <c r="F969" s="3"/>
      <c r="G969" s="3"/>
      <c r="H969" s="3"/>
      <c r="I969" s="21"/>
      <c r="J969" s="22"/>
      <c r="K969" s="18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19">
        <f t="shared" si="1"/>
        <v>906</v>
      </c>
      <c r="B970" s="3"/>
      <c r="C970" s="3"/>
      <c r="D970" s="3"/>
      <c r="E970" s="3"/>
      <c r="F970" s="3"/>
      <c r="G970" s="3"/>
      <c r="H970" s="3"/>
      <c r="I970" s="21"/>
      <c r="J970" s="22"/>
      <c r="K970" s="18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19">
        <f t="shared" si="1"/>
        <v>907</v>
      </c>
      <c r="B971" s="3"/>
      <c r="C971" s="3"/>
      <c r="D971" s="3"/>
      <c r="E971" s="3"/>
      <c r="F971" s="3"/>
      <c r="G971" s="3"/>
      <c r="H971" s="3"/>
      <c r="I971" s="21"/>
      <c r="J971" s="22"/>
      <c r="K971" s="18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19">
        <f t="shared" si="1"/>
        <v>908</v>
      </c>
      <c r="B972" s="3"/>
      <c r="C972" s="3"/>
      <c r="D972" s="3"/>
      <c r="E972" s="3"/>
      <c r="F972" s="3"/>
      <c r="G972" s="3"/>
      <c r="H972" s="3"/>
      <c r="I972" s="21"/>
      <c r="J972" s="22"/>
      <c r="K972" s="18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19">
        <f t="shared" si="1"/>
        <v>909</v>
      </c>
      <c r="B973" s="3"/>
      <c r="C973" s="3"/>
      <c r="D973" s="3"/>
      <c r="E973" s="3"/>
      <c r="F973" s="3"/>
      <c r="G973" s="3"/>
      <c r="H973" s="3"/>
      <c r="I973" s="21"/>
      <c r="J973" s="22"/>
      <c r="K973" s="18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19">
        <f t="shared" si="1"/>
        <v>910</v>
      </c>
      <c r="B974" s="3"/>
      <c r="C974" s="3"/>
      <c r="D974" s="3"/>
      <c r="E974" s="3"/>
      <c r="F974" s="3"/>
      <c r="G974" s="3"/>
      <c r="H974" s="3"/>
      <c r="I974" s="21"/>
      <c r="J974" s="22"/>
      <c r="K974" s="18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19">
        <f t="shared" si="1"/>
        <v>911</v>
      </c>
      <c r="B975" s="3"/>
      <c r="C975" s="3"/>
      <c r="D975" s="3"/>
      <c r="E975" s="3"/>
      <c r="F975" s="3"/>
      <c r="G975" s="3"/>
      <c r="H975" s="3"/>
      <c r="I975" s="21"/>
      <c r="J975" s="22"/>
      <c r="K975" s="18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19">
        <f t="shared" si="1"/>
        <v>912</v>
      </c>
      <c r="B976" s="3"/>
      <c r="C976" s="3"/>
      <c r="D976" s="3"/>
      <c r="E976" s="3"/>
      <c r="F976" s="3"/>
      <c r="G976" s="3"/>
      <c r="H976" s="3"/>
      <c r="I976" s="21"/>
      <c r="J976" s="22"/>
      <c r="K976" s="18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19">
        <f t="shared" si="1"/>
        <v>913</v>
      </c>
      <c r="B977" s="3"/>
      <c r="C977" s="3"/>
      <c r="D977" s="3"/>
      <c r="E977" s="3"/>
      <c r="F977" s="3"/>
      <c r="G977" s="3"/>
      <c r="H977" s="3"/>
      <c r="I977" s="21"/>
      <c r="J977" s="22"/>
      <c r="K977" s="18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19">
        <f t="shared" si="1"/>
        <v>914</v>
      </c>
      <c r="B978" s="3"/>
      <c r="C978" s="3"/>
      <c r="D978" s="3"/>
      <c r="E978" s="3"/>
      <c r="F978" s="3"/>
      <c r="G978" s="3"/>
      <c r="H978" s="3"/>
      <c r="I978" s="21"/>
      <c r="J978" s="22"/>
      <c r="K978" s="18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19">
        <f t="shared" si="1"/>
        <v>915</v>
      </c>
      <c r="B979" s="3"/>
      <c r="C979" s="3"/>
      <c r="D979" s="3"/>
      <c r="E979" s="3"/>
      <c r="F979" s="3"/>
      <c r="G979" s="3"/>
      <c r="H979" s="3"/>
      <c r="I979" s="21"/>
      <c r="J979" s="22"/>
      <c r="K979" s="18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19">
        <f t="shared" si="1"/>
        <v>916</v>
      </c>
      <c r="B980" s="3"/>
      <c r="C980" s="3"/>
      <c r="D980" s="3"/>
      <c r="E980" s="3"/>
      <c r="F980" s="3"/>
      <c r="G980" s="3"/>
      <c r="H980" s="3"/>
      <c r="I980" s="21"/>
      <c r="J980" s="22"/>
      <c r="K980" s="18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19">
        <f t="shared" si="1"/>
        <v>917</v>
      </c>
      <c r="B981" s="3"/>
      <c r="C981" s="3"/>
      <c r="D981" s="3"/>
      <c r="E981" s="3"/>
      <c r="F981" s="3"/>
      <c r="G981" s="3"/>
      <c r="H981" s="3"/>
      <c r="I981" s="21"/>
      <c r="J981" s="22"/>
      <c r="K981" s="18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19">
        <f t="shared" si="1"/>
        <v>918</v>
      </c>
      <c r="B982" s="3"/>
      <c r="C982" s="3"/>
      <c r="D982" s="3"/>
      <c r="E982" s="3"/>
      <c r="F982" s="3"/>
      <c r="G982" s="3"/>
      <c r="H982" s="3"/>
      <c r="I982" s="21"/>
      <c r="J982" s="22"/>
      <c r="K982" s="18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19">
        <f t="shared" si="1"/>
        <v>919</v>
      </c>
      <c r="B983" s="3"/>
      <c r="C983" s="3"/>
      <c r="D983" s="3"/>
      <c r="E983" s="3"/>
      <c r="F983" s="3"/>
      <c r="G983" s="3"/>
      <c r="H983" s="3"/>
      <c r="I983" s="21"/>
      <c r="J983" s="22"/>
      <c r="K983" s="18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19">
        <f t="shared" si="1"/>
        <v>920</v>
      </c>
      <c r="B984" s="3"/>
      <c r="C984" s="3"/>
      <c r="D984" s="3"/>
      <c r="E984" s="3"/>
      <c r="F984" s="3"/>
      <c r="G984" s="3"/>
      <c r="H984" s="3"/>
      <c r="I984" s="21"/>
      <c r="J984" s="22"/>
      <c r="K984" s="18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19">
        <f t="shared" si="1"/>
        <v>921</v>
      </c>
      <c r="B985" s="3"/>
      <c r="C985" s="3"/>
      <c r="D985" s="3"/>
      <c r="E985" s="3"/>
      <c r="F985" s="3"/>
      <c r="G985" s="3"/>
      <c r="H985" s="3"/>
      <c r="I985" s="21"/>
      <c r="J985" s="22"/>
      <c r="K985" s="18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19">
        <f t="shared" si="1"/>
        <v>922</v>
      </c>
      <c r="B986" s="3"/>
      <c r="C986" s="3"/>
      <c r="D986" s="3"/>
      <c r="E986" s="3"/>
      <c r="F986" s="3"/>
      <c r="G986" s="3"/>
      <c r="H986" s="3"/>
      <c r="I986" s="21"/>
      <c r="J986" s="22"/>
      <c r="K986" s="18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19">
        <f t="shared" si="1"/>
        <v>923</v>
      </c>
      <c r="B987" s="3"/>
      <c r="C987" s="3"/>
      <c r="D987" s="3"/>
      <c r="E987" s="3"/>
      <c r="F987" s="3"/>
      <c r="G987" s="3"/>
      <c r="H987" s="3"/>
      <c r="I987" s="21"/>
      <c r="J987" s="22"/>
      <c r="K987" s="18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19">
        <f t="shared" si="1"/>
        <v>924</v>
      </c>
      <c r="B988" s="3"/>
      <c r="C988" s="3"/>
      <c r="D988" s="3"/>
      <c r="E988" s="3"/>
      <c r="F988" s="3"/>
      <c r="G988" s="3"/>
      <c r="H988" s="3"/>
      <c r="I988" s="21"/>
      <c r="J988" s="22"/>
      <c r="K988" s="18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19">
        <f t="shared" si="1"/>
        <v>925</v>
      </c>
      <c r="B989" s="3"/>
      <c r="C989" s="3"/>
      <c r="D989" s="3"/>
      <c r="E989" s="3"/>
      <c r="F989" s="3"/>
      <c r="G989" s="3"/>
      <c r="H989" s="3"/>
      <c r="I989" s="21"/>
      <c r="J989" s="22"/>
      <c r="K989" s="18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19">
        <f t="shared" si="1"/>
        <v>926</v>
      </c>
      <c r="B990" s="3"/>
      <c r="C990" s="3"/>
      <c r="D990" s="3"/>
      <c r="E990" s="3"/>
      <c r="F990" s="3"/>
      <c r="G990" s="3"/>
      <c r="H990" s="3"/>
      <c r="I990" s="21"/>
      <c r="J990" s="22"/>
      <c r="K990" s="18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19">
        <f t="shared" si="1"/>
        <v>927</v>
      </c>
      <c r="B991" s="3"/>
      <c r="C991" s="3"/>
      <c r="D991" s="3"/>
      <c r="E991" s="3"/>
      <c r="F991" s="3"/>
      <c r="G991" s="3"/>
      <c r="H991" s="3"/>
      <c r="I991" s="21"/>
      <c r="J991" s="22"/>
      <c r="K991" s="18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19">
        <f t="shared" si="1"/>
        <v>928</v>
      </c>
      <c r="B992" s="3"/>
      <c r="C992" s="3"/>
      <c r="D992" s="3"/>
      <c r="E992" s="3"/>
      <c r="F992" s="3"/>
      <c r="G992" s="3"/>
      <c r="H992" s="3"/>
      <c r="I992" s="21"/>
      <c r="J992" s="22"/>
      <c r="K992" s="18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19">
        <f t="shared" si="1"/>
        <v>929</v>
      </c>
      <c r="B993" s="3"/>
      <c r="C993" s="3"/>
      <c r="D993" s="3"/>
      <c r="E993" s="3"/>
      <c r="F993" s="3"/>
      <c r="G993" s="3"/>
      <c r="H993" s="3"/>
      <c r="I993" s="21"/>
      <c r="J993" s="22"/>
      <c r="K993" s="18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19">
        <f t="shared" si="1"/>
        <v>930</v>
      </c>
      <c r="B994" s="3"/>
      <c r="C994" s="3"/>
      <c r="D994" s="3"/>
      <c r="E994" s="3"/>
      <c r="F994" s="3"/>
      <c r="G994" s="3"/>
      <c r="H994" s="3"/>
      <c r="I994" s="21"/>
      <c r="J994" s="22"/>
      <c r="K994" s="18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19">
        <f t="shared" si="1"/>
        <v>931</v>
      </c>
      <c r="B995" s="3"/>
      <c r="C995" s="3"/>
      <c r="D995" s="3"/>
      <c r="E995" s="3"/>
      <c r="F995" s="3"/>
      <c r="G995" s="3"/>
      <c r="H995" s="3"/>
      <c r="I995" s="21"/>
      <c r="J995" s="22"/>
      <c r="K995" s="18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19">
        <f t="shared" si="1"/>
        <v>932</v>
      </c>
      <c r="B996" s="3"/>
      <c r="C996" s="3"/>
      <c r="D996" s="3"/>
      <c r="E996" s="3"/>
      <c r="F996" s="3"/>
      <c r="G996" s="3"/>
      <c r="H996" s="3"/>
      <c r="I996" s="21"/>
      <c r="J996" s="22"/>
      <c r="K996" s="18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19">
        <f t="shared" si="1"/>
        <v>933</v>
      </c>
      <c r="B997" s="3"/>
      <c r="C997" s="3"/>
      <c r="D997" s="3"/>
      <c r="E997" s="3"/>
      <c r="F997" s="3"/>
      <c r="G997" s="3"/>
      <c r="H997" s="3"/>
      <c r="I997" s="21"/>
      <c r="J997" s="22"/>
      <c r="K997" s="18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19">
        <f t="shared" si="1"/>
        <v>934</v>
      </c>
      <c r="B998" s="3"/>
      <c r="C998" s="3"/>
      <c r="D998" s="3"/>
      <c r="E998" s="3"/>
      <c r="F998" s="3"/>
      <c r="G998" s="3"/>
      <c r="H998" s="3"/>
      <c r="I998" s="21"/>
      <c r="J998" s="22"/>
      <c r="K998" s="18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19">
        <f t="shared" si="1"/>
        <v>935</v>
      </c>
      <c r="B999" s="3"/>
      <c r="C999" s="3"/>
      <c r="D999" s="3"/>
      <c r="E999" s="3"/>
      <c r="F999" s="3"/>
      <c r="G999" s="3"/>
      <c r="H999" s="3"/>
      <c r="I999" s="21"/>
      <c r="J999" s="22"/>
      <c r="K999" s="18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19">
        <f t="shared" si="1"/>
        <v>936</v>
      </c>
      <c r="B1000" s="3"/>
      <c r="C1000" s="3"/>
      <c r="D1000" s="3"/>
      <c r="E1000" s="3"/>
      <c r="F1000" s="3"/>
      <c r="G1000" s="3"/>
      <c r="H1000" s="3"/>
      <c r="I1000" s="21"/>
      <c r="J1000" s="22"/>
      <c r="K1000" s="18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2.75" customHeight="1">
      <c r="A1001" s="19">
        <f t="shared" si="1"/>
        <v>937</v>
      </c>
      <c r="B1001" s="3"/>
      <c r="C1001" s="3"/>
      <c r="D1001" s="3"/>
      <c r="E1001" s="3"/>
      <c r="F1001" s="3"/>
      <c r="G1001" s="3"/>
      <c r="H1001" s="3"/>
      <c r="I1001" s="21"/>
      <c r="J1001" s="22"/>
      <c r="K1001" s="18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2.75" customHeight="1">
      <c r="A1002" s="19">
        <f t="shared" si="1"/>
        <v>938</v>
      </c>
      <c r="B1002" s="3"/>
      <c r="C1002" s="3"/>
      <c r="D1002" s="3"/>
      <c r="E1002" s="3"/>
      <c r="F1002" s="3"/>
      <c r="G1002" s="3"/>
      <c r="H1002" s="3"/>
      <c r="I1002" s="21"/>
      <c r="J1002" s="22"/>
      <c r="K1002" s="18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2.75" customHeight="1">
      <c r="A1003" s="19">
        <f t="shared" si="1"/>
        <v>939</v>
      </c>
      <c r="B1003" s="3"/>
      <c r="C1003" s="3"/>
      <c r="D1003" s="3"/>
      <c r="E1003" s="3"/>
      <c r="F1003" s="3"/>
      <c r="G1003" s="3"/>
      <c r="H1003" s="3"/>
      <c r="I1003" s="21"/>
      <c r="J1003" s="22"/>
      <c r="K1003" s="18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2.75" customHeight="1">
      <c r="A1004" s="19">
        <f t="shared" si="1"/>
        <v>940</v>
      </c>
      <c r="B1004" s="3"/>
      <c r="C1004" s="3"/>
      <c r="D1004" s="3"/>
      <c r="E1004" s="3"/>
      <c r="F1004" s="3"/>
      <c r="G1004" s="3"/>
      <c r="H1004" s="3"/>
      <c r="I1004" s="21"/>
      <c r="J1004" s="22"/>
      <c r="K1004" s="18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2.75" customHeight="1">
      <c r="A1005" s="19">
        <f t="shared" si="1"/>
        <v>941</v>
      </c>
      <c r="B1005" s="3"/>
      <c r="C1005" s="3"/>
      <c r="D1005" s="3"/>
      <c r="E1005" s="3"/>
      <c r="F1005" s="3"/>
      <c r="G1005" s="3"/>
      <c r="H1005" s="3"/>
      <c r="I1005" s="21"/>
      <c r="J1005" s="22"/>
      <c r="K1005" s="18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2.75" customHeight="1">
      <c r="A1006" s="19">
        <f t="shared" si="1"/>
        <v>942</v>
      </c>
      <c r="B1006" s="3"/>
      <c r="C1006" s="3"/>
      <c r="D1006" s="3"/>
      <c r="E1006" s="3"/>
      <c r="F1006" s="3"/>
      <c r="G1006" s="3"/>
      <c r="H1006" s="3"/>
      <c r="I1006" s="21"/>
      <c r="J1006" s="22"/>
      <c r="K1006" s="18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2.75" customHeight="1">
      <c r="A1007" s="19">
        <f t="shared" si="1"/>
        <v>943</v>
      </c>
      <c r="B1007" s="3"/>
      <c r="C1007" s="3"/>
      <c r="D1007" s="3"/>
      <c r="E1007" s="3"/>
      <c r="F1007" s="3"/>
      <c r="G1007" s="3"/>
      <c r="H1007" s="3"/>
      <c r="I1007" s="21"/>
      <c r="J1007" s="22"/>
      <c r="K1007" s="18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2.75" customHeight="1">
      <c r="A1008" s="19">
        <f t="shared" si="1"/>
        <v>944</v>
      </c>
      <c r="B1008" s="3"/>
      <c r="C1008" s="3"/>
      <c r="D1008" s="3"/>
      <c r="E1008" s="3"/>
      <c r="F1008" s="3"/>
      <c r="G1008" s="3"/>
      <c r="H1008" s="3"/>
      <c r="I1008" s="21"/>
      <c r="J1008" s="22"/>
      <c r="K1008" s="18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2.75" customHeight="1">
      <c r="A1009" s="19">
        <f t="shared" si="1"/>
        <v>945</v>
      </c>
      <c r="B1009" s="3"/>
      <c r="C1009" s="3"/>
      <c r="D1009" s="3"/>
      <c r="E1009" s="3"/>
      <c r="F1009" s="3"/>
      <c r="G1009" s="3"/>
      <c r="H1009" s="3"/>
      <c r="I1009" s="21"/>
      <c r="J1009" s="22"/>
      <c r="K1009" s="18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2.75" customHeight="1">
      <c r="A1010" s="19">
        <f t="shared" si="1"/>
        <v>946</v>
      </c>
      <c r="B1010" s="3"/>
      <c r="C1010" s="3"/>
      <c r="D1010" s="3"/>
      <c r="E1010" s="3"/>
      <c r="F1010" s="3"/>
      <c r="G1010" s="3"/>
      <c r="H1010" s="3"/>
      <c r="I1010" s="21"/>
      <c r="J1010" s="22"/>
      <c r="K1010" s="18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2.75" customHeight="1">
      <c r="A1011" s="19">
        <f t="shared" si="1"/>
        <v>947</v>
      </c>
      <c r="B1011" s="3"/>
      <c r="C1011" s="3"/>
      <c r="D1011" s="3"/>
      <c r="E1011" s="3"/>
      <c r="F1011" s="3"/>
      <c r="G1011" s="3"/>
      <c r="H1011" s="3"/>
      <c r="I1011" s="21"/>
      <c r="J1011" s="22"/>
      <c r="K1011" s="18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2.75" customHeight="1">
      <c r="A1012" s="19">
        <f t="shared" si="1"/>
        <v>948</v>
      </c>
      <c r="B1012" s="3"/>
      <c r="C1012" s="3"/>
      <c r="D1012" s="3"/>
      <c r="E1012" s="3"/>
      <c r="F1012" s="3"/>
      <c r="G1012" s="3"/>
      <c r="H1012" s="3"/>
      <c r="I1012" s="21"/>
      <c r="J1012" s="22"/>
      <c r="K1012" s="18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2.75" customHeight="1">
      <c r="A1013" s="19">
        <f t="shared" si="1"/>
        <v>949</v>
      </c>
      <c r="B1013" s="3"/>
      <c r="C1013" s="3"/>
      <c r="D1013" s="3"/>
      <c r="E1013" s="3"/>
      <c r="F1013" s="3"/>
      <c r="G1013" s="3"/>
      <c r="H1013" s="3"/>
      <c r="I1013" s="21"/>
      <c r="J1013" s="22"/>
      <c r="K1013" s="18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2.75" customHeight="1">
      <c r="A1014" s="19">
        <f t="shared" si="1"/>
        <v>950</v>
      </c>
      <c r="B1014" s="3"/>
      <c r="C1014" s="3"/>
      <c r="D1014" s="3"/>
      <c r="E1014" s="3"/>
      <c r="F1014" s="3"/>
      <c r="G1014" s="3"/>
      <c r="H1014" s="3"/>
      <c r="I1014" s="21"/>
      <c r="J1014" s="22"/>
      <c r="K1014" s="18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2.75" customHeight="1">
      <c r="A1015" s="19">
        <f t="shared" si="1"/>
        <v>951</v>
      </c>
      <c r="B1015" s="3"/>
      <c r="C1015" s="3"/>
      <c r="D1015" s="3"/>
      <c r="E1015" s="3"/>
      <c r="F1015" s="3"/>
      <c r="G1015" s="3"/>
      <c r="H1015" s="3"/>
      <c r="I1015" s="21"/>
      <c r="J1015" s="22"/>
      <c r="K1015" s="18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2.75" customHeight="1">
      <c r="A1016" s="19">
        <f t="shared" si="1"/>
        <v>952</v>
      </c>
      <c r="B1016" s="3"/>
      <c r="C1016" s="3"/>
      <c r="D1016" s="3"/>
      <c r="E1016" s="3"/>
      <c r="F1016" s="3"/>
      <c r="G1016" s="3"/>
      <c r="H1016" s="3"/>
      <c r="I1016" s="21"/>
      <c r="J1016" s="22"/>
      <c r="K1016" s="18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2.75" customHeight="1">
      <c r="A1017" s="19">
        <f t="shared" si="1"/>
        <v>953</v>
      </c>
      <c r="B1017" s="3"/>
      <c r="C1017" s="3"/>
      <c r="D1017" s="3"/>
      <c r="E1017" s="3"/>
      <c r="F1017" s="3"/>
      <c r="G1017" s="3"/>
      <c r="H1017" s="3"/>
      <c r="I1017" s="21"/>
      <c r="J1017" s="22"/>
      <c r="K1017" s="18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2.75" customHeight="1">
      <c r="A1018" s="19">
        <f t="shared" si="1"/>
        <v>954</v>
      </c>
      <c r="B1018" s="3"/>
      <c r="C1018" s="3"/>
      <c r="D1018" s="3"/>
      <c r="E1018" s="3"/>
      <c r="F1018" s="3"/>
      <c r="G1018" s="3"/>
      <c r="H1018" s="3"/>
      <c r="I1018" s="21"/>
      <c r="J1018" s="22"/>
      <c r="K1018" s="18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2.75" customHeight="1">
      <c r="A1019" s="19">
        <f t="shared" si="1"/>
        <v>955</v>
      </c>
      <c r="B1019" s="3"/>
      <c r="C1019" s="3"/>
      <c r="D1019" s="3"/>
      <c r="E1019" s="3"/>
      <c r="F1019" s="3"/>
      <c r="G1019" s="3"/>
      <c r="H1019" s="3"/>
      <c r="I1019" s="21"/>
      <c r="J1019" s="22"/>
      <c r="K1019" s="18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2.75" customHeight="1">
      <c r="A1020" s="19">
        <f t="shared" si="1"/>
        <v>956</v>
      </c>
      <c r="B1020" s="3"/>
      <c r="C1020" s="3"/>
      <c r="D1020" s="3"/>
      <c r="E1020" s="3"/>
      <c r="F1020" s="3"/>
      <c r="G1020" s="3"/>
      <c r="H1020" s="3"/>
      <c r="I1020" s="21"/>
      <c r="J1020" s="22"/>
      <c r="K1020" s="18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ht="12.75" customHeight="1">
      <c r="A1021" s="19">
        <f t="shared" si="1"/>
        <v>957</v>
      </c>
      <c r="B1021" s="3"/>
      <c r="C1021" s="3"/>
      <c r="D1021" s="3"/>
      <c r="E1021" s="3"/>
      <c r="F1021" s="3"/>
      <c r="G1021" s="3"/>
      <c r="H1021" s="3"/>
      <c r="I1021" s="21"/>
      <c r="J1021" s="22"/>
      <c r="K1021" s="18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ht="12.75" customHeight="1">
      <c r="A1022" s="19">
        <f t="shared" si="1"/>
        <v>958</v>
      </c>
      <c r="B1022" s="3"/>
      <c r="C1022" s="3"/>
      <c r="D1022" s="3"/>
      <c r="E1022" s="3"/>
      <c r="F1022" s="3"/>
      <c r="G1022" s="3"/>
      <c r="H1022" s="3"/>
      <c r="I1022" s="21"/>
      <c r="J1022" s="22"/>
      <c r="K1022" s="18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ht="12.75" customHeight="1">
      <c r="A1023" s="19">
        <f t="shared" si="1"/>
        <v>959</v>
      </c>
      <c r="B1023" s="3"/>
      <c r="C1023" s="3"/>
      <c r="D1023" s="3"/>
      <c r="E1023" s="3"/>
      <c r="F1023" s="3"/>
      <c r="G1023" s="3"/>
      <c r="H1023" s="3"/>
      <c r="I1023" s="21"/>
      <c r="J1023" s="22"/>
      <c r="K1023" s="18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ht="12.75" customHeight="1">
      <c r="A1024" s="19">
        <f t="shared" si="1"/>
        <v>960</v>
      </c>
      <c r="B1024" s="3"/>
      <c r="C1024" s="3"/>
      <c r="D1024" s="3"/>
      <c r="E1024" s="3"/>
      <c r="F1024" s="3"/>
      <c r="G1024" s="3"/>
      <c r="H1024" s="3"/>
      <c r="I1024" s="21"/>
      <c r="J1024" s="22"/>
      <c r="K1024" s="18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ht="12.75" customHeight="1">
      <c r="A1025" s="19">
        <f t="shared" si="1"/>
        <v>961</v>
      </c>
      <c r="B1025" s="3"/>
      <c r="C1025" s="3"/>
      <c r="D1025" s="3"/>
      <c r="E1025" s="3"/>
      <c r="F1025" s="3"/>
      <c r="G1025" s="3"/>
      <c r="H1025" s="3"/>
      <c r="I1025" s="21"/>
      <c r="J1025" s="22"/>
      <c r="K1025" s="18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ht="12.75" customHeight="1">
      <c r="A1026" s="19">
        <f t="shared" si="1"/>
        <v>962</v>
      </c>
      <c r="B1026" s="3"/>
      <c r="C1026" s="3"/>
      <c r="D1026" s="3"/>
      <c r="E1026" s="3"/>
      <c r="F1026" s="3"/>
      <c r="G1026" s="3"/>
      <c r="H1026" s="3"/>
      <c r="I1026" s="21"/>
      <c r="J1026" s="22"/>
      <c r="K1026" s="18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ht="12.75" customHeight="1">
      <c r="A1027" s="19">
        <f t="shared" si="1"/>
        <v>963</v>
      </c>
      <c r="B1027" s="3"/>
      <c r="C1027" s="3"/>
      <c r="D1027" s="3"/>
      <c r="E1027" s="3"/>
      <c r="F1027" s="3"/>
      <c r="G1027" s="3"/>
      <c r="H1027" s="3"/>
      <c r="I1027" s="21"/>
      <c r="J1027" s="22"/>
      <c r="K1027" s="18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ht="12.75" customHeight="1">
      <c r="A1028" s="19">
        <f t="shared" si="1"/>
        <v>964</v>
      </c>
      <c r="B1028" s="3"/>
      <c r="C1028" s="3"/>
      <c r="D1028" s="3"/>
      <c r="E1028" s="3"/>
      <c r="F1028" s="3"/>
      <c r="G1028" s="3"/>
      <c r="H1028" s="3"/>
      <c r="I1028" s="21"/>
      <c r="J1028" s="22"/>
      <c r="K1028" s="18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ht="12.75" customHeight="1">
      <c r="A1029" s="19">
        <f t="shared" si="1"/>
        <v>965</v>
      </c>
      <c r="B1029" s="3"/>
      <c r="C1029" s="3"/>
      <c r="D1029" s="3"/>
      <c r="E1029" s="3"/>
      <c r="F1029" s="3"/>
      <c r="G1029" s="3"/>
      <c r="H1029" s="3"/>
      <c r="I1029" s="21"/>
      <c r="J1029" s="22"/>
      <c r="K1029" s="18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ht="12.75" customHeight="1">
      <c r="A1030" s="19">
        <f t="shared" si="1"/>
        <v>966</v>
      </c>
      <c r="B1030" s="3"/>
      <c r="C1030" s="3"/>
      <c r="D1030" s="3"/>
      <c r="E1030" s="3"/>
      <c r="F1030" s="3"/>
      <c r="G1030" s="3"/>
      <c r="H1030" s="3"/>
      <c r="I1030" s="21"/>
      <c r="J1030" s="22"/>
      <c r="K1030" s="18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ht="12.75" customHeight="1">
      <c r="A1031" s="19">
        <f t="shared" si="1"/>
        <v>967</v>
      </c>
      <c r="B1031" s="3"/>
      <c r="C1031" s="3"/>
      <c r="D1031" s="3"/>
      <c r="E1031" s="3"/>
      <c r="F1031" s="3"/>
      <c r="G1031" s="3"/>
      <c r="H1031" s="3"/>
      <c r="I1031" s="21"/>
      <c r="J1031" s="22"/>
      <c r="K1031" s="18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ht="12.75" customHeight="1">
      <c r="A1032" s="19">
        <f t="shared" si="1"/>
        <v>968</v>
      </c>
      <c r="B1032" s="3"/>
      <c r="C1032" s="3"/>
      <c r="D1032" s="3"/>
      <c r="E1032" s="3"/>
      <c r="F1032" s="3"/>
      <c r="G1032" s="3"/>
      <c r="H1032" s="3"/>
      <c r="I1032" s="21"/>
      <c r="J1032" s="22"/>
      <c r="K1032" s="18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ht="12.75" customHeight="1">
      <c r="A1033" s="19">
        <f t="shared" si="1"/>
        <v>969</v>
      </c>
      <c r="B1033" s="3"/>
      <c r="C1033" s="3"/>
      <c r="D1033" s="3"/>
      <c r="E1033" s="3"/>
      <c r="F1033" s="3"/>
      <c r="G1033" s="3"/>
      <c r="H1033" s="3"/>
      <c r="I1033" s="21"/>
      <c r="J1033" s="22"/>
      <c r="K1033" s="18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ht="12.75" customHeight="1">
      <c r="A1034" s="19">
        <f t="shared" si="1"/>
        <v>970</v>
      </c>
      <c r="B1034" s="3"/>
      <c r="C1034" s="3"/>
      <c r="D1034" s="3"/>
      <c r="E1034" s="3"/>
      <c r="F1034" s="3"/>
      <c r="G1034" s="3"/>
      <c r="H1034" s="3"/>
      <c r="I1034" s="21"/>
      <c r="J1034" s="22"/>
      <c r="K1034" s="18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ht="12.75" customHeight="1">
      <c r="A1035" s="19">
        <f t="shared" si="1"/>
        <v>971</v>
      </c>
      <c r="B1035" s="3"/>
      <c r="C1035" s="3"/>
      <c r="D1035" s="3"/>
      <c r="E1035" s="3"/>
      <c r="F1035" s="3"/>
      <c r="G1035" s="3"/>
      <c r="H1035" s="3"/>
      <c r="I1035" s="21"/>
      <c r="J1035" s="22"/>
      <c r="K1035" s="18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ht="12.75" customHeight="1">
      <c r="A1036" s="19">
        <f t="shared" si="1"/>
        <v>972</v>
      </c>
      <c r="B1036" s="3"/>
      <c r="C1036" s="3"/>
      <c r="D1036" s="3"/>
      <c r="E1036" s="3"/>
      <c r="F1036" s="3"/>
      <c r="G1036" s="3"/>
      <c r="H1036" s="3"/>
      <c r="I1036" s="21"/>
      <c r="J1036" s="22"/>
      <c r="K1036" s="18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ht="12.75" customHeight="1">
      <c r="A1037" s="19">
        <f t="shared" si="1"/>
        <v>973</v>
      </c>
      <c r="B1037" s="3"/>
      <c r="C1037" s="3"/>
      <c r="D1037" s="3"/>
      <c r="E1037" s="3"/>
      <c r="F1037" s="3"/>
      <c r="G1037" s="3"/>
      <c r="H1037" s="3"/>
      <c r="I1037" s="21"/>
      <c r="J1037" s="22"/>
      <c r="K1037" s="18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ht="12.75" customHeight="1">
      <c r="A1038" s="19">
        <f t="shared" si="1"/>
        <v>974</v>
      </c>
      <c r="B1038" s="3"/>
      <c r="C1038" s="3"/>
      <c r="D1038" s="3"/>
      <c r="E1038" s="3"/>
      <c r="F1038" s="3"/>
      <c r="G1038" s="3"/>
      <c r="H1038" s="3"/>
      <c r="I1038" s="21"/>
      <c r="J1038" s="22"/>
      <c r="K1038" s="18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ht="12.75" customHeight="1">
      <c r="A1039" s="19">
        <f t="shared" si="1"/>
        <v>975</v>
      </c>
      <c r="B1039" s="3"/>
      <c r="C1039" s="3"/>
      <c r="D1039" s="3"/>
      <c r="E1039" s="3"/>
      <c r="F1039" s="3"/>
      <c r="G1039" s="3"/>
      <c r="H1039" s="3"/>
      <c r="I1039" s="21"/>
      <c r="J1039" s="22"/>
      <c r="K1039" s="18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ht="12.75" customHeight="1">
      <c r="A1040" s="19">
        <f t="shared" si="1"/>
        <v>976</v>
      </c>
      <c r="B1040" s="3"/>
      <c r="C1040" s="3"/>
      <c r="D1040" s="3"/>
      <c r="E1040" s="3"/>
      <c r="F1040" s="3"/>
      <c r="G1040" s="3"/>
      <c r="H1040" s="3"/>
      <c r="I1040" s="21"/>
      <c r="J1040" s="22"/>
      <c r="K1040" s="18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ht="12.75" customHeight="1">
      <c r="A1041" s="19">
        <f t="shared" si="1"/>
        <v>977</v>
      </c>
      <c r="B1041" s="3"/>
      <c r="C1041" s="3"/>
      <c r="D1041" s="3"/>
      <c r="E1041" s="3"/>
      <c r="F1041" s="3"/>
      <c r="G1041" s="3"/>
      <c r="H1041" s="3"/>
      <c r="I1041" s="21"/>
      <c r="J1041" s="22"/>
      <c r="K1041" s="18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ht="12.75" customHeight="1">
      <c r="A1042" s="19">
        <f t="shared" si="1"/>
        <v>978</v>
      </c>
      <c r="B1042" s="3"/>
      <c r="C1042" s="3"/>
      <c r="D1042" s="3"/>
      <c r="E1042" s="3"/>
      <c r="F1042" s="3"/>
      <c r="G1042" s="3"/>
      <c r="H1042" s="3"/>
      <c r="I1042" s="21"/>
      <c r="J1042" s="22"/>
      <c r="K1042" s="18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ht="12.75" customHeight="1">
      <c r="A1043" s="19">
        <f t="shared" si="1"/>
        <v>979</v>
      </c>
      <c r="B1043" s="3"/>
      <c r="C1043" s="3"/>
      <c r="D1043" s="3"/>
      <c r="E1043" s="3"/>
      <c r="F1043" s="3"/>
      <c r="G1043" s="3"/>
      <c r="H1043" s="3"/>
      <c r="I1043" s="21"/>
      <c r="J1043" s="22"/>
      <c r="K1043" s="18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ht="12.75" customHeight="1">
      <c r="A1044" s="19">
        <f t="shared" si="1"/>
        <v>980</v>
      </c>
      <c r="B1044" s="3"/>
      <c r="C1044" s="3"/>
      <c r="D1044" s="3"/>
      <c r="E1044" s="3"/>
      <c r="F1044" s="3"/>
      <c r="G1044" s="3"/>
      <c r="H1044" s="3"/>
      <c r="I1044" s="21"/>
      <c r="J1044" s="22"/>
      <c r="K1044" s="18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ht="12.75" customHeight="1">
      <c r="A1045" s="19">
        <f t="shared" si="1"/>
        <v>981</v>
      </c>
      <c r="B1045" s="3"/>
      <c r="C1045" s="3"/>
      <c r="D1045" s="3"/>
      <c r="E1045" s="3"/>
      <c r="F1045" s="3"/>
      <c r="G1045" s="3"/>
      <c r="H1045" s="3"/>
      <c r="I1045" s="21"/>
      <c r="J1045" s="22"/>
      <c r="K1045" s="18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ht="12.75" customHeight="1">
      <c r="A1046" s="19">
        <f t="shared" si="1"/>
        <v>982</v>
      </c>
      <c r="B1046" s="3"/>
      <c r="C1046" s="3"/>
      <c r="D1046" s="3"/>
      <c r="E1046" s="3"/>
      <c r="F1046" s="3"/>
      <c r="G1046" s="3"/>
      <c r="H1046" s="3"/>
      <c r="I1046" s="21"/>
      <c r="J1046" s="22"/>
      <c r="K1046" s="18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ht="12.75" customHeight="1">
      <c r="A1047" s="19">
        <f t="shared" si="1"/>
        <v>983</v>
      </c>
      <c r="B1047" s="3"/>
      <c r="C1047" s="3"/>
      <c r="D1047" s="3"/>
      <c r="E1047" s="3"/>
      <c r="F1047" s="3"/>
      <c r="G1047" s="3"/>
      <c r="H1047" s="3"/>
      <c r="I1047" s="21"/>
      <c r="J1047" s="22"/>
      <c r="K1047" s="18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2.75" customHeight="1">
      <c r="A1048" s="19">
        <f t="shared" si="1"/>
        <v>984</v>
      </c>
      <c r="B1048" s="3"/>
      <c r="C1048" s="3"/>
      <c r="D1048" s="3"/>
      <c r="E1048" s="3"/>
      <c r="F1048" s="3"/>
      <c r="G1048" s="3"/>
      <c r="H1048" s="3"/>
      <c r="I1048" s="21"/>
      <c r="J1048" s="22"/>
      <c r="K1048" s="18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ht="12.75" customHeight="1">
      <c r="A1049" s="19">
        <f t="shared" si="1"/>
        <v>985</v>
      </c>
      <c r="B1049" s="3"/>
      <c r="C1049" s="3"/>
      <c r="D1049" s="3"/>
      <c r="E1049" s="3"/>
      <c r="F1049" s="3"/>
      <c r="G1049" s="3"/>
      <c r="H1049" s="3"/>
      <c r="I1049" s="21"/>
      <c r="J1049" s="22"/>
      <c r="K1049" s="18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ht="12.75" customHeight="1">
      <c r="A1050" s="19">
        <f t="shared" si="1"/>
        <v>986</v>
      </c>
      <c r="B1050" s="3"/>
      <c r="C1050" s="3"/>
      <c r="D1050" s="3"/>
      <c r="E1050" s="3"/>
      <c r="F1050" s="3"/>
      <c r="G1050" s="3"/>
      <c r="H1050" s="3"/>
      <c r="I1050" s="21"/>
      <c r="J1050" s="22"/>
      <c r="K1050" s="18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ht="12.75" customHeight="1">
      <c r="A1051" s="19">
        <f t="shared" si="1"/>
        <v>987</v>
      </c>
      <c r="B1051" s="3"/>
      <c r="C1051" s="3"/>
      <c r="D1051" s="3"/>
      <c r="E1051" s="3"/>
      <c r="F1051" s="3"/>
      <c r="G1051" s="3"/>
      <c r="H1051" s="3"/>
      <c r="I1051" s="21"/>
      <c r="J1051" s="22"/>
      <c r="K1051" s="18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ht="12.75" customHeight="1">
      <c r="A1052" s="19">
        <f t="shared" si="1"/>
        <v>988</v>
      </c>
      <c r="B1052" s="3"/>
      <c r="C1052" s="3"/>
      <c r="D1052" s="3"/>
      <c r="E1052" s="3"/>
      <c r="F1052" s="3"/>
      <c r="G1052" s="3"/>
      <c r="H1052" s="3"/>
      <c r="I1052" s="21"/>
      <c r="J1052" s="22"/>
      <c r="K1052" s="18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ht="12.75" customHeight="1">
      <c r="A1053" s="19">
        <f t="shared" si="1"/>
        <v>989</v>
      </c>
      <c r="B1053" s="3"/>
      <c r="C1053" s="3"/>
      <c r="D1053" s="3"/>
      <c r="E1053" s="3"/>
      <c r="F1053" s="3"/>
      <c r="G1053" s="3"/>
      <c r="H1053" s="3"/>
      <c r="I1053" s="21"/>
      <c r="J1053" s="22"/>
      <c r="K1053" s="18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ht="12.75" customHeight="1">
      <c r="A1054" s="19">
        <f t="shared" si="1"/>
        <v>990</v>
      </c>
      <c r="B1054" s="3"/>
      <c r="C1054" s="3"/>
      <c r="D1054" s="3"/>
      <c r="E1054" s="3"/>
      <c r="F1054" s="3"/>
      <c r="G1054" s="3"/>
      <c r="H1054" s="3"/>
      <c r="I1054" s="21"/>
      <c r="J1054" s="22"/>
      <c r="K1054" s="18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ht="12.75" customHeight="1">
      <c r="A1055" s="19">
        <f t="shared" si="1"/>
        <v>991</v>
      </c>
      <c r="B1055" s="3"/>
      <c r="C1055" s="3"/>
      <c r="D1055" s="3"/>
      <c r="E1055" s="3"/>
      <c r="F1055" s="3"/>
      <c r="G1055" s="3"/>
      <c r="H1055" s="3"/>
      <c r="I1055" s="21"/>
      <c r="J1055" s="22"/>
      <c r="K1055" s="18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ht="12.75" customHeight="1">
      <c r="A1056" s="19">
        <f t="shared" si="1"/>
        <v>992</v>
      </c>
      <c r="B1056" s="3"/>
      <c r="C1056" s="3"/>
      <c r="D1056" s="3"/>
      <c r="E1056" s="3"/>
      <c r="F1056" s="3"/>
      <c r="G1056" s="3"/>
      <c r="H1056" s="3"/>
      <c r="I1056" s="21"/>
      <c r="J1056" s="22"/>
      <c r="K1056" s="18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ht="12.75" customHeight="1">
      <c r="A1057" s="19">
        <f t="shared" si="1"/>
        <v>993</v>
      </c>
      <c r="B1057" s="3"/>
      <c r="C1057" s="3"/>
      <c r="D1057" s="3"/>
      <c r="E1057" s="3"/>
      <c r="F1057" s="3"/>
      <c r="G1057" s="3"/>
      <c r="H1057" s="3"/>
      <c r="I1057" s="21"/>
      <c r="J1057" s="22"/>
      <c r="K1057" s="18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ht="12.75" customHeight="1">
      <c r="A1058" s="19">
        <f t="shared" si="1"/>
        <v>994</v>
      </c>
      <c r="B1058" s="3"/>
      <c r="C1058" s="3"/>
      <c r="D1058" s="3"/>
      <c r="E1058" s="3"/>
      <c r="F1058" s="3"/>
      <c r="G1058" s="3"/>
      <c r="H1058" s="3"/>
      <c r="I1058" s="21"/>
      <c r="J1058" s="22"/>
      <c r="K1058" s="18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ht="12.75" customHeight="1">
      <c r="A1059" s="19">
        <f t="shared" si="1"/>
        <v>995</v>
      </c>
      <c r="B1059" s="3"/>
      <c r="C1059" s="3"/>
      <c r="D1059" s="3"/>
      <c r="E1059" s="3"/>
      <c r="F1059" s="3"/>
      <c r="G1059" s="3"/>
      <c r="H1059" s="3"/>
      <c r="I1059" s="21"/>
      <c r="J1059" s="22"/>
      <c r="K1059" s="18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ht="12.75" customHeight="1">
      <c r="A1060" s="19">
        <f t="shared" si="1"/>
        <v>996</v>
      </c>
      <c r="B1060" s="3"/>
      <c r="C1060" s="3"/>
      <c r="D1060" s="3"/>
      <c r="E1060" s="3"/>
      <c r="F1060" s="3"/>
      <c r="G1060" s="3"/>
      <c r="H1060" s="3"/>
      <c r="I1060" s="21"/>
      <c r="J1060" s="22"/>
      <c r="K1060" s="18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ht="12.75" customHeight="1">
      <c r="A1061" s="19">
        <f t="shared" si="1"/>
        <v>997</v>
      </c>
      <c r="B1061" s="3"/>
      <c r="C1061" s="3"/>
      <c r="D1061" s="3"/>
      <c r="E1061" s="3"/>
      <c r="F1061" s="3"/>
      <c r="G1061" s="3"/>
      <c r="H1061" s="3"/>
      <c r="I1061" s="21"/>
      <c r="J1061" s="22"/>
      <c r="K1061" s="18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ht="12.75" customHeight="1">
      <c r="A1062" s="19">
        <f t="shared" si="1"/>
        <v>998</v>
      </c>
      <c r="B1062" s="3"/>
      <c r="C1062" s="3"/>
      <c r="D1062" s="3"/>
      <c r="E1062" s="3"/>
      <c r="F1062" s="3"/>
      <c r="G1062" s="3"/>
      <c r="H1062" s="3"/>
      <c r="I1062" s="21"/>
      <c r="J1062" s="22"/>
      <c r="K1062" s="18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ht="12.75" customHeight="1">
      <c r="A1063" s="19">
        <f t="shared" si="1"/>
        <v>999</v>
      </c>
      <c r="B1063" s="3"/>
      <c r="C1063" s="3"/>
      <c r="D1063" s="3"/>
      <c r="E1063" s="3"/>
      <c r="F1063" s="3"/>
      <c r="G1063" s="3"/>
      <c r="H1063" s="3"/>
      <c r="I1063" s="21"/>
      <c r="J1063" s="22"/>
      <c r="K1063" s="18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ht="12.75" customHeight="1">
      <c r="A1064" s="19">
        <f t="shared" si="1"/>
        <v>1000</v>
      </c>
      <c r="B1064" s="3"/>
      <c r="C1064" s="3"/>
      <c r="D1064" s="3"/>
      <c r="E1064" s="3"/>
      <c r="F1064" s="3"/>
      <c r="G1064" s="3"/>
      <c r="H1064" s="3"/>
      <c r="I1064" s="21"/>
      <c r="J1064" s="22"/>
      <c r="K1064" s="18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ht="12.75" customHeight="1">
      <c r="A1065" s="19">
        <f t="shared" si="1"/>
        <v>1001</v>
      </c>
      <c r="B1065" s="3"/>
      <c r="C1065" s="3"/>
      <c r="D1065" s="3"/>
      <c r="E1065" s="3"/>
      <c r="F1065" s="3"/>
      <c r="G1065" s="3"/>
      <c r="H1065" s="3"/>
      <c r="I1065" s="21"/>
      <c r="J1065" s="22"/>
      <c r="K1065" s="18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ht="12.75" customHeight="1">
      <c r="A1066" s="19">
        <f t="shared" si="1"/>
        <v>1002</v>
      </c>
      <c r="B1066" s="3"/>
      <c r="C1066" s="3"/>
      <c r="D1066" s="3"/>
      <c r="E1066" s="3"/>
      <c r="F1066" s="3"/>
      <c r="G1066" s="3"/>
      <c r="H1066" s="3"/>
      <c r="I1066" s="21"/>
      <c r="J1066" s="22"/>
      <c r="K1066" s="18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ht="12.75" customHeight="1">
      <c r="A1067" s="19">
        <f t="shared" si="1"/>
        <v>1003</v>
      </c>
      <c r="B1067" s="3"/>
      <c r="C1067" s="3"/>
      <c r="D1067" s="3"/>
      <c r="E1067" s="3"/>
      <c r="F1067" s="3"/>
      <c r="G1067" s="3"/>
      <c r="H1067" s="3"/>
      <c r="I1067" s="21"/>
      <c r="J1067" s="22"/>
      <c r="K1067" s="18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ht="12.75" customHeight="1">
      <c r="A1068" s="19">
        <f t="shared" si="1"/>
        <v>1004</v>
      </c>
      <c r="B1068" s="3"/>
      <c r="C1068" s="3"/>
      <c r="D1068" s="3"/>
      <c r="E1068" s="3"/>
      <c r="F1068" s="3"/>
      <c r="G1068" s="3"/>
      <c r="H1068" s="3"/>
      <c r="I1068" s="21"/>
      <c r="J1068" s="22"/>
      <c r="K1068" s="18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ht="12.75" customHeight="1">
      <c r="A1069" s="19">
        <f t="shared" si="1"/>
        <v>1005</v>
      </c>
      <c r="B1069" s="3"/>
      <c r="C1069" s="3"/>
      <c r="D1069" s="3"/>
      <c r="E1069" s="3"/>
      <c r="F1069" s="3"/>
      <c r="G1069" s="3"/>
      <c r="H1069" s="3"/>
      <c r="I1069" s="21"/>
      <c r="J1069" s="22"/>
      <c r="K1069" s="18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ht="12.75" customHeight="1">
      <c r="A1070" s="19">
        <f t="shared" si="1"/>
        <v>1006</v>
      </c>
      <c r="B1070" s="3"/>
      <c r="C1070" s="3"/>
      <c r="D1070" s="3"/>
      <c r="E1070" s="3"/>
      <c r="F1070" s="3"/>
      <c r="G1070" s="3"/>
      <c r="H1070" s="3"/>
      <c r="I1070" s="21"/>
      <c r="J1070" s="22"/>
      <c r="K1070" s="18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ht="12.75" customHeight="1">
      <c r="A1071" s="19">
        <f t="shared" si="1"/>
        <v>1007</v>
      </c>
      <c r="B1071" s="3"/>
      <c r="C1071" s="3"/>
      <c r="D1071" s="3"/>
      <c r="E1071" s="3"/>
      <c r="F1071" s="3"/>
      <c r="G1071" s="3"/>
      <c r="H1071" s="3"/>
      <c r="I1071" s="21"/>
      <c r="J1071" s="22"/>
      <c r="K1071" s="18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ht="12.75" customHeight="1">
      <c r="A1072" s="19">
        <f t="shared" si="1"/>
        <v>1008</v>
      </c>
      <c r="B1072" s="3"/>
      <c r="C1072" s="3"/>
      <c r="D1072" s="3"/>
      <c r="E1072" s="3"/>
      <c r="F1072" s="3"/>
      <c r="G1072" s="3"/>
      <c r="H1072" s="3"/>
      <c r="I1072" s="21"/>
      <c r="J1072" s="22"/>
      <c r="K1072" s="18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ht="12.75" customHeight="1">
      <c r="A1073" s="19">
        <f t="shared" si="1"/>
        <v>1009</v>
      </c>
      <c r="B1073" s="3"/>
      <c r="C1073" s="3"/>
      <c r="D1073" s="3"/>
      <c r="E1073" s="3"/>
      <c r="F1073" s="3"/>
      <c r="G1073" s="3"/>
      <c r="H1073" s="3"/>
      <c r="I1073" s="21"/>
      <c r="J1073" s="22"/>
      <c r="K1073" s="18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ht="12.75" customHeight="1">
      <c r="A1074" s="19">
        <f t="shared" si="1"/>
        <v>1010</v>
      </c>
      <c r="B1074" s="3"/>
      <c r="C1074" s="3"/>
      <c r="D1074" s="3"/>
      <c r="E1074" s="3"/>
      <c r="F1074" s="3"/>
      <c r="G1074" s="3"/>
      <c r="H1074" s="3"/>
      <c r="I1074" s="21"/>
      <c r="J1074" s="22"/>
      <c r="K1074" s="18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ht="12.75" customHeight="1">
      <c r="A1075" s="19">
        <f t="shared" si="1"/>
        <v>1011</v>
      </c>
      <c r="B1075" s="3"/>
      <c r="C1075" s="3"/>
      <c r="D1075" s="3"/>
      <c r="E1075" s="3"/>
      <c r="F1075" s="3"/>
      <c r="G1075" s="3"/>
      <c r="H1075" s="3"/>
      <c r="I1075" s="21"/>
      <c r="J1075" s="22"/>
      <c r="K1075" s="18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ht="12.75" customHeight="1">
      <c r="A1076" s="19">
        <f t="shared" si="1"/>
        <v>1012</v>
      </c>
      <c r="B1076" s="3"/>
      <c r="C1076" s="3"/>
      <c r="D1076" s="3"/>
      <c r="E1076" s="3"/>
      <c r="F1076" s="3"/>
      <c r="G1076" s="3"/>
      <c r="H1076" s="3"/>
      <c r="I1076" s="21"/>
      <c r="J1076" s="22"/>
      <c r="K1076" s="18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2.75" customHeight="1">
      <c r="A1077" s="19">
        <f t="shared" si="1"/>
        <v>1013</v>
      </c>
      <c r="B1077" s="3"/>
      <c r="C1077" s="3"/>
      <c r="D1077" s="3"/>
      <c r="E1077" s="3"/>
      <c r="F1077" s="3"/>
      <c r="G1077" s="3"/>
      <c r="H1077" s="3"/>
      <c r="I1077" s="21"/>
      <c r="J1077" s="22"/>
      <c r="K1077" s="18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ht="12.75" customHeight="1">
      <c r="A1078" s="19">
        <f t="shared" si="1"/>
        <v>1014</v>
      </c>
      <c r="B1078" s="3"/>
      <c r="C1078" s="3"/>
      <c r="D1078" s="3"/>
      <c r="E1078" s="3"/>
      <c r="F1078" s="3"/>
      <c r="G1078" s="3"/>
      <c r="H1078" s="3"/>
      <c r="I1078" s="21"/>
      <c r="J1078" s="22"/>
      <c r="K1078" s="18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ht="12.75" customHeight="1">
      <c r="A1079" s="19">
        <f t="shared" si="1"/>
        <v>1015</v>
      </c>
      <c r="B1079" s="3"/>
      <c r="C1079" s="3"/>
      <c r="D1079" s="3"/>
      <c r="E1079" s="3"/>
      <c r="F1079" s="3"/>
      <c r="G1079" s="3"/>
      <c r="H1079" s="3"/>
      <c r="I1079" s="21"/>
      <c r="J1079" s="22"/>
      <c r="K1079" s="18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ht="12.75" customHeight="1">
      <c r="A1080" s="19">
        <f t="shared" si="1"/>
        <v>1016</v>
      </c>
      <c r="B1080" s="3"/>
      <c r="C1080" s="3"/>
      <c r="D1080" s="3"/>
      <c r="E1080" s="3"/>
      <c r="F1080" s="3"/>
      <c r="G1080" s="3"/>
      <c r="H1080" s="3"/>
      <c r="I1080" s="21"/>
      <c r="J1080" s="22"/>
      <c r="K1080" s="18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ht="12.75" customHeight="1">
      <c r="A1081" s="19">
        <f t="shared" si="1"/>
        <v>1017</v>
      </c>
      <c r="B1081" s="3"/>
      <c r="C1081" s="3"/>
      <c r="D1081" s="3"/>
      <c r="E1081" s="3"/>
      <c r="F1081" s="3"/>
      <c r="G1081" s="3"/>
      <c r="H1081" s="3"/>
      <c r="I1081" s="21"/>
      <c r="J1081" s="22"/>
      <c r="K1081" s="18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ht="12.75" customHeight="1">
      <c r="A1082" s="19">
        <f t="shared" si="1"/>
        <v>1018</v>
      </c>
      <c r="B1082" s="3"/>
      <c r="C1082" s="3"/>
      <c r="D1082" s="3"/>
      <c r="E1082" s="3"/>
      <c r="F1082" s="3"/>
      <c r="G1082" s="3"/>
      <c r="H1082" s="3"/>
      <c r="I1082" s="21"/>
      <c r="J1082" s="22"/>
      <c r="K1082" s="18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ht="12.75" customHeight="1">
      <c r="A1083" s="19">
        <f t="shared" si="1"/>
        <v>1019</v>
      </c>
      <c r="B1083" s="3"/>
      <c r="C1083" s="3"/>
      <c r="D1083" s="3"/>
      <c r="E1083" s="3"/>
      <c r="F1083" s="3"/>
      <c r="G1083" s="3"/>
      <c r="H1083" s="3"/>
      <c r="I1083" s="21"/>
      <c r="J1083" s="22"/>
      <c r="K1083" s="18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ht="12.75" customHeight="1">
      <c r="A1084" s="19">
        <f t="shared" si="1"/>
        <v>1020</v>
      </c>
      <c r="B1084" s="3"/>
      <c r="C1084" s="3"/>
      <c r="D1084" s="3"/>
      <c r="E1084" s="3"/>
      <c r="F1084" s="3"/>
      <c r="G1084" s="3"/>
      <c r="H1084" s="3"/>
      <c r="I1084" s="21"/>
      <c r="J1084" s="22"/>
      <c r="K1084" s="18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ht="12.75" customHeight="1">
      <c r="A1085" s="19">
        <f t="shared" si="1"/>
        <v>1021</v>
      </c>
      <c r="B1085" s="3"/>
      <c r="C1085" s="3"/>
      <c r="D1085" s="3"/>
      <c r="E1085" s="3"/>
      <c r="F1085" s="3"/>
      <c r="G1085" s="3"/>
      <c r="H1085" s="3"/>
      <c r="I1085" s="21"/>
      <c r="J1085" s="22"/>
      <c r="K1085" s="18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ht="12.75" customHeight="1">
      <c r="A1086" s="19">
        <f t="shared" si="1"/>
        <v>1022</v>
      </c>
      <c r="B1086" s="3"/>
      <c r="C1086" s="3"/>
      <c r="D1086" s="3"/>
      <c r="E1086" s="3"/>
      <c r="F1086" s="3"/>
      <c r="G1086" s="3"/>
      <c r="H1086" s="3"/>
      <c r="I1086" s="21"/>
      <c r="J1086" s="22"/>
      <c r="K1086" s="18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ht="12.75" customHeight="1">
      <c r="A1087" s="19">
        <f t="shared" si="1"/>
        <v>1023</v>
      </c>
      <c r="B1087" s="3"/>
      <c r="C1087" s="3"/>
      <c r="D1087" s="3"/>
      <c r="E1087" s="3"/>
      <c r="F1087" s="3"/>
      <c r="G1087" s="3"/>
      <c r="H1087" s="3"/>
      <c r="I1087" s="21"/>
      <c r="J1087" s="22"/>
      <c r="K1087" s="18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ht="12.75" customHeight="1">
      <c r="A1088" s="19">
        <f t="shared" si="1"/>
        <v>1024</v>
      </c>
      <c r="B1088" s="3"/>
      <c r="C1088" s="3"/>
      <c r="D1088" s="3"/>
      <c r="E1088" s="3"/>
      <c r="F1088" s="3"/>
      <c r="G1088" s="3"/>
      <c r="H1088" s="3"/>
      <c r="I1088" s="21"/>
      <c r="J1088" s="22"/>
      <c r="K1088" s="18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ht="12.75" customHeight="1">
      <c r="A1089" s="19">
        <f t="shared" si="1"/>
        <v>1025</v>
      </c>
      <c r="B1089" s="3"/>
      <c r="C1089" s="3"/>
      <c r="D1089" s="3"/>
      <c r="E1089" s="3"/>
      <c r="F1089" s="3"/>
      <c r="G1089" s="3"/>
      <c r="H1089" s="3"/>
      <c r="I1089" s="21"/>
      <c r="J1089" s="22"/>
      <c r="K1089" s="18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ht="12.75" customHeight="1">
      <c r="A1090" s="19">
        <f t="shared" si="1"/>
        <v>1026</v>
      </c>
      <c r="B1090" s="3"/>
      <c r="C1090" s="3"/>
      <c r="D1090" s="3"/>
      <c r="E1090" s="3"/>
      <c r="F1090" s="3"/>
      <c r="G1090" s="3"/>
      <c r="H1090" s="3"/>
      <c r="I1090" s="21"/>
      <c r="J1090" s="22"/>
      <c r="K1090" s="18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ht="12.75" customHeight="1">
      <c r="A1091" s="19">
        <f t="shared" si="1"/>
        <v>1027</v>
      </c>
      <c r="B1091" s="3"/>
      <c r="C1091" s="3"/>
      <c r="D1091" s="3"/>
      <c r="E1091" s="3"/>
      <c r="F1091" s="3"/>
      <c r="G1091" s="3"/>
      <c r="H1091" s="3"/>
      <c r="I1091" s="21"/>
      <c r="J1091" s="22"/>
      <c r="K1091" s="18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ht="12.75" customHeight="1">
      <c r="A1092" s="19">
        <f t="shared" si="1"/>
        <v>1028</v>
      </c>
      <c r="B1092" s="3"/>
      <c r="C1092" s="3"/>
      <c r="D1092" s="3"/>
      <c r="E1092" s="3"/>
      <c r="F1092" s="3"/>
      <c r="G1092" s="3"/>
      <c r="H1092" s="3"/>
      <c r="I1092" s="21"/>
      <c r="J1092" s="22"/>
      <c r="K1092" s="18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ht="12.75" customHeight="1">
      <c r="A1093" s="19">
        <f t="shared" si="1"/>
        <v>1029</v>
      </c>
      <c r="B1093" s="3"/>
      <c r="C1093" s="3"/>
      <c r="D1093" s="3"/>
      <c r="E1093" s="3"/>
      <c r="F1093" s="3"/>
      <c r="G1093" s="3"/>
      <c r="H1093" s="3"/>
      <c r="I1093" s="21"/>
      <c r="J1093" s="22"/>
      <c r="K1093" s="18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ht="12.75" customHeight="1">
      <c r="A1094" s="19">
        <f t="shared" si="1"/>
        <v>1030</v>
      </c>
      <c r="B1094" s="3"/>
      <c r="C1094" s="3"/>
      <c r="D1094" s="3"/>
      <c r="E1094" s="3"/>
      <c r="F1094" s="3"/>
      <c r="G1094" s="3"/>
      <c r="H1094" s="3"/>
      <c r="I1094" s="21"/>
      <c r="J1094" s="22"/>
      <c r="K1094" s="18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ht="12.75" customHeight="1">
      <c r="A1095" s="19">
        <f t="shared" si="1"/>
        <v>1031</v>
      </c>
      <c r="B1095" s="3"/>
      <c r="C1095" s="3"/>
      <c r="D1095" s="3"/>
      <c r="E1095" s="3"/>
      <c r="F1095" s="3"/>
      <c r="G1095" s="3"/>
      <c r="H1095" s="3"/>
      <c r="I1095" s="21"/>
      <c r="J1095" s="22"/>
      <c r="K1095" s="18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ht="12.75" customHeight="1">
      <c r="A1096" s="19">
        <f t="shared" si="1"/>
        <v>1032</v>
      </c>
      <c r="B1096" s="3"/>
      <c r="C1096" s="3"/>
      <c r="D1096" s="3"/>
      <c r="E1096" s="3"/>
      <c r="F1096" s="3"/>
      <c r="G1096" s="3"/>
      <c r="H1096" s="3"/>
      <c r="I1096" s="21"/>
      <c r="J1096" s="22"/>
      <c r="K1096" s="18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ht="12.75" customHeight="1">
      <c r="A1097" s="19">
        <f t="shared" si="1"/>
        <v>1033</v>
      </c>
      <c r="B1097" s="3"/>
      <c r="C1097" s="3"/>
      <c r="D1097" s="3"/>
      <c r="E1097" s="3"/>
      <c r="F1097" s="3"/>
      <c r="G1097" s="3"/>
      <c r="H1097" s="3"/>
      <c r="I1097" s="21"/>
      <c r="J1097" s="22"/>
      <c r="K1097" s="18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ht="12.75" customHeight="1">
      <c r="A1098" s="19">
        <f t="shared" si="1"/>
        <v>1034</v>
      </c>
      <c r="B1098" s="3"/>
      <c r="C1098" s="3"/>
      <c r="D1098" s="3"/>
      <c r="E1098" s="3"/>
      <c r="F1098" s="3"/>
      <c r="G1098" s="3"/>
      <c r="H1098" s="3"/>
      <c r="I1098" s="21"/>
      <c r="J1098" s="22"/>
      <c r="K1098" s="18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ht="12.75" customHeight="1">
      <c r="A1099" s="19">
        <f t="shared" si="1"/>
        <v>1035</v>
      </c>
      <c r="B1099" s="3"/>
      <c r="C1099" s="3"/>
      <c r="D1099" s="3"/>
      <c r="E1099" s="3"/>
      <c r="F1099" s="3"/>
      <c r="G1099" s="3"/>
      <c r="H1099" s="3"/>
      <c r="I1099" s="21"/>
      <c r="J1099" s="22"/>
      <c r="K1099" s="18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ht="12.75" customHeight="1">
      <c r="A1100" s="19">
        <f t="shared" si="1"/>
        <v>1036</v>
      </c>
      <c r="B1100" s="3"/>
      <c r="C1100" s="3"/>
      <c r="D1100" s="3"/>
      <c r="E1100" s="3"/>
      <c r="F1100" s="3"/>
      <c r="G1100" s="3"/>
      <c r="H1100" s="3"/>
      <c r="I1100" s="21"/>
      <c r="J1100" s="22"/>
      <c r="K1100" s="18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ht="12.75" customHeight="1">
      <c r="A1101" s="19">
        <f t="shared" si="1"/>
        <v>1037</v>
      </c>
      <c r="B1101" s="3"/>
      <c r="C1101" s="3"/>
      <c r="D1101" s="3"/>
      <c r="E1101" s="3"/>
      <c r="F1101" s="3"/>
      <c r="G1101" s="3"/>
      <c r="H1101" s="3"/>
      <c r="I1101" s="21"/>
      <c r="J1101" s="22"/>
      <c r="K1101" s="18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ht="12.75" customHeight="1">
      <c r="A1102" s="19">
        <f t="shared" si="1"/>
        <v>1038</v>
      </c>
      <c r="B1102" s="3"/>
      <c r="C1102" s="3"/>
      <c r="D1102" s="3"/>
      <c r="E1102" s="3"/>
      <c r="F1102" s="3"/>
      <c r="G1102" s="3"/>
      <c r="H1102" s="3"/>
      <c r="I1102" s="21"/>
      <c r="J1102" s="22"/>
      <c r="K1102" s="18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ht="12.75" customHeight="1">
      <c r="A1103" s="19">
        <f t="shared" si="1"/>
        <v>1039</v>
      </c>
      <c r="B1103" s="3"/>
      <c r="C1103" s="3"/>
      <c r="D1103" s="3"/>
      <c r="E1103" s="3"/>
      <c r="F1103" s="3"/>
      <c r="G1103" s="3"/>
      <c r="H1103" s="3"/>
      <c r="I1103" s="21"/>
      <c r="J1103" s="22"/>
      <c r="K1103" s="18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ht="12.75" customHeight="1">
      <c r="A1104" s="19">
        <f t="shared" si="1"/>
        <v>1040</v>
      </c>
      <c r="B1104" s="3"/>
      <c r="C1104" s="3"/>
      <c r="D1104" s="3"/>
      <c r="E1104" s="3"/>
      <c r="F1104" s="3"/>
      <c r="G1104" s="3"/>
      <c r="H1104" s="3"/>
      <c r="I1104" s="21"/>
      <c r="J1104" s="22"/>
      <c r="K1104" s="18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ht="12.75" customHeight="1">
      <c r="A1105" s="19">
        <f t="shared" si="1"/>
        <v>1041</v>
      </c>
      <c r="B1105" s="3"/>
      <c r="C1105" s="3"/>
      <c r="D1105" s="3"/>
      <c r="E1105" s="3"/>
      <c r="F1105" s="3"/>
      <c r="G1105" s="3"/>
      <c r="H1105" s="3"/>
      <c r="I1105" s="21"/>
      <c r="J1105" s="22"/>
      <c r="K1105" s="18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2.75" customHeight="1">
      <c r="A1106" s="19">
        <f t="shared" si="1"/>
        <v>1042</v>
      </c>
      <c r="B1106" s="3"/>
      <c r="C1106" s="3"/>
      <c r="D1106" s="3"/>
      <c r="E1106" s="3"/>
      <c r="F1106" s="3"/>
      <c r="G1106" s="3"/>
      <c r="H1106" s="3"/>
      <c r="I1106" s="21"/>
      <c r="J1106" s="22"/>
      <c r="K1106" s="18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ht="12.75" customHeight="1">
      <c r="A1107" s="19">
        <f t="shared" si="1"/>
        <v>1043</v>
      </c>
      <c r="B1107" s="3"/>
      <c r="C1107" s="3"/>
      <c r="D1107" s="3"/>
      <c r="E1107" s="3"/>
      <c r="F1107" s="3"/>
      <c r="G1107" s="3"/>
      <c r="H1107" s="3"/>
      <c r="I1107" s="21"/>
      <c r="J1107" s="22"/>
      <c r="K1107" s="18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ht="12.75" customHeight="1">
      <c r="A1108" s="19">
        <f t="shared" si="1"/>
        <v>1044</v>
      </c>
      <c r="B1108" s="3"/>
      <c r="C1108" s="3"/>
      <c r="D1108" s="3"/>
      <c r="E1108" s="3"/>
      <c r="F1108" s="3"/>
      <c r="G1108" s="3"/>
      <c r="H1108" s="3"/>
      <c r="I1108" s="21"/>
      <c r="J1108" s="22"/>
      <c r="K1108" s="18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ht="12.75" customHeight="1">
      <c r="A1109" s="19">
        <f t="shared" si="1"/>
        <v>1045</v>
      </c>
      <c r="B1109" s="3"/>
      <c r="C1109" s="3"/>
      <c r="D1109" s="3"/>
      <c r="E1109" s="3"/>
      <c r="F1109" s="3"/>
      <c r="G1109" s="3"/>
      <c r="H1109" s="3"/>
      <c r="I1109" s="21"/>
      <c r="J1109" s="22"/>
      <c r="K1109" s="18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ht="12.75" customHeight="1">
      <c r="A1110" s="19">
        <f t="shared" si="1"/>
        <v>1046</v>
      </c>
      <c r="B1110" s="3"/>
      <c r="C1110" s="3"/>
      <c r="D1110" s="3"/>
      <c r="E1110" s="3"/>
      <c r="F1110" s="3"/>
      <c r="G1110" s="3"/>
      <c r="H1110" s="3"/>
      <c r="I1110" s="21"/>
      <c r="J1110" s="22"/>
      <c r="K1110" s="18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ht="12.75" customHeight="1">
      <c r="A1111" s="19">
        <f t="shared" si="1"/>
        <v>1047</v>
      </c>
      <c r="B1111" s="3"/>
      <c r="C1111" s="3"/>
      <c r="D1111" s="3"/>
      <c r="E1111" s="3"/>
      <c r="F1111" s="3"/>
      <c r="G1111" s="3"/>
      <c r="H1111" s="3"/>
      <c r="I1111" s="21"/>
      <c r="J1111" s="22"/>
      <c r="K1111" s="18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ht="12.75" customHeight="1">
      <c r="A1112" s="19">
        <f t="shared" si="1"/>
        <v>1048</v>
      </c>
      <c r="B1112" s="3"/>
      <c r="C1112" s="3"/>
      <c r="D1112" s="3"/>
      <c r="E1112" s="3"/>
      <c r="F1112" s="3"/>
      <c r="G1112" s="3"/>
      <c r="H1112" s="3"/>
      <c r="I1112" s="21"/>
      <c r="J1112" s="22"/>
      <c r="K1112" s="18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ht="12.75" customHeight="1">
      <c r="A1113" s="19">
        <f t="shared" si="1"/>
        <v>1049</v>
      </c>
      <c r="B1113" s="3"/>
      <c r="C1113" s="3"/>
      <c r="D1113" s="3"/>
      <c r="E1113" s="3"/>
      <c r="F1113" s="3"/>
      <c r="G1113" s="3"/>
      <c r="H1113" s="3"/>
      <c r="I1113" s="21"/>
      <c r="J1113" s="22"/>
      <c r="K1113" s="18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ht="12.75" customHeight="1">
      <c r="A1114" s="19">
        <f t="shared" si="1"/>
        <v>1050</v>
      </c>
      <c r="B1114" s="3"/>
      <c r="C1114" s="3"/>
      <c r="D1114" s="3"/>
      <c r="E1114" s="3"/>
      <c r="F1114" s="3"/>
      <c r="G1114" s="3"/>
      <c r="H1114" s="3"/>
      <c r="I1114" s="21"/>
      <c r="J1114" s="22"/>
      <c r="K1114" s="18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ht="12.75" customHeight="1">
      <c r="A1115" s="19">
        <f t="shared" si="1"/>
        <v>1051</v>
      </c>
      <c r="B1115" s="3"/>
      <c r="C1115" s="3"/>
      <c r="D1115" s="3"/>
      <c r="E1115" s="3"/>
      <c r="F1115" s="3"/>
      <c r="G1115" s="3"/>
      <c r="H1115" s="3"/>
      <c r="I1115" s="21"/>
      <c r="J1115" s="22"/>
      <c r="K1115" s="18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ht="12.75" customHeight="1">
      <c r="A1116" s="19">
        <f t="shared" si="1"/>
        <v>1052</v>
      </c>
      <c r="B1116" s="3"/>
      <c r="C1116" s="3"/>
      <c r="D1116" s="3"/>
      <c r="E1116" s="3"/>
      <c r="F1116" s="3"/>
      <c r="G1116" s="3"/>
      <c r="H1116" s="3"/>
      <c r="I1116" s="21"/>
      <c r="J1116" s="22"/>
      <c r="K1116" s="18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ht="12.75" customHeight="1">
      <c r="A1117" s="19">
        <f t="shared" si="1"/>
        <v>1053</v>
      </c>
      <c r="B1117" s="3"/>
      <c r="C1117" s="3"/>
      <c r="D1117" s="3"/>
      <c r="E1117" s="3"/>
      <c r="F1117" s="3"/>
      <c r="G1117" s="3"/>
      <c r="H1117" s="3"/>
      <c r="I1117" s="21"/>
      <c r="J1117" s="22"/>
      <c r="K1117" s="18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ht="12.75" customHeight="1">
      <c r="A1118" s="19">
        <f t="shared" si="1"/>
        <v>1054</v>
      </c>
      <c r="B1118" s="3"/>
      <c r="C1118" s="3"/>
      <c r="D1118" s="3"/>
      <c r="E1118" s="3"/>
      <c r="F1118" s="3"/>
      <c r="G1118" s="3"/>
      <c r="H1118" s="3"/>
      <c r="I1118" s="21"/>
      <c r="J1118" s="22"/>
      <c r="K1118" s="18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ht="12.75" customHeight="1">
      <c r="A1119" s="19">
        <f t="shared" si="1"/>
        <v>1055</v>
      </c>
      <c r="B1119" s="3"/>
      <c r="C1119" s="3"/>
      <c r="D1119" s="3"/>
      <c r="E1119" s="3"/>
      <c r="F1119" s="3"/>
      <c r="G1119" s="3"/>
      <c r="H1119" s="3"/>
      <c r="I1119" s="21"/>
      <c r="J1119" s="22"/>
      <c r="K1119" s="18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ht="12.75" customHeight="1">
      <c r="A1120" s="19">
        <f t="shared" si="1"/>
        <v>1056</v>
      </c>
      <c r="B1120" s="3"/>
      <c r="C1120" s="3"/>
      <c r="D1120" s="3"/>
      <c r="E1120" s="3"/>
      <c r="F1120" s="3"/>
      <c r="G1120" s="3"/>
      <c r="H1120" s="3"/>
      <c r="I1120" s="21"/>
      <c r="J1120" s="22"/>
      <c r="K1120" s="18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ht="12.75" customHeight="1">
      <c r="A1121" s="19">
        <f t="shared" si="1"/>
        <v>1057</v>
      </c>
      <c r="B1121" s="3"/>
      <c r="C1121" s="3"/>
      <c r="D1121" s="3"/>
      <c r="E1121" s="3"/>
      <c r="F1121" s="3"/>
      <c r="G1121" s="3"/>
      <c r="H1121" s="3"/>
      <c r="I1121" s="21"/>
      <c r="J1121" s="22"/>
      <c r="K1121" s="18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ht="12.75" customHeight="1">
      <c r="A1122" s="19">
        <f t="shared" si="1"/>
        <v>1058</v>
      </c>
      <c r="B1122" s="3"/>
      <c r="C1122" s="3"/>
      <c r="D1122" s="3"/>
      <c r="E1122" s="3"/>
      <c r="F1122" s="3"/>
      <c r="G1122" s="3"/>
      <c r="H1122" s="3"/>
      <c r="I1122" s="21"/>
      <c r="J1122" s="22"/>
      <c r="K1122" s="18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ht="12.75" customHeight="1">
      <c r="A1123" s="19">
        <f t="shared" si="1"/>
        <v>1059</v>
      </c>
      <c r="B1123" s="3"/>
      <c r="C1123" s="3"/>
      <c r="D1123" s="3"/>
      <c r="E1123" s="3"/>
      <c r="F1123" s="3"/>
      <c r="G1123" s="3"/>
      <c r="H1123" s="3"/>
      <c r="I1123" s="21"/>
      <c r="J1123" s="22"/>
      <c r="K1123" s="18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ht="12.75" customHeight="1">
      <c r="A1124" s="19">
        <f t="shared" si="1"/>
        <v>1060</v>
      </c>
      <c r="B1124" s="3"/>
      <c r="C1124" s="3"/>
      <c r="D1124" s="3"/>
      <c r="E1124" s="3"/>
      <c r="F1124" s="3"/>
      <c r="G1124" s="3"/>
      <c r="H1124" s="3"/>
      <c r="I1124" s="21"/>
      <c r="J1124" s="22"/>
      <c r="K1124" s="18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ht="12.75" customHeight="1">
      <c r="A1125" s="19">
        <f t="shared" si="1"/>
        <v>1061</v>
      </c>
      <c r="B1125" s="3"/>
      <c r="C1125" s="3"/>
      <c r="D1125" s="3"/>
      <c r="E1125" s="3"/>
      <c r="F1125" s="3"/>
      <c r="G1125" s="3"/>
      <c r="H1125" s="3"/>
      <c r="I1125" s="21"/>
      <c r="J1125" s="22"/>
      <c r="K1125" s="18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ht="12.75" customHeight="1">
      <c r="A1126" s="19">
        <f t="shared" si="1"/>
        <v>1062</v>
      </c>
      <c r="B1126" s="3"/>
      <c r="C1126" s="3"/>
      <c r="D1126" s="3"/>
      <c r="E1126" s="3"/>
      <c r="F1126" s="3"/>
      <c r="G1126" s="3"/>
      <c r="H1126" s="3"/>
      <c r="I1126" s="21"/>
      <c r="J1126" s="22"/>
      <c r="K1126" s="18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ht="12.75" customHeight="1">
      <c r="A1127" s="19">
        <f t="shared" si="1"/>
        <v>1063</v>
      </c>
      <c r="B1127" s="3"/>
      <c r="C1127" s="3"/>
      <c r="D1127" s="3"/>
      <c r="E1127" s="3"/>
      <c r="F1127" s="3"/>
      <c r="G1127" s="3"/>
      <c r="H1127" s="3"/>
      <c r="I1127" s="21"/>
      <c r="J1127" s="22"/>
      <c r="K1127" s="18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ht="12.75" customHeight="1">
      <c r="A1128" s="19">
        <f t="shared" si="1"/>
        <v>1064</v>
      </c>
      <c r="B1128" s="3"/>
      <c r="C1128" s="3"/>
      <c r="D1128" s="3"/>
      <c r="E1128" s="3"/>
      <c r="F1128" s="3"/>
      <c r="G1128" s="3"/>
      <c r="H1128" s="3"/>
      <c r="I1128" s="21"/>
      <c r="J1128" s="22"/>
      <c r="K1128" s="18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ht="12.75" customHeight="1">
      <c r="A1129" s="19">
        <f t="shared" si="1"/>
        <v>1065</v>
      </c>
      <c r="B1129" s="3"/>
      <c r="C1129" s="3"/>
      <c r="D1129" s="3"/>
      <c r="E1129" s="3"/>
      <c r="F1129" s="3"/>
      <c r="G1129" s="3"/>
      <c r="H1129" s="3"/>
      <c r="I1129" s="21"/>
      <c r="J1129" s="22"/>
      <c r="K1129" s="18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ht="12.75" customHeight="1">
      <c r="A1130" s="19">
        <f t="shared" si="1"/>
        <v>1066</v>
      </c>
      <c r="B1130" s="3"/>
      <c r="C1130" s="3"/>
      <c r="D1130" s="3"/>
      <c r="E1130" s="3"/>
      <c r="F1130" s="3"/>
      <c r="G1130" s="3"/>
      <c r="H1130" s="3"/>
      <c r="I1130" s="21"/>
      <c r="J1130" s="22"/>
      <c r="K1130" s="18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ht="12.75" customHeight="1">
      <c r="A1131" s="19">
        <f t="shared" si="1"/>
        <v>1067</v>
      </c>
      <c r="B1131" s="3"/>
      <c r="C1131" s="3"/>
      <c r="D1131" s="3"/>
      <c r="E1131" s="3"/>
      <c r="F1131" s="3"/>
      <c r="G1131" s="3"/>
      <c r="H1131" s="3"/>
      <c r="I1131" s="21"/>
      <c r="J1131" s="22"/>
      <c r="K1131" s="18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ht="12.75" customHeight="1">
      <c r="A1132" s="19">
        <f t="shared" si="1"/>
        <v>1068</v>
      </c>
      <c r="B1132" s="3"/>
      <c r="C1132" s="3"/>
      <c r="D1132" s="3"/>
      <c r="E1132" s="3"/>
      <c r="F1132" s="3"/>
      <c r="G1132" s="3"/>
      <c r="H1132" s="3"/>
      <c r="I1132" s="21"/>
      <c r="J1132" s="22"/>
      <c r="K1132" s="18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ht="12.75" customHeight="1">
      <c r="A1133" s="19">
        <f t="shared" si="1"/>
        <v>1069</v>
      </c>
      <c r="B1133" s="3"/>
      <c r="C1133" s="3"/>
      <c r="D1133" s="3"/>
      <c r="E1133" s="3"/>
      <c r="F1133" s="3"/>
      <c r="G1133" s="3"/>
      <c r="H1133" s="3"/>
      <c r="I1133" s="21"/>
      <c r="J1133" s="22"/>
      <c r="K1133" s="18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ht="12.75" customHeight="1">
      <c r="A1134" s="19">
        <f t="shared" si="1"/>
        <v>1070</v>
      </c>
      <c r="B1134" s="3"/>
      <c r="C1134" s="3"/>
      <c r="D1134" s="3"/>
      <c r="E1134" s="3"/>
      <c r="F1134" s="3"/>
      <c r="G1134" s="3"/>
      <c r="H1134" s="3"/>
      <c r="I1134" s="21"/>
      <c r="J1134" s="22"/>
      <c r="K1134" s="18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2.75" customHeight="1">
      <c r="A1135" s="19">
        <f t="shared" si="1"/>
        <v>1071</v>
      </c>
      <c r="B1135" s="3"/>
      <c r="C1135" s="3"/>
      <c r="D1135" s="3"/>
      <c r="E1135" s="3"/>
      <c r="F1135" s="3"/>
      <c r="G1135" s="3"/>
      <c r="H1135" s="3"/>
      <c r="I1135" s="21"/>
      <c r="J1135" s="22"/>
      <c r="K1135" s="18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ht="12.75" customHeight="1">
      <c r="A1136" s="19">
        <f t="shared" si="1"/>
        <v>1072</v>
      </c>
      <c r="B1136" s="3"/>
      <c r="C1136" s="3"/>
      <c r="D1136" s="3"/>
      <c r="E1136" s="3"/>
      <c r="F1136" s="3"/>
      <c r="G1136" s="3"/>
      <c r="H1136" s="3"/>
      <c r="I1136" s="21"/>
      <c r="J1136" s="22"/>
      <c r="K1136" s="18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ht="12.75" customHeight="1">
      <c r="A1137" s="19">
        <f t="shared" si="1"/>
        <v>1073</v>
      </c>
      <c r="B1137" s="3"/>
      <c r="C1137" s="3"/>
      <c r="D1137" s="3"/>
      <c r="E1137" s="3"/>
      <c r="F1137" s="3"/>
      <c r="G1137" s="3"/>
      <c r="H1137" s="3"/>
      <c r="I1137" s="21"/>
      <c r="J1137" s="22"/>
      <c r="K1137" s="18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ht="12.75" customHeight="1">
      <c r="A1138" s="19">
        <f t="shared" si="1"/>
        <v>1074</v>
      </c>
      <c r="B1138" s="3"/>
      <c r="C1138" s="3"/>
      <c r="D1138" s="3"/>
      <c r="E1138" s="3"/>
      <c r="F1138" s="3"/>
      <c r="G1138" s="3"/>
      <c r="H1138" s="3"/>
      <c r="I1138" s="21"/>
      <c r="J1138" s="22"/>
      <c r="K1138" s="18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ht="12.75" customHeight="1">
      <c r="A1139" s="19">
        <f t="shared" si="1"/>
        <v>1075</v>
      </c>
      <c r="B1139" s="3"/>
      <c r="C1139" s="3"/>
      <c r="D1139" s="3"/>
      <c r="E1139" s="3"/>
      <c r="F1139" s="3"/>
      <c r="G1139" s="3"/>
      <c r="H1139" s="3"/>
      <c r="I1139" s="21"/>
      <c r="J1139" s="22"/>
      <c r="K1139" s="18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ht="12.75" customHeight="1">
      <c r="A1140" s="19">
        <f t="shared" si="1"/>
        <v>1076</v>
      </c>
      <c r="B1140" s="3"/>
      <c r="C1140" s="3"/>
      <c r="D1140" s="3"/>
      <c r="E1140" s="3"/>
      <c r="F1140" s="3"/>
      <c r="G1140" s="3"/>
      <c r="H1140" s="3"/>
      <c r="I1140" s="21"/>
      <c r="J1140" s="22"/>
      <c r="K1140" s="18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ht="12.75" customHeight="1">
      <c r="A1141" s="19">
        <f t="shared" si="1"/>
        <v>1077</v>
      </c>
      <c r="B1141" s="3"/>
      <c r="C1141" s="3"/>
      <c r="D1141" s="3"/>
      <c r="E1141" s="3"/>
      <c r="F1141" s="3"/>
      <c r="G1141" s="3"/>
      <c r="H1141" s="3"/>
      <c r="I1141" s="21"/>
      <c r="J1141" s="22"/>
      <c r="K1141" s="18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ht="12.75" customHeight="1">
      <c r="A1142" s="19">
        <f t="shared" si="1"/>
        <v>1078</v>
      </c>
      <c r="B1142" s="3"/>
      <c r="C1142" s="3"/>
      <c r="D1142" s="3"/>
      <c r="E1142" s="3"/>
      <c r="F1142" s="3"/>
      <c r="G1142" s="3"/>
      <c r="H1142" s="3"/>
      <c r="I1142" s="21"/>
      <c r="J1142" s="22"/>
      <c r="K1142" s="18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ht="12.75" customHeight="1">
      <c r="A1143" s="19">
        <f t="shared" si="1"/>
        <v>1079</v>
      </c>
      <c r="B1143" s="3"/>
      <c r="C1143" s="3"/>
      <c r="D1143" s="3"/>
      <c r="E1143" s="3"/>
      <c r="F1143" s="3"/>
      <c r="G1143" s="3"/>
      <c r="H1143" s="3"/>
      <c r="I1143" s="21"/>
      <c r="J1143" s="22"/>
      <c r="K1143" s="18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ht="12.75" customHeight="1">
      <c r="A1144" s="19">
        <f t="shared" si="1"/>
        <v>1080</v>
      </c>
      <c r="B1144" s="3"/>
      <c r="C1144" s="3"/>
      <c r="D1144" s="3"/>
      <c r="E1144" s="3"/>
      <c r="F1144" s="3"/>
      <c r="G1144" s="3"/>
      <c r="H1144" s="3"/>
      <c r="I1144" s="21"/>
      <c r="J1144" s="22"/>
      <c r="K1144" s="18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ht="12.75" customHeight="1">
      <c r="A1145" s="19">
        <f t="shared" si="1"/>
        <v>1081</v>
      </c>
      <c r="B1145" s="3"/>
      <c r="C1145" s="3"/>
      <c r="D1145" s="3"/>
      <c r="E1145" s="3"/>
      <c r="F1145" s="3"/>
      <c r="G1145" s="3"/>
      <c r="H1145" s="3"/>
      <c r="I1145" s="21"/>
      <c r="J1145" s="22"/>
      <c r="K1145" s="18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ht="12.75" customHeight="1">
      <c r="A1146" s="19">
        <f t="shared" si="1"/>
        <v>1082</v>
      </c>
      <c r="B1146" s="3"/>
      <c r="C1146" s="3"/>
      <c r="D1146" s="3"/>
      <c r="E1146" s="3"/>
      <c r="F1146" s="3"/>
      <c r="G1146" s="3"/>
      <c r="H1146" s="3"/>
      <c r="I1146" s="21"/>
      <c r="J1146" s="22"/>
      <c r="K1146" s="18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ht="12.75" customHeight="1">
      <c r="A1147" s="19">
        <f t="shared" si="1"/>
        <v>1083</v>
      </c>
      <c r="B1147" s="3"/>
      <c r="C1147" s="3"/>
      <c r="D1147" s="3"/>
      <c r="E1147" s="3"/>
      <c r="F1147" s="3"/>
      <c r="G1147" s="3"/>
      <c r="H1147" s="3"/>
      <c r="I1147" s="21"/>
      <c r="J1147" s="22"/>
      <c r="K1147" s="18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ht="12.75" customHeight="1">
      <c r="A1148" s="19">
        <f t="shared" si="1"/>
        <v>1084</v>
      </c>
      <c r="B1148" s="3"/>
      <c r="C1148" s="3"/>
      <c r="D1148" s="3"/>
      <c r="E1148" s="3"/>
      <c r="F1148" s="3"/>
      <c r="G1148" s="3"/>
      <c r="H1148" s="3"/>
      <c r="I1148" s="21"/>
      <c r="J1148" s="22"/>
      <c r="K1148" s="18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ht="12.75" customHeight="1">
      <c r="A1149" s="19">
        <f t="shared" si="1"/>
        <v>1085</v>
      </c>
      <c r="B1149" s="3"/>
      <c r="C1149" s="3"/>
      <c r="D1149" s="3"/>
      <c r="E1149" s="3"/>
      <c r="F1149" s="3"/>
      <c r="G1149" s="3"/>
      <c r="H1149" s="3"/>
      <c r="I1149" s="21"/>
      <c r="J1149" s="22"/>
      <c r="K1149" s="18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ht="12.75" customHeight="1">
      <c r="A1150" s="19">
        <f t="shared" si="1"/>
        <v>1086</v>
      </c>
      <c r="B1150" s="3"/>
      <c r="C1150" s="3"/>
      <c r="D1150" s="3"/>
      <c r="E1150" s="3"/>
      <c r="F1150" s="3"/>
      <c r="G1150" s="3"/>
      <c r="H1150" s="3"/>
      <c r="I1150" s="21"/>
      <c r="J1150" s="22"/>
      <c r="K1150" s="18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ht="12.75" customHeight="1">
      <c r="A1151" s="19">
        <f t="shared" si="1"/>
        <v>1087</v>
      </c>
      <c r="B1151" s="3"/>
      <c r="C1151" s="3"/>
      <c r="D1151" s="3"/>
      <c r="E1151" s="3"/>
      <c r="F1151" s="3"/>
      <c r="G1151" s="3"/>
      <c r="H1151" s="3"/>
      <c r="I1151" s="21"/>
      <c r="J1151" s="22"/>
      <c r="K1151" s="18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ht="12.75" customHeight="1">
      <c r="A1152" s="19">
        <f t="shared" si="1"/>
        <v>1088</v>
      </c>
      <c r="B1152" s="3"/>
      <c r="C1152" s="3"/>
      <c r="D1152" s="3"/>
      <c r="E1152" s="3"/>
      <c r="F1152" s="3"/>
      <c r="G1152" s="3"/>
      <c r="H1152" s="3"/>
      <c r="I1152" s="21"/>
      <c r="J1152" s="22"/>
      <c r="K1152" s="18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ht="12.75" customHeight="1">
      <c r="A1153" s="19">
        <f t="shared" si="1"/>
        <v>1089</v>
      </c>
      <c r="B1153" s="3"/>
      <c r="C1153" s="3"/>
      <c r="D1153" s="3"/>
      <c r="E1153" s="3"/>
      <c r="F1153" s="3"/>
      <c r="G1153" s="3"/>
      <c r="H1153" s="3"/>
      <c r="I1153" s="21"/>
      <c r="J1153" s="22"/>
      <c r="K1153" s="18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ht="12.75" customHeight="1">
      <c r="A1154" s="19">
        <f t="shared" si="1"/>
        <v>1090</v>
      </c>
      <c r="B1154" s="3"/>
      <c r="C1154" s="3"/>
      <c r="D1154" s="3"/>
      <c r="E1154" s="3"/>
      <c r="F1154" s="3"/>
      <c r="G1154" s="3"/>
      <c r="H1154" s="3"/>
      <c r="I1154" s="21"/>
      <c r="J1154" s="22"/>
      <c r="K1154" s="18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ht="12.75" customHeight="1">
      <c r="A1155" s="19">
        <f t="shared" si="1"/>
        <v>1091</v>
      </c>
      <c r="B1155" s="3"/>
      <c r="C1155" s="3"/>
      <c r="D1155" s="3"/>
      <c r="E1155" s="3"/>
      <c r="F1155" s="3"/>
      <c r="G1155" s="3"/>
      <c r="H1155" s="3"/>
      <c r="I1155" s="21"/>
      <c r="J1155" s="22"/>
      <c r="K1155" s="18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ht="12.75" customHeight="1">
      <c r="A1156" s="19">
        <f t="shared" si="1"/>
        <v>1092</v>
      </c>
      <c r="B1156" s="3"/>
      <c r="C1156" s="3"/>
      <c r="D1156" s="3"/>
      <c r="E1156" s="3"/>
      <c r="F1156" s="3"/>
      <c r="G1156" s="3"/>
      <c r="H1156" s="3"/>
      <c r="I1156" s="21"/>
      <c r="J1156" s="22"/>
      <c r="K1156" s="18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ht="12.75" customHeight="1">
      <c r="A1157" s="19">
        <f t="shared" si="1"/>
        <v>1093</v>
      </c>
      <c r="B1157" s="3"/>
      <c r="C1157" s="3"/>
      <c r="D1157" s="3"/>
      <c r="E1157" s="3"/>
      <c r="F1157" s="3"/>
      <c r="G1157" s="3"/>
      <c r="H1157" s="3"/>
      <c r="I1157" s="21"/>
      <c r="J1157" s="22"/>
      <c r="K1157" s="18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ht="12.75" customHeight="1">
      <c r="A1158" s="19">
        <f t="shared" si="1"/>
        <v>1094</v>
      </c>
      <c r="B1158" s="3"/>
      <c r="C1158" s="3"/>
      <c r="D1158" s="3"/>
      <c r="E1158" s="3"/>
      <c r="F1158" s="3"/>
      <c r="G1158" s="3"/>
      <c r="H1158" s="3"/>
      <c r="I1158" s="21"/>
      <c r="J1158" s="22"/>
      <c r="K1158" s="18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ht="12.75" customHeight="1">
      <c r="A1159" s="19">
        <f t="shared" si="1"/>
        <v>1095</v>
      </c>
      <c r="B1159" s="3"/>
      <c r="C1159" s="3"/>
      <c r="D1159" s="3"/>
      <c r="E1159" s="3"/>
      <c r="F1159" s="3"/>
      <c r="G1159" s="3"/>
      <c r="H1159" s="3"/>
      <c r="I1159" s="21"/>
      <c r="J1159" s="22"/>
      <c r="K1159" s="18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ht="12.75" customHeight="1">
      <c r="A1160" s="19">
        <f t="shared" si="1"/>
        <v>1096</v>
      </c>
      <c r="B1160" s="3"/>
      <c r="C1160" s="3"/>
      <c r="D1160" s="3"/>
      <c r="E1160" s="3"/>
      <c r="F1160" s="3"/>
      <c r="G1160" s="3"/>
      <c r="H1160" s="3"/>
      <c r="I1160" s="21"/>
      <c r="J1160" s="22"/>
      <c r="K1160" s="18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ht="12.75" customHeight="1">
      <c r="A1161" s="19">
        <f t="shared" si="1"/>
        <v>1097</v>
      </c>
      <c r="B1161" s="3"/>
      <c r="C1161" s="3"/>
      <c r="D1161" s="3"/>
      <c r="E1161" s="3"/>
      <c r="F1161" s="3"/>
      <c r="G1161" s="3"/>
      <c r="H1161" s="3"/>
      <c r="I1161" s="21"/>
      <c r="J1161" s="22"/>
      <c r="K1161" s="18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ht="12.75" customHeight="1">
      <c r="A1162" s="19">
        <f t="shared" si="1"/>
        <v>1098</v>
      </c>
      <c r="B1162" s="3"/>
      <c r="C1162" s="3"/>
      <c r="D1162" s="3"/>
      <c r="E1162" s="3"/>
      <c r="F1162" s="3"/>
      <c r="G1162" s="3"/>
      <c r="H1162" s="3"/>
      <c r="I1162" s="21"/>
      <c r="J1162" s="22"/>
      <c r="K1162" s="18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ht="12.75" customHeight="1">
      <c r="A1163" s="19">
        <f t="shared" si="1"/>
        <v>1099</v>
      </c>
      <c r="B1163" s="3"/>
      <c r="C1163" s="3"/>
      <c r="D1163" s="3"/>
      <c r="E1163" s="3"/>
      <c r="F1163" s="3"/>
      <c r="G1163" s="3"/>
      <c r="H1163" s="3"/>
      <c r="I1163" s="21"/>
      <c r="J1163" s="22"/>
      <c r="K1163" s="18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2.75" customHeight="1">
      <c r="A1164" s="19">
        <f t="shared" si="1"/>
        <v>1100</v>
      </c>
      <c r="B1164" s="3"/>
      <c r="C1164" s="3"/>
      <c r="D1164" s="3"/>
      <c r="E1164" s="3"/>
      <c r="F1164" s="3"/>
      <c r="G1164" s="3"/>
      <c r="H1164" s="3"/>
      <c r="I1164" s="21"/>
      <c r="J1164" s="22"/>
      <c r="K1164" s="18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ht="12.75" customHeight="1">
      <c r="A1165" s="19">
        <f t="shared" si="1"/>
        <v>1101</v>
      </c>
      <c r="B1165" s="3"/>
      <c r="C1165" s="3"/>
      <c r="D1165" s="3"/>
      <c r="E1165" s="3"/>
      <c r="F1165" s="3"/>
      <c r="G1165" s="3"/>
      <c r="H1165" s="3"/>
      <c r="I1165" s="21"/>
      <c r="J1165" s="22"/>
      <c r="K1165" s="18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ht="12.75" customHeight="1">
      <c r="A1166" s="19">
        <f t="shared" si="1"/>
        <v>1102</v>
      </c>
      <c r="B1166" s="3"/>
      <c r="C1166" s="3"/>
      <c r="D1166" s="3"/>
      <c r="E1166" s="3"/>
      <c r="F1166" s="3"/>
      <c r="G1166" s="3"/>
      <c r="H1166" s="3"/>
      <c r="I1166" s="21"/>
      <c r="J1166" s="22"/>
      <c r="K1166" s="18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ht="12.75" customHeight="1">
      <c r="A1167" s="19">
        <f t="shared" si="1"/>
        <v>1103</v>
      </c>
      <c r="B1167" s="3"/>
      <c r="C1167" s="3"/>
      <c r="D1167" s="3"/>
      <c r="E1167" s="3"/>
      <c r="F1167" s="3"/>
      <c r="G1167" s="3"/>
      <c r="H1167" s="3"/>
      <c r="I1167" s="21"/>
      <c r="J1167" s="22"/>
      <c r="K1167" s="18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ht="12.75" customHeight="1">
      <c r="A1168" s="19">
        <f t="shared" si="1"/>
        <v>1104</v>
      </c>
      <c r="B1168" s="3"/>
      <c r="C1168" s="3"/>
      <c r="D1168" s="3"/>
      <c r="E1168" s="3"/>
      <c r="F1168" s="3"/>
      <c r="G1168" s="3"/>
      <c r="H1168" s="3"/>
      <c r="I1168" s="21"/>
      <c r="J1168" s="22"/>
      <c r="K1168" s="18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ht="12.75" customHeight="1">
      <c r="A1169" s="19">
        <f t="shared" si="1"/>
        <v>1105</v>
      </c>
      <c r="B1169" s="3"/>
      <c r="C1169" s="3"/>
      <c r="D1169" s="3"/>
      <c r="E1169" s="3"/>
      <c r="F1169" s="3"/>
      <c r="G1169" s="3"/>
      <c r="H1169" s="3"/>
      <c r="I1169" s="21"/>
      <c r="J1169" s="22"/>
      <c r="K1169" s="18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ht="12.75" customHeight="1">
      <c r="A1170" s="19">
        <f t="shared" si="1"/>
        <v>1106</v>
      </c>
      <c r="B1170" s="3"/>
      <c r="C1170" s="3"/>
      <c r="D1170" s="3"/>
      <c r="E1170" s="3"/>
      <c r="F1170" s="3"/>
      <c r="G1170" s="3"/>
      <c r="H1170" s="3"/>
      <c r="I1170" s="21"/>
      <c r="J1170" s="22"/>
      <c r="K1170" s="18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ht="12.75" customHeight="1">
      <c r="A1171" s="19">
        <f t="shared" si="1"/>
        <v>1107</v>
      </c>
      <c r="B1171" s="3"/>
      <c r="C1171" s="3"/>
      <c r="D1171" s="3"/>
      <c r="E1171" s="3"/>
      <c r="F1171" s="3"/>
      <c r="G1171" s="3"/>
      <c r="H1171" s="3"/>
      <c r="I1171" s="21"/>
      <c r="J1171" s="22"/>
      <c r="K1171" s="18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ht="12.75" customHeight="1">
      <c r="A1172" s="19">
        <f t="shared" si="1"/>
        <v>1108</v>
      </c>
      <c r="B1172" s="3"/>
      <c r="C1172" s="3"/>
      <c r="D1172" s="3"/>
      <c r="E1172" s="3"/>
      <c r="F1172" s="3"/>
      <c r="G1172" s="3"/>
      <c r="H1172" s="3"/>
      <c r="I1172" s="21"/>
      <c r="J1172" s="22"/>
      <c r="K1172" s="18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ht="12.75" customHeight="1">
      <c r="A1173" s="19">
        <f t="shared" si="1"/>
        <v>1109</v>
      </c>
      <c r="B1173" s="3"/>
      <c r="C1173" s="3"/>
      <c r="D1173" s="3"/>
      <c r="E1173" s="3"/>
      <c r="F1173" s="3"/>
      <c r="G1173" s="3"/>
      <c r="H1173" s="3"/>
      <c r="I1173" s="21"/>
      <c r="J1173" s="22"/>
      <c r="K1173" s="18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ht="12.75" customHeight="1">
      <c r="A1174" s="19">
        <f t="shared" si="1"/>
        <v>1110</v>
      </c>
      <c r="B1174" s="3"/>
      <c r="C1174" s="3"/>
      <c r="D1174" s="3"/>
      <c r="E1174" s="3"/>
      <c r="F1174" s="3"/>
      <c r="G1174" s="3"/>
      <c r="H1174" s="3"/>
      <c r="I1174" s="21"/>
      <c r="J1174" s="22"/>
      <c r="K1174" s="18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ht="12.75" customHeight="1">
      <c r="A1175" s="19">
        <f t="shared" si="1"/>
        <v>1111</v>
      </c>
      <c r="B1175" s="3"/>
      <c r="C1175" s="3"/>
      <c r="D1175" s="3"/>
      <c r="E1175" s="3"/>
      <c r="F1175" s="3"/>
      <c r="G1175" s="3"/>
      <c r="H1175" s="3"/>
      <c r="I1175" s="21"/>
      <c r="J1175" s="22"/>
      <c r="K1175" s="18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ht="12.75" customHeight="1">
      <c r="A1176" s="19">
        <f t="shared" si="1"/>
        <v>1112</v>
      </c>
      <c r="B1176" s="3"/>
      <c r="C1176" s="3"/>
      <c r="D1176" s="3"/>
      <c r="E1176" s="3"/>
      <c r="F1176" s="3"/>
      <c r="G1176" s="3"/>
      <c r="H1176" s="3"/>
      <c r="I1176" s="21"/>
      <c r="J1176" s="22"/>
      <c r="K1176" s="18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ht="12.75" customHeight="1">
      <c r="A1177" s="19">
        <f t="shared" si="1"/>
        <v>1113</v>
      </c>
      <c r="B1177" s="3"/>
      <c r="C1177" s="3"/>
      <c r="D1177" s="3"/>
      <c r="E1177" s="3"/>
      <c r="F1177" s="3"/>
      <c r="G1177" s="3"/>
      <c r="H1177" s="3"/>
      <c r="I1177" s="21"/>
      <c r="J1177" s="22"/>
      <c r="K1177" s="18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ht="12.75" customHeight="1">
      <c r="A1178" s="19">
        <f t="shared" si="1"/>
        <v>1114</v>
      </c>
      <c r="B1178" s="3"/>
      <c r="C1178" s="3"/>
      <c r="D1178" s="3"/>
      <c r="E1178" s="3"/>
      <c r="F1178" s="3"/>
      <c r="G1178" s="3"/>
      <c r="H1178" s="3"/>
      <c r="I1178" s="21"/>
      <c r="J1178" s="22"/>
      <c r="K1178" s="18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ht="12.75" customHeight="1">
      <c r="A1179" s="19">
        <f t="shared" si="1"/>
        <v>1115</v>
      </c>
      <c r="B1179" s="3"/>
      <c r="C1179" s="3"/>
      <c r="D1179" s="3"/>
      <c r="E1179" s="3"/>
      <c r="F1179" s="3"/>
      <c r="G1179" s="3"/>
      <c r="H1179" s="3"/>
      <c r="I1179" s="21"/>
      <c r="J1179" s="22"/>
      <c r="K1179" s="18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ht="12.75" customHeight="1">
      <c r="A1180" s="19">
        <f t="shared" si="1"/>
        <v>1116</v>
      </c>
      <c r="B1180" s="3"/>
      <c r="C1180" s="3"/>
      <c r="D1180" s="3"/>
      <c r="E1180" s="3"/>
      <c r="F1180" s="3"/>
      <c r="G1180" s="3"/>
      <c r="H1180" s="3"/>
      <c r="I1180" s="21"/>
      <c r="J1180" s="22"/>
      <c r="K1180" s="18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ht="12.75" customHeight="1">
      <c r="A1181" s="19">
        <f t="shared" si="1"/>
        <v>1117</v>
      </c>
      <c r="B1181" s="3"/>
      <c r="C1181" s="3"/>
      <c r="D1181" s="3"/>
      <c r="E1181" s="3"/>
      <c r="F1181" s="3"/>
      <c r="G1181" s="3"/>
      <c r="H1181" s="3"/>
      <c r="I1181" s="21"/>
      <c r="J1181" s="22"/>
      <c r="K1181" s="18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ht="12.75" customHeight="1">
      <c r="A1182" s="19">
        <f t="shared" si="1"/>
        <v>1118</v>
      </c>
      <c r="B1182" s="3"/>
      <c r="C1182" s="3"/>
      <c r="D1182" s="3"/>
      <c r="E1182" s="3"/>
      <c r="F1182" s="3"/>
      <c r="G1182" s="3"/>
      <c r="H1182" s="3"/>
      <c r="I1182" s="21"/>
      <c r="J1182" s="22"/>
      <c r="K1182" s="18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ht="12.75" customHeight="1">
      <c r="A1183" s="19">
        <f t="shared" si="1"/>
        <v>1119</v>
      </c>
      <c r="B1183" s="3"/>
      <c r="C1183" s="3"/>
      <c r="D1183" s="3"/>
      <c r="E1183" s="3"/>
      <c r="F1183" s="3"/>
      <c r="G1183" s="3"/>
      <c r="H1183" s="3"/>
      <c r="I1183" s="21"/>
      <c r="J1183" s="22"/>
      <c r="K1183" s="18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ht="12.75" customHeight="1">
      <c r="A1184" s="19">
        <f t="shared" si="1"/>
        <v>1120</v>
      </c>
      <c r="B1184" s="3"/>
      <c r="C1184" s="3"/>
      <c r="D1184" s="3"/>
      <c r="E1184" s="3"/>
      <c r="F1184" s="3"/>
      <c r="G1184" s="3"/>
      <c r="H1184" s="3"/>
      <c r="I1184" s="21"/>
      <c r="J1184" s="22"/>
      <c r="K1184" s="18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ht="12.75" customHeight="1">
      <c r="A1185" s="19">
        <f t="shared" si="1"/>
        <v>1121</v>
      </c>
      <c r="B1185" s="3"/>
      <c r="C1185" s="3"/>
      <c r="D1185" s="3"/>
      <c r="E1185" s="3"/>
      <c r="F1185" s="3"/>
      <c r="G1185" s="3"/>
      <c r="H1185" s="3"/>
      <c r="I1185" s="21"/>
      <c r="J1185" s="22"/>
      <c r="K1185" s="18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ht="12.75" customHeight="1">
      <c r="A1186" s="19">
        <f t="shared" si="1"/>
        <v>1122</v>
      </c>
      <c r="B1186" s="3"/>
      <c r="C1186" s="3"/>
      <c r="D1186" s="3"/>
      <c r="E1186" s="3"/>
      <c r="F1186" s="3"/>
      <c r="G1186" s="3"/>
      <c r="H1186" s="3"/>
      <c r="I1186" s="21"/>
      <c r="J1186" s="22"/>
      <c r="K1186" s="18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ht="12.75" customHeight="1">
      <c r="A1187" s="19">
        <f t="shared" si="1"/>
        <v>1123</v>
      </c>
      <c r="B1187" s="3"/>
      <c r="C1187" s="3"/>
      <c r="D1187" s="3"/>
      <c r="E1187" s="3"/>
      <c r="F1187" s="3"/>
      <c r="G1187" s="3"/>
      <c r="H1187" s="3"/>
      <c r="I1187" s="21"/>
      <c r="J1187" s="22"/>
      <c r="K1187" s="18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ht="12.75" customHeight="1">
      <c r="A1188" s="19">
        <f t="shared" si="1"/>
        <v>1124</v>
      </c>
      <c r="B1188" s="3"/>
      <c r="C1188" s="3"/>
      <c r="D1188" s="3"/>
      <c r="E1188" s="3"/>
      <c r="F1188" s="3"/>
      <c r="G1188" s="3"/>
      <c r="H1188" s="3"/>
      <c r="I1188" s="21"/>
      <c r="J1188" s="22"/>
      <c r="K1188" s="18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ht="12.75" customHeight="1">
      <c r="A1189" s="19">
        <f t="shared" si="1"/>
        <v>1125</v>
      </c>
      <c r="B1189" s="3"/>
      <c r="C1189" s="3"/>
      <c r="D1189" s="3"/>
      <c r="E1189" s="3"/>
      <c r="F1189" s="3"/>
      <c r="G1189" s="3"/>
      <c r="H1189" s="3"/>
      <c r="I1189" s="21"/>
      <c r="J1189" s="22"/>
      <c r="K1189" s="18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ht="12.75" customHeight="1">
      <c r="A1190" s="19">
        <f t="shared" si="1"/>
        <v>1126</v>
      </c>
      <c r="B1190" s="3"/>
      <c r="C1190" s="3"/>
      <c r="D1190" s="3"/>
      <c r="E1190" s="3"/>
      <c r="F1190" s="3"/>
      <c r="G1190" s="3"/>
      <c r="H1190" s="3"/>
      <c r="I1190" s="21"/>
      <c r="J1190" s="22"/>
      <c r="K1190" s="18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ht="12.75" customHeight="1">
      <c r="A1191" s="19">
        <f t="shared" si="1"/>
        <v>1127</v>
      </c>
      <c r="B1191" s="3"/>
      <c r="C1191" s="3"/>
      <c r="D1191" s="3"/>
      <c r="E1191" s="3"/>
      <c r="F1191" s="3"/>
      <c r="G1191" s="3"/>
      <c r="H1191" s="3"/>
      <c r="I1191" s="21"/>
      <c r="J1191" s="22"/>
      <c r="K1191" s="18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ht="12.75" customHeight="1">
      <c r="A1192" s="19">
        <f t="shared" si="1"/>
        <v>1128</v>
      </c>
      <c r="B1192" s="3"/>
      <c r="C1192" s="3"/>
      <c r="D1192" s="3"/>
      <c r="E1192" s="3"/>
      <c r="F1192" s="3"/>
      <c r="G1192" s="3"/>
      <c r="H1192" s="3"/>
      <c r="I1192" s="21"/>
      <c r="J1192" s="22"/>
      <c r="K1192" s="18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2.75" customHeight="1">
      <c r="A1193" s="19">
        <f t="shared" si="1"/>
        <v>1129</v>
      </c>
      <c r="B1193" s="3"/>
      <c r="C1193" s="3"/>
      <c r="D1193" s="3"/>
      <c r="E1193" s="3"/>
      <c r="F1193" s="3"/>
      <c r="G1193" s="3"/>
      <c r="H1193" s="3"/>
      <c r="I1193" s="21"/>
      <c r="J1193" s="22"/>
      <c r="K1193" s="18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ht="12.75" customHeight="1">
      <c r="A1194" s="19">
        <f t="shared" si="1"/>
        <v>1130</v>
      </c>
      <c r="B1194" s="3"/>
      <c r="C1194" s="3"/>
      <c r="D1194" s="3"/>
      <c r="E1194" s="3"/>
      <c r="F1194" s="3"/>
      <c r="G1194" s="3"/>
      <c r="H1194" s="3"/>
      <c r="I1194" s="21"/>
      <c r="J1194" s="22"/>
      <c r="K1194" s="18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ht="12.75" customHeight="1">
      <c r="A1195" s="19">
        <f t="shared" si="1"/>
        <v>1131</v>
      </c>
      <c r="B1195" s="3"/>
      <c r="C1195" s="3"/>
      <c r="D1195" s="3"/>
      <c r="E1195" s="3"/>
      <c r="F1195" s="3"/>
      <c r="G1195" s="3"/>
      <c r="H1195" s="3"/>
      <c r="I1195" s="21"/>
      <c r="J1195" s="22"/>
      <c r="K1195" s="18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ht="12.75" customHeight="1">
      <c r="A1196" s="19">
        <f t="shared" si="1"/>
        <v>1132</v>
      </c>
      <c r="B1196" s="3"/>
      <c r="C1196" s="3"/>
      <c r="D1196" s="3"/>
      <c r="E1196" s="3"/>
      <c r="F1196" s="3"/>
      <c r="G1196" s="3"/>
      <c r="H1196" s="3"/>
      <c r="I1196" s="21"/>
      <c r="J1196" s="22"/>
      <c r="K1196" s="18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ht="12.75" customHeight="1">
      <c r="A1197" s="19">
        <f t="shared" si="1"/>
        <v>1133</v>
      </c>
      <c r="B1197" s="3"/>
      <c r="C1197" s="3"/>
      <c r="D1197" s="3"/>
      <c r="E1197" s="3"/>
      <c r="F1197" s="3"/>
      <c r="G1197" s="3"/>
      <c r="H1197" s="3"/>
      <c r="I1197" s="21"/>
      <c r="J1197" s="22"/>
      <c r="K1197" s="18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ht="12.75" customHeight="1">
      <c r="A1198" s="19">
        <f t="shared" si="1"/>
        <v>1134</v>
      </c>
      <c r="B1198" s="3"/>
      <c r="C1198" s="3"/>
      <c r="D1198" s="3"/>
      <c r="E1198" s="3"/>
      <c r="F1198" s="3"/>
      <c r="G1198" s="3"/>
      <c r="H1198" s="3"/>
      <c r="I1198" s="21"/>
      <c r="J1198" s="22"/>
      <c r="K1198" s="18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ht="12.75" customHeight="1">
      <c r="A1199" s="19">
        <f t="shared" si="1"/>
        <v>1135</v>
      </c>
      <c r="B1199" s="3"/>
      <c r="C1199" s="3"/>
      <c r="D1199" s="3"/>
      <c r="E1199" s="3"/>
      <c r="F1199" s="3"/>
      <c r="G1199" s="3"/>
      <c r="H1199" s="3"/>
      <c r="I1199" s="21"/>
      <c r="J1199" s="22"/>
      <c r="K1199" s="18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ht="12.75" customHeight="1">
      <c r="A1200" s="19">
        <f t="shared" si="1"/>
        <v>1136</v>
      </c>
      <c r="B1200" s="3"/>
      <c r="C1200" s="3"/>
      <c r="D1200" s="3"/>
      <c r="E1200" s="3"/>
      <c r="F1200" s="3"/>
      <c r="G1200" s="3"/>
      <c r="H1200" s="3"/>
      <c r="I1200" s="21"/>
      <c r="J1200" s="22"/>
      <c r="K1200" s="18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ht="12.75" customHeight="1">
      <c r="A1201" s="19">
        <f t="shared" si="1"/>
        <v>1137</v>
      </c>
      <c r="B1201" s="3"/>
      <c r="C1201" s="3"/>
      <c r="D1201" s="3"/>
      <c r="E1201" s="3"/>
      <c r="F1201" s="3"/>
      <c r="G1201" s="3"/>
      <c r="H1201" s="3"/>
      <c r="I1201" s="21"/>
      <c r="J1201" s="22"/>
      <c r="K1201" s="18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ht="12.75" customHeight="1">
      <c r="A1202" s="19">
        <f t="shared" si="1"/>
        <v>1138</v>
      </c>
      <c r="B1202" s="3"/>
      <c r="C1202" s="3"/>
      <c r="D1202" s="3"/>
      <c r="E1202" s="3"/>
      <c r="F1202" s="3"/>
      <c r="G1202" s="3"/>
      <c r="H1202" s="3"/>
      <c r="I1202" s="21"/>
      <c r="J1202" s="22"/>
      <c r="K1202" s="18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ht="12.75" customHeight="1">
      <c r="A1203" s="19">
        <f t="shared" si="1"/>
        <v>1139</v>
      </c>
      <c r="B1203" s="3"/>
      <c r="C1203" s="3"/>
      <c r="D1203" s="3"/>
      <c r="E1203" s="3"/>
      <c r="F1203" s="3"/>
      <c r="G1203" s="3"/>
      <c r="H1203" s="3"/>
      <c r="I1203" s="21"/>
      <c r="J1203" s="22"/>
      <c r="K1203" s="18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ht="12.75" customHeight="1">
      <c r="A1204" s="19">
        <f t="shared" si="1"/>
        <v>1140</v>
      </c>
      <c r="B1204" s="3"/>
      <c r="C1204" s="3"/>
      <c r="D1204" s="3"/>
      <c r="E1204" s="3"/>
      <c r="F1204" s="3"/>
      <c r="G1204" s="3"/>
      <c r="H1204" s="3"/>
      <c r="I1204" s="21"/>
      <c r="J1204" s="22"/>
      <c r="K1204" s="18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ht="12.75" customHeight="1">
      <c r="A1205" s="19">
        <f t="shared" si="1"/>
        <v>1141</v>
      </c>
      <c r="B1205" s="3"/>
      <c r="C1205" s="3"/>
      <c r="D1205" s="3"/>
      <c r="E1205" s="3"/>
      <c r="F1205" s="3"/>
      <c r="G1205" s="3"/>
      <c r="H1205" s="3"/>
      <c r="I1205" s="21"/>
      <c r="J1205" s="22"/>
      <c r="K1205" s="18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ht="12.75" customHeight="1">
      <c r="A1206" s="19">
        <f t="shared" si="1"/>
        <v>1142</v>
      </c>
      <c r="B1206" s="3"/>
      <c r="C1206" s="3"/>
      <c r="D1206" s="3"/>
      <c r="E1206" s="3"/>
      <c r="F1206" s="3"/>
      <c r="G1206" s="3"/>
      <c r="H1206" s="3"/>
      <c r="I1206" s="21"/>
      <c r="J1206" s="22"/>
      <c r="K1206" s="18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ht="12.75" customHeight="1">
      <c r="A1207" s="19">
        <f t="shared" si="1"/>
        <v>1143</v>
      </c>
      <c r="B1207" s="3"/>
      <c r="C1207" s="3"/>
      <c r="D1207" s="3"/>
      <c r="E1207" s="3"/>
      <c r="F1207" s="3"/>
      <c r="G1207" s="3"/>
      <c r="H1207" s="3"/>
      <c r="I1207" s="21"/>
      <c r="J1207" s="22"/>
      <c r="K1207" s="18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ht="12.75" customHeight="1">
      <c r="A1208" s="19">
        <f t="shared" si="1"/>
        <v>1144</v>
      </c>
      <c r="B1208" s="3"/>
      <c r="C1208" s="3"/>
      <c r="D1208" s="3"/>
      <c r="E1208" s="3"/>
      <c r="F1208" s="3"/>
      <c r="G1208" s="3"/>
      <c r="H1208" s="3"/>
      <c r="I1208" s="21"/>
      <c r="J1208" s="22"/>
      <c r="K1208" s="18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ht="12.75" customHeight="1">
      <c r="A1209" s="19">
        <f t="shared" si="1"/>
        <v>1145</v>
      </c>
      <c r="B1209" s="3"/>
      <c r="C1209" s="3"/>
      <c r="D1209" s="3"/>
      <c r="E1209" s="3"/>
      <c r="F1209" s="3"/>
      <c r="G1209" s="3"/>
      <c r="H1209" s="3"/>
      <c r="I1209" s="21"/>
      <c r="J1209" s="22"/>
      <c r="K1209" s="18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ht="12.75" customHeight="1">
      <c r="A1210" s="19">
        <f t="shared" si="1"/>
        <v>1146</v>
      </c>
      <c r="B1210" s="3"/>
      <c r="C1210" s="3"/>
      <c r="D1210" s="3"/>
      <c r="E1210" s="3"/>
      <c r="F1210" s="3"/>
      <c r="G1210" s="3"/>
      <c r="H1210" s="3"/>
      <c r="I1210" s="21"/>
      <c r="J1210" s="22"/>
      <c r="K1210" s="18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ht="12.75" customHeight="1">
      <c r="A1211" s="19">
        <f t="shared" si="1"/>
        <v>1147</v>
      </c>
      <c r="B1211" s="3"/>
      <c r="C1211" s="3"/>
      <c r="D1211" s="3"/>
      <c r="E1211" s="3"/>
      <c r="F1211" s="3"/>
      <c r="G1211" s="3"/>
      <c r="H1211" s="3"/>
      <c r="I1211" s="21"/>
      <c r="J1211" s="22"/>
      <c r="K1211" s="18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ht="12.75" customHeight="1">
      <c r="A1212" s="19">
        <f t="shared" si="1"/>
        <v>1148</v>
      </c>
      <c r="B1212" s="3"/>
      <c r="C1212" s="3"/>
      <c r="D1212" s="3"/>
      <c r="E1212" s="3"/>
      <c r="F1212" s="3"/>
      <c r="G1212" s="3"/>
      <c r="H1212" s="3"/>
      <c r="I1212" s="21"/>
      <c r="J1212" s="22"/>
      <c r="K1212" s="18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ht="12.75" customHeight="1">
      <c r="A1213" s="19">
        <f t="shared" si="1"/>
        <v>1149</v>
      </c>
      <c r="B1213" s="3"/>
      <c r="C1213" s="3"/>
      <c r="D1213" s="3"/>
      <c r="E1213" s="3"/>
      <c r="F1213" s="3"/>
      <c r="G1213" s="3"/>
      <c r="H1213" s="3"/>
      <c r="I1213" s="21"/>
      <c r="J1213" s="22"/>
      <c r="K1213" s="18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ht="12.75" customHeight="1">
      <c r="A1214" s="19">
        <f t="shared" si="1"/>
        <v>1150</v>
      </c>
      <c r="B1214" s="3"/>
      <c r="C1214" s="3"/>
      <c r="D1214" s="3"/>
      <c r="E1214" s="3"/>
      <c r="F1214" s="3"/>
      <c r="G1214" s="3"/>
      <c r="H1214" s="3"/>
      <c r="I1214" s="21"/>
      <c r="J1214" s="22"/>
      <c r="K1214" s="18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ht="12.75" customHeight="1">
      <c r="A1215" s="19">
        <f t="shared" si="1"/>
        <v>1151</v>
      </c>
      <c r="B1215" s="3"/>
      <c r="C1215" s="3"/>
      <c r="D1215" s="3"/>
      <c r="E1215" s="3"/>
      <c r="F1215" s="3"/>
      <c r="G1215" s="3"/>
      <c r="H1215" s="3"/>
      <c r="I1215" s="21"/>
      <c r="J1215" s="22"/>
      <c r="K1215" s="18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ht="12.75" customHeight="1">
      <c r="A1216" s="19">
        <f t="shared" si="1"/>
        <v>1152</v>
      </c>
      <c r="B1216" s="3"/>
      <c r="C1216" s="3"/>
      <c r="D1216" s="3"/>
      <c r="E1216" s="3"/>
      <c r="F1216" s="3"/>
      <c r="G1216" s="3"/>
      <c r="H1216" s="3"/>
      <c r="I1216" s="21"/>
      <c r="J1216" s="22"/>
      <c r="K1216" s="18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ht="12.75" customHeight="1">
      <c r="A1217" s="19">
        <f t="shared" si="1"/>
        <v>1153</v>
      </c>
      <c r="B1217" s="3"/>
      <c r="C1217" s="3"/>
      <c r="D1217" s="3"/>
      <c r="E1217" s="3"/>
      <c r="F1217" s="3"/>
      <c r="G1217" s="3"/>
      <c r="H1217" s="3"/>
      <c r="I1217" s="21"/>
      <c r="J1217" s="22"/>
      <c r="K1217" s="18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ht="12.75" customHeight="1">
      <c r="A1218" s="19">
        <f t="shared" si="1"/>
        <v>1154</v>
      </c>
      <c r="B1218" s="3"/>
      <c r="C1218" s="3"/>
      <c r="D1218" s="3"/>
      <c r="E1218" s="3"/>
      <c r="F1218" s="3"/>
      <c r="G1218" s="3"/>
      <c r="H1218" s="3"/>
      <c r="I1218" s="21"/>
      <c r="J1218" s="22"/>
      <c r="K1218" s="18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ht="12.75" customHeight="1">
      <c r="A1219" s="19">
        <f t="shared" si="1"/>
        <v>1155</v>
      </c>
      <c r="B1219" s="3"/>
      <c r="C1219" s="3"/>
      <c r="D1219" s="3"/>
      <c r="E1219" s="3"/>
      <c r="F1219" s="3"/>
      <c r="G1219" s="3"/>
      <c r="H1219" s="3"/>
      <c r="I1219" s="21"/>
      <c r="J1219" s="22"/>
      <c r="K1219" s="18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ht="12.75" customHeight="1">
      <c r="A1220" s="19">
        <f t="shared" si="1"/>
        <v>1156</v>
      </c>
      <c r="B1220" s="3"/>
      <c r="C1220" s="3"/>
      <c r="D1220" s="3"/>
      <c r="E1220" s="3"/>
      <c r="F1220" s="3"/>
      <c r="G1220" s="3"/>
      <c r="H1220" s="3"/>
      <c r="I1220" s="21"/>
      <c r="J1220" s="22"/>
      <c r="K1220" s="18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ht="12.75" customHeight="1">
      <c r="A1221" s="19">
        <f t="shared" si="1"/>
        <v>1157</v>
      </c>
      <c r="B1221" s="3"/>
      <c r="C1221" s="3"/>
      <c r="D1221" s="3"/>
      <c r="E1221" s="3"/>
      <c r="F1221" s="3"/>
      <c r="G1221" s="3"/>
      <c r="H1221" s="3"/>
      <c r="I1221" s="21"/>
      <c r="J1221" s="22"/>
      <c r="K1221" s="18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2.75" customHeight="1">
      <c r="A1222" s="19">
        <f t="shared" si="1"/>
        <v>1158</v>
      </c>
      <c r="B1222" s="3"/>
      <c r="C1222" s="3"/>
      <c r="D1222" s="3"/>
      <c r="E1222" s="3"/>
      <c r="F1222" s="3"/>
      <c r="G1222" s="3"/>
      <c r="H1222" s="3"/>
      <c r="I1222" s="21"/>
      <c r="J1222" s="22"/>
      <c r="K1222" s="18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ht="12.75" customHeight="1">
      <c r="A1223" s="19">
        <f t="shared" si="1"/>
        <v>1159</v>
      </c>
      <c r="B1223" s="3"/>
      <c r="C1223" s="3"/>
      <c r="D1223" s="3"/>
      <c r="E1223" s="3"/>
      <c r="F1223" s="3"/>
      <c r="G1223" s="3"/>
      <c r="H1223" s="3"/>
      <c r="I1223" s="21"/>
      <c r="J1223" s="22"/>
      <c r="K1223" s="18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ht="12.75" customHeight="1">
      <c r="A1224" s="19">
        <f t="shared" si="1"/>
        <v>1160</v>
      </c>
      <c r="B1224" s="3"/>
      <c r="C1224" s="3"/>
      <c r="D1224" s="3"/>
      <c r="E1224" s="3"/>
      <c r="F1224" s="3"/>
      <c r="G1224" s="3"/>
      <c r="H1224" s="3"/>
      <c r="I1224" s="21"/>
      <c r="J1224" s="22"/>
      <c r="K1224" s="18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ht="12.75" customHeight="1">
      <c r="A1225" s="19">
        <f t="shared" si="1"/>
        <v>1161</v>
      </c>
      <c r="B1225" s="3"/>
      <c r="C1225" s="3"/>
      <c r="D1225" s="3"/>
      <c r="E1225" s="3"/>
      <c r="F1225" s="3"/>
      <c r="G1225" s="3"/>
      <c r="H1225" s="3"/>
      <c r="I1225" s="21"/>
      <c r="J1225" s="22"/>
      <c r="K1225" s="18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ht="12.75" customHeight="1">
      <c r="A1226" s="19">
        <f t="shared" si="1"/>
        <v>1162</v>
      </c>
      <c r="B1226" s="3"/>
      <c r="C1226" s="3"/>
      <c r="D1226" s="3"/>
      <c r="E1226" s="3"/>
      <c r="F1226" s="3"/>
      <c r="G1226" s="3"/>
      <c r="H1226" s="3"/>
      <c r="I1226" s="21"/>
      <c r="J1226" s="22"/>
      <c r="K1226" s="18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ht="12.75" customHeight="1">
      <c r="A1227" s="19">
        <f t="shared" si="1"/>
        <v>1163</v>
      </c>
      <c r="B1227" s="3"/>
      <c r="C1227" s="3"/>
      <c r="D1227" s="3"/>
      <c r="E1227" s="3"/>
      <c r="F1227" s="3"/>
      <c r="G1227" s="3"/>
      <c r="H1227" s="3"/>
      <c r="I1227" s="21"/>
      <c r="J1227" s="22"/>
      <c r="K1227" s="18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ht="12.75" customHeight="1">
      <c r="A1228" s="19">
        <f t="shared" si="1"/>
        <v>1164</v>
      </c>
      <c r="B1228" s="3"/>
      <c r="C1228" s="3"/>
      <c r="D1228" s="3"/>
      <c r="E1228" s="3"/>
      <c r="F1228" s="3"/>
      <c r="G1228" s="3"/>
      <c r="H1228" s="3"/>
      <c r="I1228" s="21"/>
      <c r="J1228" s="22"/>
      <c r="K1228" s="18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ht="12.75" customHeight="1">
      <c r="A1229" s="19">
        <f t="shared" si="1"/>
        <v>1165</v>
      </c>
      <c r="B1229" s="3"/>
      <c r="C1229" s="3"/>
      <c r="D1229" s="3"/>
      <c r="E1229" s="3"/>
      <c r="F1229" s="3"/>
      <c r="G1229" s="3"/>
      <c r="H1229" s="3"/>
      <c r="I1229" s="21"/>
      <c r="J1229" s="22"/>
      <c r="K1229" s="18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ht="12.75" customHeight="1">
      <c r="A1230" s="19">
        <f t="shared" si="1"/>
        <v>1166</v>
      </c>
      <c r="B1230" s="3"/>
      <c r="C1230" s="3"/>
      <c r="D1230" s="3"/>
      <c r="E1230" s="3"/>
      <c r="F1230" s="3"/>
      <c r="G1230" s="3"/>
      <c r="H1230" s="3"/>
      <c r="I1230" s="21"/>
      <c r="J1230" s="22"/>
      <c r="K1230" s="18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ht="12.75" customHeight="1">
      <c r="A1231" s="19">
        <f t="shared" si="1"/>
        <v>1167</v>
      </c>
      <c r="B1231" s="3"/>
      <c r="C1231" s="3"/>
      <c r="D1231" s="3"/>
      <c r="E1231" s="3"/>
      <c r="F1231" s="3"/>
      <c r="G1231" s="3"/>
      <c r="H1231" s="3"/>
      <c r="I1231" s="21"/>
      <c r="J1231" s="22"/>
      <c r="K1231" s="18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ht="12.75" customHeight="1">
      <c r="A1232" s="19">
        <f t="shared" si="1"/>
        <v>1168</v>
      </c>
      <c r="B1232" s="3"/>
      <c r="C1232" s="3"/>
      <c r="D1232" s="3"/>
      <c r="E1232" s="3"/>
      <c r="F1232" s="3"/>
      <c r="G1232" s="3"/>
      <c r="H1232" s="3"/>
      <c r="I1232" s="21"/>
      <c r="J1232" s="22"/>
      <c r="K1232" s="18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ht="12.75" customHeight="1">
      <c r="A1233" s="19">
        <f t="shared" si="1"/>
        <v>1169</v>
      </c>
      <c r="B1233" s="3"/>
      <c r="C1233" s="3"/>
      <c r="D1233" s="3"/>
      <c r="E1233" s="3"/>
      <c r="F1233" s="3"/>
      <c r="G1233" s="3"/>
      <c r="H1233" s="3"/>
      <c r="I1233" s="21"/>
      <c r="J1233" s="22"/>
      <c r="K1233" s="18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ht="12.75" customHeight="1">
      <c r="A1234" s="19">
        <f t="shared" si="1"/>
        <v>1170</v>
      </c>
      <c r="B1234" s="3"/>
      <c r="C1234" s="3"/>
      <c r="D1234" s="3"/>
      <c r="E1234" s="3"/>
      <c r="F1234" s="3"/>
      <c r="G1234" s="3"/>
      <c r="H1234" s="3"/>
      <c r="I1234" s="21"/>
      <c r="J1234" s="22"/>
      <c r="K1234" s="18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ht="12.75" customHeight="1">
      <c r="A1235" s="19">
        <f t="shared" si="1"/>
        <v>1171</v>
      </c>
      <c r="B1235" s="3"/>
      <c r="C1235" s="3"/>
      <c r="D1235" s="3"/>
      <c r="E1235" s="3"/>
      <c r="F1235" s="3"/>
      <c r="G1235" s="3"/>
      <c r="H1235" s="3"/>
      <c r="I1235" s="21"/>
      <c r="J1235" s="22"/>
      <c r="K1235" s="18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ht="12.75" customHeight="1">
      <c r="A1236" s="19">
        <f t="shared" si="1"/>
        <v>1172</v>
      </c>
      <c r="B1236" s="3"/>
      <c r="C1236" s="3"/>
      <c r="D1236" s="3"/>
      <c r="E1236" s="3"/>
      <c r="F1236" s="3"/>
      <c r="G1236" s="3"/>
      <c r="H1236" s="3"/>
      <c r="I1236" s="21"/>
      <c r="J1236" s="22"/>
      <c r="K1236" s="18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ht="12.75" customHeight="1">
      <c r="A1237" s="19">
        <f t="shared" si="1"/>
        <v>1173</v>
      </c>
      <c r="B1237" s="3"/>
      <c r="C1237" s="3"/>
      <c r="D1237" s="3"/>
      <c r="E1237" s="3"/>
      <c r="F1237" s="3"/>
      <c r="G1237" s="3"/>
      <c r="H1237" s="3"/>
      <c r="I1237" s="21"/>
      <c r="J1237" s="22"/>
      <c r="K1237" s="18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ht="12.75" customHeight="1">
      <c r="A1238" s="19">
        <f t="shared" si="1"/>
        <v>1174</v>
      </c>
      <c r="B1238" s="3"/>
      <c r="C1238" s="3"/>
      <c r="D1238" s="3"/>
      <c r="E1238" s="3"/>
      <c r="F1238" s="3"/>
      <c r="G1238" s="3"/>
      <c r="H1238" s="3"/>
      <c r="I1238" s="21"/>
      <c r="J1238" s="22"/>
      <c r="K1238" s="18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ht="12.75" customHeight="1">
      <c r="A1239" s="19">
        <f t="shared" si="1"/>
        <v>1175</v>
      </c>
      <c r="B1239" s="3"/>
      <c r="C1239" s="3"/>
      <c r="D1239" s="3"/>
      <c r="E1239" s="3"/>
      <c r="F1239" s="3"/>
      <c r="G1239" s="3"/>
      <c r="H1239" s="3"/>
      <c r="I1239" s="21"/>
      <c r="J1239" s="22"/>
      <c r="K1239" s="18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ht="12.75" customHeight="1">
      <c r="A1240" s="19">
        <f t="shared" si="1"/>
        <v>1176</v>
      </c>
      <c r="B1240" s="3"/>
      <c r="C1240" s="3"/>
      <c r="D1240" s="3"/>
      <c r="E1240" s="3"/>
      <c r="F1240" s="3"/>
      <c r="G1240" s="3"/>
      <c r="H1240" s="3"/>
      <c r="I1240" s="21"/>
      <c r="J1240" s="22"/>
      <c r="K1240" s="18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ht="12.75" customHeight="1">
      <c r="A1241" s="19">
        <f t="shared" si="1"/>
        <v>1177</v>
      </c>
      <c r="B1241" s="3"/>
      <c r="C1241" s="3"/>
      <c r="D1241" s="3"/>
      <c r="E1241" s="3"/>
      <c r="F1241" s="3"/>
      <c r="G1241" s="3"/>
      <c r="H1241" s="3"/>
      <c r="I1241" s="21"/>
      <c r="J1241" s="22"/>
      <c r="K1241" s="18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ht="12.75" customHeight="1">
      <c r="A1242" s="19">
        <f t="shared" si="1"/>
        <v>1178</v>
      </c>
      <c r="B1242" s="3"/>
      <c r="C1242" s="3"/>
      <c r="D1242" s="3"/>
      <c r="E1242" s="3"/>
      <c r="F1242" s="3"/>
      <c r="G1242" s="3"/>
      <c r="H1242" s="3"/>
      <c r="I1242" s="21"/>
      <c r="J1242" s="22"/>
      <c r="K1242" s="18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ht="12.75" customHeight="1">
      <c r="A1243" s="19">
        <f t="shared" si="1"/>
        <v>1179</v>
      </c>
      <c r="B1243" s="3"/>
      <c r="C1243" s="3"/>
      <c r="D1243" s="3"/>
      <c r="E1243" s="3"/>
      <c r="F1243" s="3"/>
      <c r="G1243" s="3"/>
      <c r="H1243" s="3"/>
      <c r="I1243" s="21"/>
      <c r="J1243" s="22"/>
      <c r="K1243" s="18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ht="12.75" customHeight="1">
      <c r="A1244" s="19">
        <f t="shared" si="1"/>
        <v>1180</v>
      </c>
      <c r="B1244" s="3"/>
      <c r="C1244" s="3"/>
      <c r="D1244" s="3"/>
      <c r="E1244" s="3"/>
      <c r="F1244" s="3"/>
      <c r="G1244" s="3"/>
      <c r="H1244" s="3"/>
      <c r="I1244" s="21"/>
      <c r="J1244" s="22"/>
      <c r="K1244" s="18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ht="12.75" customHeight="1">
      <c r="A1245" s="19">
        <f t="shared" si="1"/>
        <v>1181</v>
      </c>
      <c r="B1245" s="3"/>
      <c r="C1245" s="3"/>
      <c r="D1245" s="3"/>
      <c r="E1245" s="3"/>
      <c r="F1245" s="3"/>
      <c r="G1245" s="3"/>
      <c r="H1245" s="3"/>
      <c r="I1245" s="21"/>
      <c r="J1245" s="22"/>
      <c r="K1245" s="18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</sheetData>
  <autoFilter ref="A1:K1245" xr:uid="{00000000-0009-0000-0000-000001000000}">
    <filterColumn colId="6">
      <filters blank="1">
        <filter val="FIP / FMIEE"/>
      </filters>
    </filterColumn>
  </autoFilter>
  <pageMargins left="0.511811024" right="0.511811024" top="0.78740157499999996" bottom="0.78740157499999996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workbookViewId="0"/>
  </sheetViews>
  <sheetFormatPr defaultColWidth="12.625" defaultRowHeight="15" customHeight="1"/>
  <cols>
    <col min="1" max="1" width="1.75" customWidth="1"/>
    <col min="2" max="2" width="1.375" customWidth="1"/>
    <col min="3" max="3" width="35.875" customWidth="1"/>
    <col min="4" max="4" width="13.875" customWidth="1"/>
    <col min="5" max="5" width="5.375" customWidth="1"/>
    <col min="6" max="6" width="11.375" customWidth="1"/>
    <col min="7" max="7" width="5.375" customWidth="1"/>
    <col min="8" max="8" width="0.625" customWidth="1"/>
    <col min="9" max="9" width="7.375" customWidth="1"/>
    <col min="10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25"/>
      <c r="I2" s="25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2.75" customHeight="1">
      <c r="A3" s="80"/>
      <c r="B3" s="81"/>
      <c r="C3" s="27">
        <v>44012</v>
      </c>
      <c r="D3" s="82" t="s">
        <v>289</v>
      </c>
      <c r="E3" s="83"/>
      <c r="F3" s="82" t="s">
        <v>490</v>
      </c>
      <c r="G3" s="83"/>
      <c r="H3" s="84"/>
      <c r="I3" s="85" t="s">
        <v>491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1232739689.4400001</v>
      </c>
      <c r="E5" s="32">
        <f>D5/D5</f>
        <v>1</v>
      </c>
      <c r="F5" s="31">
        <v>69110098.650000006</v>
      </c>
      <c r="G5" s="32">
        <f>F5/F5</f>
        <v>1</v>
      </c>
      <c r="H5" s="32"/>
      <c r="I5" s="3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SUM(D9,D23)</f>
        <v>91182260.789999992</v>
      </c>
      <c r="E7" s="38">
        <f>D7/D5</f>
        <v>7.3967165632041587E-2</v>
      </c>
      <c r="F7" s="37">
        <f>SUM(F9,F23)</f>
        <v>0</v>
      </c>
      <c r="G7" s="38">
        <f>F7/F5</f>
        <v>0</v>
      </c>
      <c r="H7" s="38"/>
      <c r="I7" s="32">
        <v>0.2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SUM(D10:D21)</f>
        <v>57666379.030000001</v>
      </c>
      <c r="E9" s="41">
        <f>D9/D5</f>
        <v>4.6779039828105363E-2</v>
      </c>
      <c r="F9" s="40">
        <f>SUM(F10:F21)</f>
        <v>0</v>
      </c>
      <c r="G9" s="41">
        <f>F9/F5</f>
        <v>0</v>
      </c>
      <c r="H9" s="41"/>
      <c r="I9" s="32">
        <v>0.15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327</v>
      </c>
      <c r="D10" s="44">
        <v>1522210.13</v>
      </c>
      <c r="E10" s="45">
        <f>D10/D5</f>
        <v>1.2348187886215445E-3</v>
      </c>
      <c r="F10" s="44">
        <v>0</v>
      </c>
      <c r="G10" s="45">
        <f>F10/F5</f>
        <v>0</v>
      </c>
      <c r="H10" s="45"/>
      <c r="I10" s="4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21" si="0">A10+1</f>
        <v>2</v>
      </c>
      <c r="B11" s="3"/>
      <c r="C11" s="3" t="s">
        <v>337</v>
      </c>
      <c r="D11" s="34">
        <v>4756294.53</v>
      </c>
      <c r="E11" s="35">
        <f>D11/D5</f>
        <v>3.8583121568517478E-3</v>
      </c>
      <c r="F11" s="34">
        <v>0</v>
      </c>
      <c r="G11" s="35">
        <f>F11/F5</f>
        <v>0</v>
      </c>
      <c r="H11" s="3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367</v>
      </c>
      <c r="D12" s="44">
        <v>7039772.7699999996</v>
      </c>
      <c r="E12" s="45">
        <f>D12/D5</f>
        <v>5.710672602094913E-3</v>
      </c>
      <c r="F12" s="44">
        <v>0</v>
      </c>
      <c r="G12" s="45">
        <f>F12/F5</f>
        <v>0</v>
      </c>
      <c r="H12" s="45"/>
      <c r="I12" s="4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389</v>
      </c>
      <c r="D13" s="34">
        <v>2939715.55</v>
      </c>
      <c r="E13" s="35">
        <f>D13/D5</f>
        <v>2.3847009836565191E-3</v>
      </c>
      <c r="F13" s="34">
        <v>0</v>
      </c>
      <c r="G13" s="35">
        <f>F13/F5</f>
        <v>0</v>
      </c>
      <c r="H13" s="3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416</v>
      </c>
      <c r="D14" s="44">
        <v>7181431.0099999998</v>
      </c>
      <c r="E14" s="45">
        <f>D14/D5</f>
        <v>5.8255859460989105E-3</v>
      </c>
      <c r="F14" s="44">
        <v>0</v>
      </c>
      <c r="G14" s="45">
        <f>F14/F5</f>
        <v>0</v>
      </c>
      <c r="H14" s="45"/>
      <c r="I14" s="4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419</v>
      </c>
      <c r="D15" s="34">
        <v>6085601.0599999996</v>
      </c>
      <c r="E15" s="35">
        <f>D15/D5</f>
        <v>4.9366473004244082E-3</v>
      </c>
      <c r="F15" s="34">
        <v>0</v>
      </c>
      <c r="G15" s="35">
        <f>F15/F5</f>
        <v>0</v>
      </c>
      <c r="H15" s="3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420</v>
      </c>
      <c r="D16" s="44">
        <v>1040482.04</v>
      </c>
      <c r="E16" s="45">
        <f>D16/D5</f>
        <v>8.4404035086487936E-4</v>
      </c>
      <c r="F16" s="44">
        <v>0</v>
      </c>
      <c r="G16" s="45">
        <f>F16/F5</f>
        <v>0</v>
      </c>
      <c r="H16" s="45"/>
      <c r="I16" s="4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422</v>
      </c>
      <c r="D17" s="34">
        <v>11270254.1</v>
      </c>
      <c r="E17" s="35">
        <f>D17/D5</f>
        <v>9.142444424029025E-3</v>
      </c>
      <c r="F17" s="34">
        <v>0</v>
      </c>
      <c r="G17" s="35">
        <f>F17/F5</f>
        <v>0</v>
      </c>
      <c r="H17" s="3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448</v>
      </c>
      <c r="D18" s="44">
        <v>6091526.4400000004</v>
      </c>
      <c r="E18" s="45">
        <f>D18/D5</f>
        <v>4.9414539761976958E-3</v>
      </c>
      <c r="F18" s="44">
        <v>0</v>
      </c>
      <c r="G18" s="45">
        <f>F18/F5</f>
        <v>0</v>
      </c>
      <c r="H18" s="45"/>
      <c r="I18" s="4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 t="s">
        <v>449</v>
      </c>
      <c r="D19" s="34">
        <v>207365.49</v>
      </c>
      <c r="E19" s="35">
        <f>D19/D5</f>
        <v>1.6821514856409016E-4</v>
      </c>
      <c r="F19" s="34">
        <v>0</v>
      </c>
      <c r="G19" s="35">
        <f>F19/F5</f>
        <v>0</v>
      </c>
      <c r="H19" s="3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42">
        <f t="shared" si="0"/>
        <v>11</v>
      </c>
      <c r="B20" s="43"/>
      <c r="C20" s="43" t="s">
        <v>456</v>
      </c>
      <c r="D20" s="44">
        <v>2562022.31</v>
      </c>
      <c r="E20" s="45">
        <f>D20/D5</f>
        <v>2.0783157482046001E-3</v>
      </c>
      <c r="F20" s="44">
        <v>0</v>
      </c>
      <c r="G20" s="45">
        <f>F20/F5</f>
        <v>0</v>
      </c>
      <c r="H20" s="45"/>
      <c r="I20" s="4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3">
        <f t="shared" si="0"/>
        <v>12</v>
      </c>
      <c r="B21" s="3"/>
      <c r="C21" s="3" t="s">
        <v>459</v>
      </c>
      <c r="D21" s="34">
        <v>6969703.5999999996</v>
      </c>
      <c r="E21" s="35">
        <f>D21/D5</f>
        <v>5.6538324024970315E-3</v>
      </c>
      <c r="F21" s="34">
        <v>0</v>
      </c>
      <c r="G21" s="35">
        <f>F21/F5</f>
        <v>0</v>
      </c>
      <c r="H21" s="3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3" customHeight="1">
      <c r="A22" s="23"/>
      <c r="B22" s="3"/>
      <c r="C22" s="3"/>
      <c r="D22" s="34"/>
      <c r="E22" s="35"/>
      <c r="F22" s="34"/>
      <c r="G22" s="35"/>
      <c r="H22" s="35"/>
      <c r="I22" s="46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9"/>
      <c r="B23" s="39" t="s">
        <v>495</v>
      </c>
      <c r="C23" s="39"/>
      <c r="D23" s="40">
        <f>SUM(D24:D28)</f>
        <v>33515881.759999998</v>
      </c>
      <c r="E23" s="41">
        <f>D23/D5</f>
        <v>2.7188125803936227E-2</v>
      </c>
      <c r="F23" s="40">
        <f>SUM(F24:F28)</f>
        <v>0</v>
      </c>
      <c r="G23" s="41">
        <f>F23/F5</f>
        <v>0</v>
      </c>
      <c r="H23" s="41"/>
      <c r="I23" s="32">
        <v>0.15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v>1</v>
      </c>
      <c r="B24" s="43"/>
      <c r="C24" s="43" t="s">
        <v>290</v>
      </c>
      <c r="D24" s="44">
        <v>7000935.9800000004</v>
      </c>
      <c r="E24" s="45">
        <f>D24/D5</f>
        <v>5.6791681487762709E-3</v>
      </c>
      <c r="F24" s="44">
        <v>0</v>
      </c>
      <c r="G24" s="45">
        <f>F24/F5</f>
        <v>0</v>
      </c>
      <c r="H24" s="45"/>
      <c r="I24" s="4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ref="A25:A28" si="1">A24+1</f>
        <v>2</v>
      </c>
      <c r="B25" s="3"/>
      <c r="C25" s="3" t="s">
        <v>313</v>
      </c>
      <c r="D25" s="34">
        <v>6590179.1500000004</v>
      </c>
      <c r="E25" s="35">
        <f>D25/D5</f>
        <v>5.3459616871699318E-3</v>
      </c>
      <c r="F25" s="34">
        <v>0</v>
      </c>
      <c r="G25" s="35">
        <f>F25/F5</f>
        <v>0</v>
      </c>
      <c r="H25" s="3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3</v>
      </c>
      <c r="B26" s="43"/>
      <c r="C26" s="43" t="s">
        <v>364</v>
      </c>
      <c r="D26" s="44">
        <v>6214429.3899999997</v>
      </c>
      <c r="E26" s="45">
        <f>D26/D5</f>
        <v>5.0411530051596258E-3</v>
      </c>
      <c r="F26" s="44">
        <v>0</v>
      </c>
      <c r="G26" s="45">
        <f>F26/F5</f>
        <v>0</v>
      </c>
      <c r="H26" s="45"/>
      <c r="I26" s="4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4</v>
      </c>
      <c r="B27" s="3"/>
      <c r="C27" s="3" t="s">
        <v>463</v>
      </c>
      <c r="D27" s="34">
        <v>6131610.4500000002</v>
      </c>
      <c r="E27" s="35">
        <f>D27/D5</f>
        <v>4.9739701759626345E-3</v>
      </c>
      <c r="F27" s="34">
        <v>0</v>
      </c>
      <c r="G27" s="35">
        <f>F27/F5</f>
        <v>0</v>
      </c>
      <c r="H27" s="3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5</v>
      </c>
      <c r="B28" s="43"/>
      <c r="C28" s="43" t="s">
        <v>471</v>
      </c>
      <c r="D28" s="44">
        <v>7578726.79</v>
      </c>
      <c r="E28" s="45">
        <f>D28/D5</f>
        <v>6.1478727868677684E-3</v>
      </c>
      <c r="F28" s="44">
        <v>0</v>
      </c>
      <c r="G28" s="45">
        <f>F28/F5</f>
        <v>0</v>
      </c>
      <c r="H28" s="45"/>
      <c r="I28" s="4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3" customHeight="1">
      <c r="A29" s="47"/>
      <c r="B29" s="48"/>
      <c r="C29" s="48"/>
      <c r="D29" s="48"/>
      <c r="E29" s="49"/>
      <c r="F29" s="48"/>
      <c r="G29" s="48"/>
      <c r="H29" s="48"/>
      <c r="I29" s="48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23"/>
      <c r="B30" s="3"/>
      <c r="C30" s="3"/>
      <c r="D30" s="3"/>
      <c r="E30" s="35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2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4">
    <mergeCell ref="D2:E2"/>
    <mergeCell ref="F2:G2"/>
    <mergeCell ref="D3:E3"/>
    <mergeCell ref="F3:G3"/>
  </mergeCells>
  <pageMargins left="0.511811024" right="0.511811024" top="0.78740157499999996" bottom="0.78740157499999996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4.875" customWidth="1"/>
    <col min="7" max="7" width="6.625" customWidth="1"/>
    <col min="8" max="8" width="11.375" customWidth="1"/>
    <col min="9" max="9" width="6.625" customWidth="1"/>
    <col min="10" max="10" width="0.625" customWidth="1"/>
    <col min="11" max="11" width="7.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307</v>
      </c>
      <c r="E3" s="83"/>
      <c r="F3" s="82"/>
      <c r="G3" s="83"/>
      <c r="H3" s="82"/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198143298.6</f>
        <v>198143298.59999999</v>
      </c>
      <c r="E5" s="32">
        <f>D5/D5</f>
        <v>1</v>
      </c>
      <c r="F5" s="31"/>
      <c r="G5" s="32" t="e">
        <f>F5/F5</f>
        <v>#DIV/0!</v>
      </c>
      <c r="H5" s="31"/>
      <c r="I5" s="32" t="e">
        <f>H5/H5</f>
        <v>#DIV/0!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9091517.5800000001</v>
      </c>
      <c r="E7" s="38">
        <f>D7/D5</f>
        <v>4.5883548140345738E-2</v>
      </c>
      <c r="F7" s="37"/>
      <c r="G7" s="38" t="e">
        <f>F7/F5</f>
        <v>#DIV/0!</v>
      </c>
      <c r="H7" s="37"/>
      <c r="I7" s="38" t="e">
        <f>H7/H5</f>
        <v>#DIV/0!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0</v>
      </c>
      <c r="E9" s="41">
        <f>D9/D5</f>
        <v>0</v>
      </c>
      <c r="F9" s="40"/>
      <c r="G9" s="41" t="e">
        <f>F9/F5</f>
        <v>#DIV/0!</v>
      </c>
      <c r="H9" s="40"/>
      <c r="I9" s="41" t="e">
        <f>H9/H5</f>
        <v>#DIV/0!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/>
      <c r="D10" s="44"/>
      <c r="E10" s="45">
        <f>D10/D5</f>
        <v>0</v>
      </c>
      <c r="F10" s="44"/>
      <c r="G10" s="45" t="e">
        <f>F10/F5</f>
        <v>#DIV/0!</v>
      </c>
      <c r="H10" s="44"/>
      <c r="I10" s="45" t="e">
        <f>H10/H5</f>
        <v>#DIV/0!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/>
      <c r="D11" s="34"/>
      <c r="E11" s="35">
        <f>D11/D5</f>
        <v>0</v>
      </c>
      <c r="F11" s="34"/>
      <c r="G11" s="35" t="e">
        <f>F11/F5</f>
        <v>#DIV/0!</v>
      </c>
      <c r="H11" s="34"/>
      <c r="I11" s="35" t="e">
        <f>H11/H5</f>
        <v>#DIV/0!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/>
      <c r="D12" s="44"/>
      <c r="E12" s="45">
        <f>D12/D5</f>
        <v>0</v>
      </c>
      <c r="F12" s="44"/>
      <c r="G12" s="45" t="e">
        <f>F12/F5</f>
        <v>#DIV/0!</v>
      </c>
      <c r="H12" s="44"/>
      <c r="I12" s="45" t="e">
        <f>H12/H5</f>
        <v>#DIV/0!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4"/>
      <c r="G13" s="35" t="e">
        <f>F13/F5</f>
        <v>#DIV/0!</v>
      </c>
      <c r="H13" s="34"/>
      <c r="I13" s="35" t="e">
        <f>H13/H5</f>
        <v>#DIV/0!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 t="e">
        <f>F14/F5</f>
        <v>#DIV/0!</v>
      </c>
      <c r="H14" s="44"/>
      <c r="I14" s="45" t="e">
        <f>H14/H5</f>
        <v>#DIV/0!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 t="e">
        <f>F15/F5</f>
        <v>#DIV/0!</v>
      </c>
      <c r="H15" s="34"/>
      <c r="I15" s="35" t="e">
        <f>H15/H5</f>
        <v>#DIV/0!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 t="e">
        <f>F16/F5</f>
        <v>#DIV/0!</v>
      </c>
      <c r="H16" s="44"/>
      <c r="I16" s="45" t="e">
        <f>H16/H5</f>
        <v>#DIV/0!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 t="e">
        <f>F17/F5</f>
        <v>#DIV/0!</v>
      </c>
      <c r="H17" s="34"/>
      <c r="I17" s="35" t="e">
        <f>H17/H5</f>
        <v>#DIV/0!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 t="e">
        <f>F18/F5</f>
        <v>#DIV/0!</v>
      </c>
      <c r="H18" s="44"/>
      <c r="I18" s="45" t="e">
        <f>H18/H5</f>
        <v>#DIV/0!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 t="e">
        <f>F19/F5</f>
        <v>#DIV/0!</v>
      </c>
      <c r="H19" s="34"/>
      <c r="I19" s="35" t="e">
        <f>H19/H5</f>
        <v>#DIV/0!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9091517.5800000001</v>
      </c>
      <c r="E21" s="41">
        <f>D21/D5</f>
        <v>4.5883548140345738E-2</v>
      </c>
      <c r="F21" s="40"/>
      <c r="G21" s="41" t="e">
        <f>F21/F5</f>
        <v>#DIV/0!</v>
      </c>
      <c r="H21" s="40"/>
      <c r="I21" s="41" t="e">
        <f>H21/H5</f>
        <v>#DIV/0!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308</v>
      </c>
      <c r="D22" s="44">
        <v>1030868.59</v>
      </c>
      <c r="E22" s="45">
        <f>D22/D5</f>
        <v>5.2026417107401482E-3</v>
      </c>
      <c r="F22" s="44"/>
      <c r="G22" s="45" t="e">
        <f>F22/F5</f>
        <v>#DIV/0!</v>
      </c>
      <c r="H22" s="44"/>
      <c r="I22" s="45" t="e">
        <f>H22/H5</f>
        <v>#DIV/0!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313</v>
      </c>
      <c r="D23" s="34">
        <v>323087.5</v>
      </c>
      <c r="E23" s="35">
        <f>D23/D5</f>
        <v>1.6305749539994789E-3</v>
      </c>
      <c r="F23" s="34"/>
      <c r="G23" s="35" t="e">
        <f>F23/F5</f>
        <v>#DIV/0!</v>
      </c>
      <c r="H23" s="34"/>
      <c r="I23" s="35" t="e">
        <f>H23/H5</f>
        <v>#DIV/0!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323</v>
      </c>
      <c r="D24" s="44">
        <v>2697693.84</v>
      </c>
      <c r="E24" s="45">
        <f>D24/D5</f>
        <v>1.3614862874802267E-2</v>
      </c>
      <c r="F24" s="44"/>
      <c r="G24" s="45" t="e">
        <f>F24/F5</f>
        <v>#DIV/0!</v>
      </c>
      <c r="H24" s="44"/>
      <c r="I24" s="45" t="e">
        <f>H24/H5</f>
        <v>#DIV/0!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349</v>
      </c>
      <c r="D25" s="34">
        <v>600000</v>
      </c>
      <c r="E25" s="35">
        <f>D25/D5</f>
        <v>3.0281114942536844E-3</v>
      </c>
      <c r="F25" s="34"/>
      <c r="G25" s="35" t="e">
        <f>F25/F5</f>
        <v>#DIV/0!</v>
      </c>
      <c r="H25" s="34"/>
      <c r="I25" s="35" t="e">
        <f>H25/H5</f>
        <v>#DIV/0!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408</v>
      </c>
      <c r="D26" s="44">
        <v>814743.34</v>
      </c>
      <c r="E26" s="45">
        <f>D26/D5</f>
        <v>4.1118894545343959E-3</v>
      </c>
      <c r="F26" s="44"/>
      <c r="G26" s="45" t="e">
        <f>F26/F5</f>
        <v>#DIV/0!</v>
      </c>
      <c r="H26" s="44"/>
      <c r="I26" s="45" t="e">
        <f>H26/H5</f>
        <v>#DIV/0!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410</v>
      </c>
      <c r="D27" s="34">
        <v>475085.53</v>
      </c>
      <c r="E27" s="35">
        <f>D27/D5</f>
        <v>2.3976865902443395E-3</v>
      </c>
      <c r="F27" s="34"/>
      <c r="G27" s="35" t="e">
        <f>F27/F5</f>
        <v>#DIV/0!</v>
      </c>
      <c r="H27" s="34"/>
      <c r="I27" s="35" t="e">
        <f>H27/H5</f>
        <v>#DIV/0!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 t="s">
        <v>437</v>
      </c>
      <c r="D28" s="44">
        <v>1589887.89</v>
      </c>
      <c r="E28" s="45">
        <f>D28/D5</f>
        <v>8.0239296571395623E-3</v>
      </c>
      <c r="F28" s="44"/>
      <c r="G28" s="45" t="e">
        <f>F28/F5</f>
        <v>#DIV/0!</v>
      </c>
      <c r="H28" s="44"/>
      <c r="I28" s="45" t="e">
        <f>H28/H5</f>
        <v>#DIV/0!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 t="s">
        <v>466</v>
      </c>
      <c r="D29" s="34">
        <v>1560150.89</v>
      </c>
      <c r="E29" s="35">
        <f>D29/D5</f>
        <v>7.8738514046318587E-3</v>
      </c>
      <c r="F29" s="34"/>
      <c r="G29" s="35" t="e">
        <f>F29/F5</f>
        <v>#DIV/0!</v>
      </c>
      <c r="H29" s="34"/>
      <c r="I29" s="35" t="e">
        <f>H29/H5</f>
        <v>#DIV/0!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 t="e">
        <f>F30/F5</f>
        <v>#DIV/0!</v>
      </c>
      <c r="H30" s="44"/>
      <c r="I30" s="45" t="e">
        <f>H30/H5</f>
        <v>#DIV/0!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 t="e">
        <f>F31/F5</f>
        <v>#DIV/0!</v>
      </c>
      <c r="H31" s="34"/>
      <c r="I31" s="35" t="e">
        <f>H31/H5</f>
        <v>#DIV/0!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 t="e">
        <f>F32/F5</f>
        <v>#DIV/0!</v>
      </c>
      <c r="H32" s="44"/>
      <c r="I32" s="45" t="e">
        <f>H32/H5</f>
        <v>#DIV/0!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 t="e">
        <f>F33/F5</f>
        <v>#DIV/0!</v>
      </c>
      <c r="H33" s="34"/>
      <c r="I33" s="35" t="e">
        <f>H33/H5</f>
        <v>#DIV/0!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 t="e">
        <f>F34/F5</f>
        <v>#DIV/0!</v>
      </c>
      <c r="H34" s="44"/>
      <c r="I34" s="45" t="e">
        <f>H34/H5</f>
        <v>#DIV/0!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3.875" customWidth="1"/>
    <col min="5" max="5" width="6.375" customWidth="1"/>
    <col min="6" max="6" width="14.875" customWidth="1"/>
    <col min="7" max="7" width="6.375" customWidth="1"/>
    <col min="8" max="8" width="13.875" customWidth="1"/>
    <col min="9" max="9" width="6.375" customWidth="1"/>
    <col min="10" max="10" width="11.375" customWidth="1"/>
    <col min="11" max="11" width="6.375" customWidth="1"/>
    <col min="12" max="12" width="0.625" customWidth="1"/>
    <col min="13" max="13" width="7.375" customWidth="1"/>
    <col min="14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25"/>
      <c r="M2" s="2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274</v>
      </c>
      <c r="E3" s="83"/>
      <c r="F3" s="82" t="s">
        <v>278</v>
      </c>
      <c r="G3" s="83"/>
      <c r="H3" s="82" t="s">
        <v>276</v>
      </c>
      <c r="I3" s="83"/>
      <c r="J3" s="82" t="s">
        <v>498</v>
      </c>
      <c r="K3" s="83"/>
      <c r="L3" s="84"/>
      <c r="M3" s="85" t="s">
        <v>491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5135799094.1</f>
        <v>5135799094.1000004</v>
      </c>
      <c r="E5" s="32">
        <f>D5/D5</f>
        <v>1</v>
      </c>
      <c r="F5" s="31">
        <f>350817403.48</f>
        <v>350817403.48000002</v>
      </c>
      <c r="G5" s="32">
        <f>F5/F5</f>
        <v>1</v>
      </c>
      <c r="H5" s="31">
        <f>4592208104.71</f>
        <v>4592208104.71</v>
      </c>
      <c r="I5" s="32">
        <f>H5/H5</f>
        <v>1</v>
      </c>
      <c r="J5" s="31">
        <v>61361583.770000003</v>
      </c>
      <c r="K5" s="32">
        <f>J5/J5</f>
        <v>1</v>
      </c>
      <c r="L5" s="32"/>
      <c r="M5" s="3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5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210389564.69</v>
      </c>
      <c r="E7" s="38">
        <f>D7/D5</f>
        <v>4.0965302737736617E-2</v>
      </c>
      <c r="F7" s="37">
        <f>SUM(F9,F21)</f>
        <v>26825932.440000001</v>
      </c>
      <c r="G7" s="38">
        <f>F7/F5</f>
        <v>7.6466937426407755E-2</v>
      </c>
      <c r="H7" s="37">
        <f>SUM(H9,H21)</f>
        <v>407912115.79000002</v>
      </c>
      <c r="I7" s="38">
        <f>H7/H5</f>
        <v>8.8827010119951838E-2</v>
      </c>
      <c r="J7" s="37">
        <f>SUM(J9,J21)</f>
        <v>4884487.3000000007</v>
      </c>
      <c r="K7" s="38">
        <f>J7/J5</f>
        <v>7.9601714947717048E-2</v>
      </c>
      <c r="L7" s="38"/>
      <c r="M7" s="32">
        <v>0.2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5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33916447.039999999</v>
      </c>
      <c r="E9" s="41">
        <f>D9/D5</f>
        <v>6.6039279221344876E-3</v>
      </c>
      <c r="F9" s="40">
        <f>SUM(F10:F19)</f>
        <v>13997740.539999999</v>
      </c>
      <c r="G9" s="41">
        <f>F9/F5</f>
        <v>3.9900359563541453E-2</v>
      </c>
      <c r="H9" s="40">
        <f>SUM(H10:H19)</f>
        <v>73882838.579999998</v>
      </c>
      <c r="I9" s="41">
        <f>H9/H5</f>
        <v>1.6088739206792924E-2</v>
      </c>
      <c r="J9" s="40">
        <f>SUM(J10:J19)</f>
        <v>1848427.58</v>
      </c>
      <c r="K9" s="41">
        <f>J9/J5</f>
        <v>3.0123531148224796E-2</v>
      </c>
      <c r="L9" s="41"/>
      <c r="M9" s="32">
        <v>0.15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362</v>
      </c>
      <c r="D10" s="44">
        <v>2470219.9300000002</v>
      </c>
      <c r="E10" s="45">
        <f>D10/D5</f>
        <v>4.8098063898912745E-4</v>
      </c>
      <c r="F10" s="44">
        <v>2197230.11</v>
      </c>
      <c r="G10" s="45">
        <f>F10/F5</f>
        <v>6.2631730587027826E-3</v>
      </c>
      <c r="H10" s="44">
        <v>5381072.5</v>
      </c>
      <c r="I10" s="45">
        <f>H10/H5</f>
        <v>1.1717832418092944E-3</v>
      </c>
      <c r="J10" s="44">
        <v>134625.62</v>
      </c>
      <c r="K10" s="45">
        <f>J10/J5</f>
        <v>2.1939723802536395E-3</v>
      </c>
      <c r="L10" s="45"/>
      <c r="M10" s="4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372</v>
      </c>
      <c r="D11" s="34">
        <v>14301955.640000001</v>
      </c>
      <c r="E11" s="35">
        <f>D11/D5</f>
        <v>2.7847576156999733E-3</v>
      </c>
      <c r="F11" s="34">
        <v>749130.33</v>
      </c>
      <c r="G11" s="35">
        <f>F11/F5</f>
        <v>2.135385310331982E-3</v>
      </c>
      <c r="H11" s="34">
        <v>31155064.039999999</v>
      </c>
      <c r="I11" s="35">
        <f>H11/H5</f>
        <v>6.7843319225985854E-3</v>
      </c>
      <c r="J11" s="34">
        <v>779448.66</v>
      </c>
      <c r="K11" s="35">
        <f>J11/J5</f>
        <v>1.2702551207308904E-2</v>
      </c>
      <c r="L11" s="35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373</v>
      </c>
      <c r="D12" s="44">
        <v>1448783.53</v>
      </c>
      <c r="E12" s="45">
        <f>D12/D5</f>
        <v>2.8209505540517752E-4</v>
      </c>
      <c r="F12" s="44">
        <v>1662190.16</v>
      </c>
      <c r="G12" s="45">
        <f>F12/F5</f>
        <v>4.7380493199926463E-3</v>
      </c>
      <c r="H12" s="44">
        <v>3155998.03</v>
      </c>
      <c r="I12" s="45">
        <f>H12/H5</f>
        <v>6.872506554663865E-4</v>
      </c>
      <c r="J12" s="44">
        <v>78957.899999999994</v>
      </c>
      <c r="K12" s="45">
        <f>J12/J5</f>
        <v>1.2867643751822931E-3</v>
      </c>
      <c r="L12" s="45"/>
      <c r="M12" s="4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292</v>
      </c>
      <c r="D13" s="34">
        <v>4876152.3600000003</v>
      </c>
      <c r="E13" s="35">
        <f>D13/D5</f>
        <v>9.4944375172341107E-4</v>
      </c>
      <c r="F13" s="34">
        <v>222578.71</v>
      </c>
      <c r="G13" s="35">
        <f>F13/F5</f>
        <v>6.3445743509896635E-4</v>
      </c>
      <c r="H13" s="34">
        <v>10622102.52</v>
      </c>
      <c r="I13" s="35">
        <f>H13/H5</f>
        <v>2.3130708099019805E-3</v>
      </c>
      <c r="J13" s="34">
        <v>265747.59999999998</v>
      </c>
      <c r="K13" s="35">
        <f>J13/J5</f>
        <v>4.330846495033353E-3</v>
      </c>
      <c r="L13" s="3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425</v>
      </c>
      <c r="D14" s="44">
        <v>10819335.58</v>
      </c>
      <c r="E14" s="45">
        <f>D14/D5</f>
        <v>2.1066508603167985E-3</v>
      </c>
      <c r="F14" s="44">
        <v>9166611.2300000004</v>
      </c>
      <c r="G14" s="45">
        <f>F14/F5</f>
        <v>2.6129294439415078E-2</v>
      </c>
      <c r="H14" s="44">
        <v>23568601.489999998</v>
      </c>
      <c r="I14" s="45">
        <f>H14/H5</f>
        <v>5.1323025770166758E-3</v>
      </c>
      <c r="J14" s="44">
        <v>589647.80000000005</v>
      </c>
      <c r="K14" s="45">
        <f>J14/J5</f>
        <v>9.6093966904466036E-3</v>
      </c>
      <c r="L14" s="45"/>
      <c r="M14" s="4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>
        <f>F15/F5</f>
        <v>0</v>
      </c>
      <c r="H15" s="34"/>
      <c r="I15" s="35">
        <f>H15/H5</f>
        <v>0</v>
      </c>
      <c r="J15" s="34"/>
      <c r="K15" s="35">
        <f>J15/J5</f>
        <v>0</v>
      </c>
      <c r="L15" s="35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>
        <f>F16/F5</f>
        <v>0</v>
      </c>
      <c r="H16" s="44"/>
      <c r="I16" s="45">
        <f>H16/H5</f>
        <v>0</v>
      </c>
      <c r="J16" s="44"/>
      <c r="K16" s="45">
        <f>J16/J5</f>
        <v>0</v>
      </c>
      <c r="L16" s="45"/>
      <c r="M16" s="4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4"/>
      <c r="I17" s="35">
        <f>H17/H5</f>
        <v>0</v>
      </c>
      <c r="J17" s="34"/>
      <c r="K17" s="35">
        <f>J17/J5</f>
        <v>0</v>
      </c>
      <c r="L17" s="35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4"/>
      <c r="I18" s="45">
        <f>H18/H5</f>
        <v>0</v>
      </c>
      <c r="J18" s="44"/>
      <c r="K18" s="45">
        <f>J18/J5</f>
        <v>0</v>
      </c>
      <c r="L18" s="45"/>
      <c r="M18" s="4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4"/>
      <c r="K19" s="35">
        <f>J19/J5</f>
        <v>0</v>
      </c>
      <c r="L19" s="3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4"/>
      <c r="K20" s="35"/>
      <c r="L20" s="35"/>
      <c r="M20" s="46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SUM(D22:D35)</f>
        <v>176473117.65000001</v>
      </c>
      <c r="E21" s="41">
        <f>D21/D5</f>
        <v>3.4361374815602135E-2</v>
      </c>
      <c r="F21" s="40">
        <f>SUM(F22:F35)</f>
        <v>12828191.900000002</v>
      </c>
      <c r="G21" s="41">
        <f>F21/F5</f>
        <v>3.6566577862866295E-2</v>
      </c>
      <c r="H21" s="40">
        <f>SUM(H22:H35)</f>
        <v>334029277.21000004</v>
      </c>
      <c r="I21" s="41">
        <f>H21/H5</f>
        <v>7.2738270913158917E-2</v>
      </c>
      <c r="J21" s="40">
        <f>SUM(J22:J35)</f>
        <v>3036059.72</v>
      </c>
      <c r="K21" s="41">
        <f>J21/J5</f>
        <v>4.9478183799492238E-2</v>
      </c>
      <c r="L21" s="41"/>
      <c r="M21" s="32">
        <v>0.15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277</v>
      </c>
      <c r="D22" s="44">
        <v>17086821.43</v>
      </c>
      <c r="E22" s="45">
        <f>D22/D5</f>
        <v>3.3270034744212092E-3</v>
      </c>
      <c r="F22" s="44">
        <v>1153867.79</v>
      </c>
      <c r="G22" s="45">
        <f>F22/F5</f>
        <v>3.2890836616256457E-3</v>
      </c>
      <c r="H22" s="44">
        <v>32134166.530000001</v>
      </c>
      <c r="I22" s="45">
        <f>H22/H5</f>
        <v>6.9975414435250833E-3</v>
      </c>
      <c r="J22" s="44">
        <v>273086.93</v>
      </c>
      <c r="K22" s="45">
        <f>J22/J5</f>
        <v>4.4504543921748251E-3</v>
      </c>
      <c r="L22" s="45"/>
      <c r="M22" s="4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5" si="1">A22+1</f>
        <v>2</v>
      </c>
      <c r="B23" s="3"/>
      <c r="C23" s="3" t="s">
        <v>275</v>
      </c>
      <c r="D23" s="34">
        <v>7938335.3799999999</v>
      </c>
      <c r="E23" s="35">
        <f>D23/D5</f>
        <v>1.5456865104243563E-3</v>
      </c>
      <c r="F23" s="34"/>
      <c r="G23" s="35">
        <f>F23/F5</f>
        <v>0</v>
      </c>
      <c r="H23" s="34">
        <v>13665901.050000001</v>
      </c>
      <c r="I23" s="35">
        <f>H23/H5</f>
        <v>2.975888883603416E-3</v>
      </c>
      <c r="J23" s="34"/>
      <c r="K23" s="35">
        <f>J23/J5</f>
        <v>0</v>
      </c>
      <c r="L23" s="35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316</v>
      </c>
      <c r="D24" s="44">
        <v>16851533.120000001</v>
      </c>
      <c r="E24" s="45">
        <f>D24/D5</f>
        <v>3.2811900954924467E-3</v>
      </c>
      <c r="F24" s="44">
        <v>1981368.74</v>
      </c>
      <c r="G24" s="45">
        <f>F24/F5</f>
        <v>5.6478633053703596E-3</v>
      </c>
      <c r="H24" s="44">
        <v>33679116.240000002</v>
      </c>
      <c r="I24" s="45">
        <f>H24/H5</f>
        <v>7.33396994910945E-3</v>
      </c>
      <c r="J24" s="44">
        <v>468932.32</v>
      </c>
      <c r="K24" s="45">
        <f>J24/J5</f>
        <v>7.6421156559075562E-3</v>
      </c>
      <c r="L24" s="45"/>
      <c r="M24" s="4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403</v>
      </c>
      <c r="D25" s="34">
        <v>9897507.3599999994</v>
      </c>
      <c r="E25" s="35">
        <f>D25/D5</f>
        <v>1.9271601514495073E-3</v>
      </c>
      <c r="F25" s="34">
        <v>1163902.44</v>
      </c>
      <c r="G25" s="35">
        <f>F25/F5</f>
        <v>3.317687288185957E-3</v>
      </c>
      <c r="H25" s="34">
        <v>19781357.59</v>
      </c>
      <c r="I25" s="35">
        <f>H25/H5</f>
        <v>4.3075917160006845E-3</v>
      </c>
      <c r="J25" s="34">
        <v>275461.84000000003</v>
      </c>
      <c r="K25" s="35">
        <f>J25/J5</f>
        <v>4.4891579238323827E-3</v>
      </c>
      <c r="L25" s="3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405</v>
      </c>
      <c r="D26" s="44">
        <v>13876127.32</v>
      </c>
      <c r="E26" s="45">
        <f>D26/D5</f>
        <v>2.7018438739048181E-3</v>
      </c>
      <c r="F26" s="44"/>
      <c r="G26" s="45">
        <f>F26/F5</f>
        <v>0</v>
      </c>
      <c r="H26" s="44">
        <v>23887852.280000001</v>
      </c>
      <c r="I26" s="45">
        <f>H26/H5</f>
        <v>5.2018226820991446E-3</v>
      </c>
      <c r="J26" s="44"/>
      <c r="K26" s="45">
        <f>J26/J5</f>
        <v>0</v>
      </c>
      <c r="L26" s="45"/>
      <c r="M26" s="4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411</v>
      </c>
      <c r="D27" s="34">
        <v>17943717.390000001</v>
      </c>
      <c r="E27" s="35">
        <f>D27/D5</f>
        <v>3.4938511147396168E-3</v>
      </c>
      <c r="F27" s="34">
        <v>2112025.33</v>
      </c>
      <c r="G27" s="35">
        <f>F27/F5</f>
        <v>6.0202980497813469E-3</v>
      </c>
      <c r="H27" s="34">
        <v>35867210.600000001</v>
      </c>
      <c r="I27" s="35">
        <f>H27/H5</f>
        <v>7.8104497405535218E-3</v>
      </c>
      <c r="J27" s="34">
        <v>499854.93</v>
      </c>
      <c r="K27" s="35">
        <f>J27/J5</f>
        <v>8.1460565273802736E-3</v>
      </c>
      <c r="L27" s="35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 t="s">
        <v>412</v>
      </c>
      <c r="D28" s="44">
        <v>7458916.7400000002</v>
      </c>
      <c r="E28" s="45">
        <f>D28/D5</f>
        <v>1.45233810811813E-3</v>
      </c>
      <c r="F28" s="44">
        <v>1423820.06</v>
      </c>
      <c r="G28" s="45">
        <f>F28/F5</f>
        <v>4.0585787531523402E-3</v>
      </c>
      <c r="H28" s="44">
        <v>16195800.49</v>
      </c>
      <c r="I28" s="45">
        <f>H28/H5</f>
        <v>3.5268002060683556E-3</v>
      </c>
      <c r="J28" s="44">
        <v>336976.77</v>
      </c>
      <c r="K28" s="45">
        <f>J28/J5</f>
        <v>5.4916569830250981E-3</v>
      </c>
      <c r="L28" s="45"/>
      <c r="M28" s="4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 t="s">
        <v>415</v>
      </c>
      <c r="D29" s="34">
        <v>18149625.710000001</v>
      </c>
      <c r="E29" s="35">
        <f>D29/D5</f>
        <v>3.5339438668561371E-3</v>
      </c>
      <c r="F29" s="34"/>
      <c r="G29" s="35">
        <f>F29/F5</f>
        <v>0</v>
      </c>
      <c r="H29" s="34">
        <v>31244710.280000001</v>
      </c>
      <c r="I29" s="35">
        <f>H29/H5</f>
        <v>6.8038533027181087E-3</v>
      </c>
      <c r="J29" s="34"/>
      <c r="K29" s="35">
        <f>J29/J5</f>
        <v>0</v>
      </c>
      <c r="L29" s="35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 t="s">
        <v>430</v>
      </c>
      <c r="D30" s="44">
        <v>5571215.7999999998</v>
      </c>
      <c r="E30" s="45">
        <f>D30/D5</f>
        <v>1.0847807123920026E-3</v>
      </c>
      <c r="F30" s="44"/>
      <c r="G30" s="45">
        <f>F30/F5</f>
        <v>0</v>
      </c>
      <c r="H30" s="44">
        <v>9590887.8000000007</v>
      </c>
      <c r="I30" s="45">
        <f>H30/H5</f>
        <v>2.0885133211108403E-3</v>
      </c>
      <c r="J30" s="44"/>
      <c r="K30" s="45">
        <f>J30/J5</f>
        <v>0</v>
      </c>
      <c r="L30" s="45"/>
      <c r="M30" s="4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 t="s">
        <v>439</v>
      </c>
      <c r="D31" s="34">
        <v>5587691.9000000004</v>
      </c>
      <c r="E31" s="35">
        <f>D31/D5</f>
        <v>1.0879888012790713E-3</v>
      </c>
      <c r="F31" s="34"/>
      <c r="G31" s="35">
        <f>F31/F5</f>
        <v>0</v>
      </c>
      <c r="H31" s="34">
        <v>9619251.5199999996</v>
      </c>
      <c r="I31" s="35">
        <f>H31/H5</f>
        <v>2.0946898094914321E-3</v>
      </c>
      <c r="J31" s="34"/>
      <c r="K31" s="35">
        <f>J31/J5</f>
        <v>0</v>
      </c>
      <c r="L31" s="35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 t="s">
        <v>454</v>
      </c>
      <c r="D32" s="44">
        <v>11727566.66</v>
      </c>
      <c r="E32" s="45">
        <f>D32/D5</f>
        <v>2.2834940473961713E-3</v>
      </c>
      <c r="F32" s="44">
        <v>1095718.32</v>
      </c>
      <c r="G32" s="45">
        <f>F32/F5</f>
        <v>3.1233294275905743E-3</v>
      </c>
      <c r="H32" s="44">
        <v>22771142.359999999</v>
      </c>
      <c r="I32" s="45">
        <f>H32/H5</f>
        <v>4.9586477443486869E-3</v>
      </c>
      <c r="J32" s="44">
        <v>259324.64</v>
      </c>
      <c r="K32" s="45">
        <f>J32/J5</f>
        <v>4.2261725344642292E-3</v>
      </c>
      <c r="L32" s="45"/>
      <c r="M32" s="4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 t="s">
        <v>460</v>
      </c>
      <c r="D33" s="34">
        <v>5282472.88</v>
      </c>
      <c r="E33" s="35">
        <f>D33/D5</f>
        <v>1.0285590972724183E-3</v>
      </c>
      <c r="F33" s="34">
        <v>1008362.36</v>
      </c>
      <c r="G33" s="35">
        <f>F33/F5</f>
        <v>2.8743225107915331E-3</v>
      </c>
      <c r="H33" s="34">
        <v>11470013.65</v>
      </c>
      <c r="I33" s="35">
        <f>H33/H5</f>
        <v>2.497712078473921E-3</v>
      </c>
      <c r="J33" s="34">
        <v>238650.03</v>
      </c>
      <c r="K33" s="35">
        <f>J33/J5</f>
        <v>3.8892416938670548E-3</v>
      </c>
      <c r="L33" s="35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 t="s">
        <v>461</v>
      </c>
      <c r="D34" s="44">
        <v>26404750.800000001</v>
      </c>
      <c r="E34" s="45">
        <f>D34/D5</f>
        <v>5.1413130296186519E-3</v>
      </c>
      <c r="F34" s="44">
        <v>2270870.81</v>
      </c>
      <c r="G34" s="45">
        <f>F34/F5</f>
        <v>6.4730848226845781E-3</v>
      </c>
      <c r="H34" s="44">
        <v>50807258.329999998</v>
      </c>
      <c r="I34" s="45">
        <f>H34/H5</f>
        <v>1.1063797016927328E-2</v>
      </c>
      <c r="J34" s="44">
        <v>537449.04</v>
      </c>
      <c r="K34" s="45">
        <f>J34/J5</f>
        <v>8.7587217763887264E-3</v>
      </c>
      <c r="L34" s="45"/>
      <c r="M34" s="4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>
        <f t="shared" si="1"/>
        <v>14</v>
      </c>
      <c r="B35" s="3"/>
      <c r="C35" s="3" t="s">
        <v>470</v>
      </c>
      <c r="D35" s="34">
        <v>12696835.16</v>
      </c>
      <c r="E35" s="35">
        <f>D35/D5</f>
        <v>2.4722219322375963E-3</v>
      </c>
      <c r="F35" s="34">
        <v>618256.05000000005</v>
      </c>
      <c r="G35" s="35">
        <f>F35/F5</f>
        <v>1.7623300436839548E-3</v>
      </c>
      <c r="H35" s="34">
        <v>23314608.489999998</v>
      </c>
      <c r="I35" s="35">
        <f>H35/H5</f>
        <v>5.0769930191289373E-3</v>
      </c>
      <c r="J35" s="34">
        <v>146323.22</v>
      </c>
      <c r="K35" s="35">
        <f>J35/J5</f>
        <v>2.3846063124520946E-3</v>
      </c>
      <c r="L35" s="35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3" customHeight="1">
      <c r="A36" s="47"/>
      <c r="B36" s="48"/>
      <c r="C36" s="48"/>
      <c r="D36" s="48"/>
      <c r="E36" s="49"/>
      <c r="F36" s="48"/>
      <c r="G36" s="49"/>
      <c r="H36" s="48"/>
      <c r="I36" s="49"/>
      <c r="J36" s="48"/>
      <c r="K36" s="49"/>
      <c r="L36" s="48"/>
      <c r="M36" s="48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5"/>
      <c r="F37" s="3"/>
      <c r="G37" s="35"/>
      <c r="H37" s="3"/>
      <c r="I37" s="35"/>
      <c r="J37" s="3"/>
      <c r="K37" s="35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D2:E2"/>
    <mergeCell ref="F2:G2"/>
    <mergeCell ref="H2:I2"/>
    <mergeCell ref="J2:K2"/>
    <mergeCell ref="D3:E3"/>
    <mergeCell ref="F3:G3"/>
    <mergeCell ref="H3:I3"/>
    <mergeCell ref="J3:K3"/>
  </mergeCells>
  <pageMargins left="0.511811024" right="0.511811024" top="0.78740157499999996" bottom="0.78740157499999996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00"/>
  <sheetViews>
    <sheetView workbookViewId="0"/>
  </sheetViews>
  <sheetFormatPr defaultColWidth="12.625" defaultRowHeight="15" customHeight="1"/>
  <cols>
    <col min="1" max="1" width="43.125" customWidth="1"/>
    <col min="2" max="2" width="12.375" customWidth="1"/>
    <col min="3" max="3" width="7" customWidth="1"/>
    <col min="4" max="4" width="12.375" customWidth="1"/>
    <col min="5" max="5" width="6.625" customWidth="1"/>
    <col min="6" max="6" width="11.625" customWidth="1"/>
    <col min="7" max="7" width="5.375" customWidth="1"/>
    <col min="8" max="8" width="10.375" customWidth="1"/>
    <col min="9" max="26" width="8.625" customWidth="1"/>
  </cols>
  <sheetData>
    <row r="1" spans="1:9" ht="13.5" customHeight="1">
      <c r="A1" s="26" t="s">
        <v>487</v>
      </c>
      <c r="B1" s="78" t="s">
        <v>488</v>
      </c>
      <c r="C1" s="79"/>
      <c r="D1" s="78" t="s">
        <v>489</v>
      </c>
      <c r="E1" s="79"/>
      <c r="F1" s="78" t="s">
        <v>496</v>
      </c>
      <c r="G1" s="79"/>
      <c r="H1" s="78" t="s">
        <v>497</v>
      </c>
      <c r="I1" s="79"/>
    </row>
    <row r="2" spans="1:9" ht="13.5" customHeight="1">
      <c r="A2" s="27">
        <v>44195</v>
      </c>
      <c r="B2" s="82" t="s">
        <v>499</v>
      </c>
      <c r="C2" s="83"/>
      <c r="D2" s="82" t="s">
        <v>500</v>
      </c>
      <c r="E2" s="83"/>
      <c r="F2" s="82" t="s">
        <v>501</v>
      </c>
      <c r="G2" s="83"/>
      <c r="H2" s="82" t="s">
        <v>502</v>
      </c>
      <c r="I2" s="83"/>
    </row>
    <row r="3" spans="1:9" ht="13.5" customHeight="1">
      <c r="A3" s="3" t="s">
        <v>503</v>
      </c>
      <c r="B3" s="50"/>
      <c r="C3" s="51"/>
      <c r="D3" s="50"/>
      <c r="E3" s="51"/>
      <c r="F3" s="50"/>
      <c r="G3" s="51"/>
      <c r="H3" s="50"/>
      <c r="I3" s="51"/>
    </row>
    <row r="4" spans="1:9" ht="13.5" customHeight="1">
      <c r="A4" s="30" t="s">
        <v>493</v>
      </c>
      <c r="B4" s="31"/>
      <c r="C4" s="32"/>
      <c r="D4" s="31"/>
      <c r="E4" s="32"/>
      <c r="F4" s="31"/>
      <c r="G4" s="32"/>
      <c r="H4" s="31"/>
      <c r="I4" s="32"/>
    </row>
    <row r="5" spans="1:9" ht="13.5" customHeight="1">
      <c r="A5" s="3" t="s">
        <v>494</v>
      </c>
      <c r="B5" s="34"/>
      <c r="C5" s="35"/>
      <c r="D5" s="34"/>
      <c r="E5" s="35"/>
      <c r="F5" s="34"/>
      <c r="G5" s="35"/>
      <c r="H5" s="34"/>
      <c r="I5" s="35"/>
    </row>
    <row r="6" spans="1:9" ht="13.5" customHeight="1">
      <c r="A6" s="45"/>
      <c r="B6" s="44"/>
      <c r="C6" s="45"/>
      <c r="D6" s="44"/>
      <c r="E6" s="45"/>
      <c r="F6" s="44"/>
      <c r="G6" s="45"/>
      <c r="H6" s="44"/>
      <c r="I6" s="45"/>
    </row>
    <row r="7" spans="1:9" ht="13.5" customHeight="1">
      <c r="A7" s="34"/>
      <c r="B7" s="34"/>
      <c r="C7" s="35"/>
      <c r="D7" s="34"/>
      <c r="E7" s="35"/>
      <c r="F7" s="34"/>
      <c r="G7" s="35"/>
      <c r="H7" s="34"/>
      <c r="I7" s="35"/>
    </row>
    <row r="8" spans="1:9" ht="13.5" customHeight="1">
      <c r="A8" s="45"/>
      <c r="B8" s="44"/>
      <c r="C8" s="45"/>
      <c r="D8" s="44"/>
      <c r="E8" s="45"/>
      <c r="F8" s="44"/>
      <c r="G8" s="45"/>
      <c r="H8" s="44"/>
      <c r="I8" s="45"/>
    </row>
    <row r="9" spans="1:9" ht="13.5" customHeight="1">
      <c r="A9" s="34"/>
      <c r="B9" s="34"/>
      <c r="C9" s="35"/>
      <c r="D9" s="34"/>
      <c r="E9" s="35"/>
      <c r="F9" s="34"/>
      <c r="G9" s="35"/>
      <c r="H9" s="34"/>
      <c r="I9" s="35"/>
    </row>
    <row r="10" spans="1:9" ht="13.5" customHeight="1">
      <c r="A10" s="45"/>
      <c r="B10" s="44"/>
      <c r="C10" s="45"/>
      <c r="D10" s="44"/>
      <c r="E10" s="45"/>
      <c r="F10" s="44"/>
      <c r="G10" s="45"/>
      <c r="H10" s="44"/>
      <c r="I10" s="45"/>
    </row>
    <row r="11" spans="1:9" ht="13.5" customHeight="1">
      <c r="A11" s="34"/>
      <c r="B11" s="34"/>
      <c r="C11" s="35"/>
      <c r="D11" s="34"/>
      <c r="E11" s="35"/>
      <c r="F11" s="34"/>
      <c r="G11" s="35"/>
      <c r="H11" s="34"/>
      <c r="I11" s="35"/>
    </row>
    <row r="12" spans="1:9" ht="13.5" customHeight="1">
      <c r="A12" s="45"/>
      <c r="B12" s="44"/>
      <c r="C12" s="45"/>
      <c r="D12" s="44"/>
      <c r="E12" s="45"/>
      <c r="F12" s="44"/>
      <c r="G12" s="45"/>
      <c r="H12" s="44"/>
      <c r="I12" s="45"/>
    </row>
    <row r="13" spans="1:9" ht="13.5" customHeight="1">
      <c r="A13" s="34"/>
      <c r="B13" s="34"/>
      <c r="C13" s="35"/>
      <c r="D13" s="34"/>
      <c r="E13" s="35"/>
      <c r="F13" s="34"/>
      <c r="G13" s="35"/>
      <c r="H13" s="34"/>
      <c r="I13" s="35"/>
    </row>
    <row r="14" spans="1:9" ht="13.5" customHeight="1">
      <c r="A14" s="44"/>
      <c r="B14" s="44"/>
      <c r="C14" s="45"/>
      <c r="D14" s="44"/>
      <c r="E14" s="45"/>
      <c r="F14" s="44"/>
      <c r="G14" s="45"/>
      <c r="H14" s="44"/>
      <c r="I14" s="45"/>
    </row>
    <row r="15" spans="1:9" ht="13.5" customHeight="1">
      <c r="A15" s="17"/>
      <c r="B15" s="34"/>
      <c r="C15" s="35"/>
      <c r="D15" s="34"/>
      <c r="E15" s="35"/>
      <c r="F15" s="34"/>
      <c r="G15" s="35"/>
      <c r="H15" s="34"/>
      <c r="I15" s="35"/>
    </row>
    <row r="16" spans="1:9" ht="13.5" customHeight="1">
      <c r="A16" s="17"/>
      <c r="B16" s="34"/>
      <c r="C16" s="35"/>
      <c r="D16" s="34"/>
      <c r="E16" s="35"/>
      <c r="F16" s="34"/>
      <c r="G16" s="35"/>
      <c r="H16" s="34"/>
      <c r="I16" s="35"/>
    </row>
    <row r="17" spans="1:9" ht="13.5" customHeight="1">
      <c r="A17" s="36" t="s">
        <v>495</v>
      </c>
      <c r="B17" s="37"/>
      <c r="C17" s="38"/>
      <c r="D17" s="37"/>
      <c r="E17" s="38"/>
      <c r="F17" s="37"/>
      <c r="G17" s="38"/>
      <c r="H17" s="37"/>
      <c r="I17" s="38"/>
    </row>
    <row r="18" spans="1:9" ht="13.5" customHeight="1">
      <c r="A18" s="17" t="s">
        <v>504</v>
      </c>
      <c r="B18" s="52">
        <v>265752268.63</v>
      </c>
      <c r="C18" s="45"/>
      <c r="D18" s="52">
        <v>5703796.6100000003</v>
      </c>
      <c r="E18" s="45"/>
      <c r="F18" s="52">
        <v>13276896.65</v>
      </c>
      <c r="G18" s="45"/>
      <c r="H18" s="52">
        <v>59215932.43</v>
      </c>
      <c r="I18" s="45"/>
    </row>
    <row r="19" spans="1:9" ht="13.5" customHeight="1">
      <c r="A19" s="17" t="s">
        <v>505</v>
      </c>
      <c r="B19" s="52">
        <v>1300865110.8</v>
      </c>
      <c r="C19" s="35"/>
      <c r="D19" s="34"/>
      <c r="E19" s="35"/>
      <c r="F19" s="34"/>
      <c r="G19" s="35"/>
      <c r="H19" s="34"/>
      <c r="I19" s="35"/>
    </row>
    <row r="20" spans="1:9" ht="13.5" customHeight="1">
      <c r="A20" s="53"/>
      <c r="B20" s="44"/>
      <c r="C20" s="45"/>
      <c r="D20" s="44"/>
      <c r="E20" s="45"/>
      <c r="F20" s="44"/>
      <c r="G20" s="45"/>
      <c r="H20" s="44"/>
      <c r="I20" s="45"/>
    </row>
    <row r="21" spans="1:9" ht="13.5" customHeight="1">
      <c r="A21" s="3"/>
      <c r="B21" s="34"/>
      <c r="C21" s="35"/>
      <c r="D21" s="34"/>
      <c r="E21" s="35"/>
      <c r="F21" s="34"/>
      <c r="G21" s="35"/>
    </row>
    <row r="22" spans="1:9" ht="13.5" customHeight="1"/>
    <row r="23" spans="1:9" ht="13.5" customHeight="1"/>
    <row r="24" spans="1:9" ht="13.5" customHeight="1"/>
    <row r="25" spans="1:9" ht="13.5" customHeight="1"/>
    <row r="26" spans="1:9" ht="13.5" customHeight="1"/>
    <row r="27" spans="1:9" ht="13.5" customHeight="1"/>
    <row r="28" spans="1:9" ht="13.5" customHeight="1"/>
    <row r="29" spans="1:9" ht="13.5" customHeight="1"/>
    <row r="30" spans="1:9" ht="13.5" customHeight="1"/>
    <row r="31" spans="1:9" ht="13.5" customHeight="1"/>
    <row r="32" spans="1:9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8">
    <mergeCell ref="B1:C1"/>
    <mergeCell ref="D1:E1"/>
    <mergeCell ref="F1:G1"/>
    <mergeCell ref="H1:I1"/>
    <mergeCell ref="B2:C2"/>
    <mergeCell ref="D2:E2"/>
    <mergeCell ref="F2:G2"/>
    <mergeCell ref="H2:I2"/>
  </mergeCells>
  <pageMargins left="0.511811024" right="0.511811024" top="0.78740157499999996" bottom="0.78740157499999996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000"/>
  <sheetViews>
    <sheetView workbookViewId="0"/>
  </sheetViews>
  <sheetFormatPr defaultColWidth="12.625" defaultRowHeight="15" customHeight="1"/>
  <cols>
    <col min="1" max="1" width="39.625" customWidth="1"/>
    <col min="2" max="2" width="14.875" customWidth="1"/>
    <col min="3" max="3" width="8.875" customWidth="1"/>
    <col min="4" max="4" width="14.625" customWidth="1"/>
    <col min="5" max="5" width="8.75" customWidth="1"/>
    <col min="6" max="6" width="13.5" customWidth="1"/>
    <col min="7" max="7" width="8.75" customWidth="1"/>
    <col min="8" max="8" width="11.375" customWidth="1"/>
    <col min="9" max="9" width="8.625" customWidth="1"/>
    <col min="10" max="10" width="14.875" customWidth="1"/>
    <col min="11" max="11" width="8.625" customWidth="1"/>
    <col min="12" max="12" width="14.5" customWidth="1"/>
    <col min="13" max="13" width="8.625" customWidth="1"/>
    <col min="14" max="14" width="11.375" customWidth="1"/>
    <col min="15" max="15" width="8.75" customWidth="1"/>
    <col min="16" max="16" width="11.375" customWidth="1"/>
    <col min="17" max="17" width="8.75" customWidth="1"/>
    <col min="18" max="18" width="12.375" customWidth="1"/>
    <col min="19" max="19" width="8.75" customWidth="1"/>
    <col min="20" max="20" width="12.25" customWidth="1"/>
    <col min="21" max="21" width="8.75" customWidth="1"/>
    <col min="22" max="26" width="8.625" customWidth="1"/>
  </cols>
  <sheetData>
    <row r="1" spans="1:21" ht="13.5" customHeight="1">
      <c r="A1" s="26" t="s">
        <v>487</v>
      </c>
      <c r="B1" s="78" t="s">
        <v>488</v>
      </c>
      <c r="C1" s="79"/>
      <c r="D1" s="78" t="s">
        <v>489</v>
      </c>
      <c r="E1" s="79"/>
      <c r="F1" s="78" t="s">
        <v>496</v>
      </c>
      <c r="G1" s="79"/>
      <c r="H1" s="78" t="s">
        <v>497</v>
      </c>
      <c r="I1" s="79"/>
      <c r="J1" s="78" t="s">
        <v>506</v>
      </c>
      <c r="K1" s="79"/>
      <c r="L1" s="78" t="s">
        <v>507</v>
      </c>
      <c r="M1" s="79"/>
      <c r="N1" s="78" t="s">
        <v>508</v>
      </c>
      <c r="O1" s="79"/>
      <c r="P1" s="78" t="s">
        <v>509</v>
      </c>
      <c r="Q1" s="79"/>
      <c r="R1" s="78" t="s">
        <v>510</v>
      </c>
      <c r="S1" s="79"/>
      <c r="T1" s="78" t="s">
        <v>510</v>
      </c>
      <c r="U1" s="79"/>
    </row>
    <row r="2" spans="1:21" ht="13.5" customHeight="1">
      <c r="A2" s="27">
        <v>44073</v>
      </c>
      <c r="B2" s="82" t="s">
        <v>511</v>
      </c>
      <c r="C2" s="83"/>
      <c r="D2" s="82" t="s">
        <v>304</v>
      </c>
      <c r="E2" s="83"/>
      <c r="F2" s="82" t="s">
        <v>305</v>
      </c>
      <c r="G2" s="83"/>
      <c r="H2" s="82" t="s">
        <v>512</v>
      </c>
      <c r="I2" s="83"/>
      <c r="J2" s="82" t="s">
        <v>513</v>
      </c>
      <c r="K2" s="83"/>
      <c r="L2" s="82" t="s">
        <v>514</v>
      </c>
      <c r="M2" s="83"/>
      <c r="N2" s="82" t="s">
        <v>515</v>
      </c>
      <c r="O2" s="83"/>
      <c r="P2" s="82" t="s">
        <v>516</v>
      </c>
      <c r="Q2" s="83"/>
      <c r="R2" s="82" t="s">
        <v>517</v>
      </c>
      <c r="S2" s="83"/>
      <c r="T2" s="82" t="s">
        <v>518</v>
      </c>
      <c r="U2" s="83"/>
    </row>
    <row r="3" spans="1:21" ht="13.5" customHeight="1">
      <c r="A3" s="3" t="s">
        <v>503</v>
      </c>
      <c r="B3" s="50">
        <v>594764665.11000001</v>
      </c>
      <c r="C3" s="51">
        <v>1</v>
      </c>
      <c r="D3" s="50">
        <v>8314526510.9799995</v>
      </c>
      <c r="E3" s="51">
        <v>1</v>
      </c>
      <c r="F3" s="50">
        <v>598840313.38999999</v>
      </c>
      <c r="G3" s="51">
        <v>1</v>
      </c>
      <c r="H3" s="31">
        <v>16569428.869999999</v>
      </c>
      <c r="I3" s="51">
        <v>1</v>
      </c>
      <c r="J3" s="31">
        <v>13151845910.99</v>
      </c>
      <c r="K3" s="51">
        <v>1</v>
      </c>
      <c r="L3" s="31">
        <v>2029218090.01</v>
      </c>
      <c r="M3" s="51">
        <v>1</v>
      </c>
      <c r="N3" s="31">
        <v>94294519.709999993</v>
      </c>
      <c r="O3" s="54">
        <v>1</v>
      </c>
      <c r="P3" s="31">
        <v>80856071.159999996</v>
      </c>
      <c r="Q3" s="54">
        <v>1</v>
      </c>
      <c r="R3" s="31">
        <v>113385919.90000001</v>
      </c>
      <c r="S3" s="54">
        <v>1</v>
      </c>
      <c r="T3" s="31">
        <v>126430632.47</v>
      </c>
      <c r="U3" s="54">
        <v>1</v>
      </c>
    </row>
    <row r="4" spans="1:21" ht="13.5" customHeight="1">
      <c r="A4" s="30" t="s">
        <v>493</v>
      </c>
      <c r="B4" s="31"/>
      <c r="C4" s="32"/>
      <c r="D4" s="31">
        <f>SUM(D6:D14)</f>
        <v>30871829.170000002</v>
      </c>
      <c r="E4" s="55" t="s">
        <v>519</v>
      </c>
      <c r="F4" s="31">
        <f>SUM(F6:F14)</f>
        <v>5281162.4400000004</v>
      </c>
      <c r="G4" s="55" t="s">
        <v>520</v>
      </c>
      <c r="H4" s="31"/>
      <c r="I4" s="32"/>
      <c r="J4" s="31"/>
      <c r="K4" s="32"/>
      <c r="L4" s="31"/>
      <c r="M4" s="32"/>
      <c r="N4" s="31"/>
      <c r="O4" s="32"/>
      <c r="P4" s="31"/>
      <c r="Q4" s="32"/>
      <c r="R4" s="31"/>
      <c r="S4" s="32"/>
      <c r="T4" s="31"/>
      <c r="U4" s="32"/>
    </row>
    <row r="5" spans="1:21" ht="13.5" customHeight="1">
      <c r="A5" s="3" t="s">
        <v>494</v>
      </c>
      <c r="B5" s="34"/>
      <c r="C5" s="35"/>
      <c r="D5" s="34"/>
      <c r="E5" s="35"/>
      <c r="F5" s="34"/>
      <c r="G5" s="35"/>
      <c r="H5" s="34"/>
      <c r="I5" s="35"/>
      <c r="J5" s="34"/>
      <c r="K5" s="35"/>
      <c r="L5" s="34"/>
      <c r="M5" s="35"/>
      <c r="N5" s="34"/>
      <c r="O5" s="35"/>
      <c r="P5" s="34"/>
      <c r="Q5" s="35"/>
      <c r="R5" s="34"/>
      <c r="S5" s="35"/>
      <c r="T5" s="34"/>
      <c r="U5" s="35"/>
    </row>
    <row r="6" spans="1:21" ht="13.5" customHeight="1">
      <c r="A6" s="44" t="s">
        <v>521</v>
      </c>
      <c r="B6" s="44"/>
      <c r="C6" s="45"/>
      <c r="D6" s="44">
        <v>793351.9</v>
      </c>
      <c r="E6" s="45">
        <v>1E-4</v>
      </c>
      <c r="F6" s="44"/>
      <c r="G6" s="45"/>
      <c r="H6" s="44"/>
      <c r="I6" s="45"/>
      <c r="J6" s="44"/>
      <c r="K6" s="45"/>
      <c r="L6" s="44"/>
      <c r="M6" s="45"/>
      <c r="N6" s="44"/>
      <c r="O6" s="45"/>
      <c r="P6" s="44"/>
      <c r="Q6" s="45"/>
      <c r="R6" s="44"/>
      <c r="S6" s="45"/>
      <c r="T6" s="44"/>
      <c r="U6" s="45"/>
    </row>
    <row r="7" spans="1:21" ht="13.5" customHeight="1">
      <c r="A7" s="34" t="s">
        <v>522</v>
      </c>
      <c r="B7" s="34"/>
      <c r="C7" s="35"/>
      <c r="D7" s="34">
        <v>2771939.84</v>
      </c>
      <c r="E7" s="35" t="s">
        <v>523</v>
      </c>
      <c r="F7" s="34"/>
      <c r="G7" s="35"/>
      <c r="H7" s="34"/>
      <c r="I7" s="35"/>
      <c r="J7" s="34"/>
      <c r="K7" s="35"/>
      <c r="L7" s="34"/>
      <c r="M7" s="35"/>
      <c r="N7" s="34"/>
      <c r="O7" s="35"/>
      <c r="P7" s="34"/>
      <c r="Q7" s="35"/>
      <c r="R7" s="34"/>
      <c r="S7" s="35"/>
      <c r="T7" s="34"/>
      <c r="U7" s="35"/>
    </row>
    <row r="8" spans="1:21" ht="13.5" customHeight="1">
      <c r="A8" s="44" t="s">
        <v>524</v>
      </c>
      <c r="B8" s="44"/>
      <c r="C8" s="45"/>
      <c r="D8" s="44">
        <v>632726.86</v>
      </c>
      <c r="E8" s="45">
        <v>1E-4</v>
      </c>
      <c r="F8" s="44"/>
      <c r="G8" s="45"/>
      <c r="H8" s="44"/>
      <c r="I8" s="45"/>
      <c r="J8" s="44"/>
      <c r="K8" s="45"/>
      <c r="L8" s="44"/>
      <c r="M8" s="45"/>
      <c r="N8" s="44"/>
      <c r="O8" s="45"/>
      <c r="P8" s="44"/>
      <c r="Q8" s="45"/>
      <c r="R8" s="44"/>
      <c r="S8" s="45"/>
      <c r="T8" s="44"/>
      <c r="U8" s="45"/>
    </row>
    <row r="9" spans="1:21" ht="13.5" customHeight="1">
      <c r="A9" s="34" t="s">
        <v>399</v>
      </c>
      <c r="B9" s="34"/>
      <c r="C9" s="35"/>
      <c r="D9" s="34">
        <v>1488098.46</v>
      </c>
      <c r="E9" s="35">
        <v>2.0000000000000001E-4</v>
      </c>
      <c r="F9" s="34"/>
      <c r="G9" s="35"/>
      <c r="H9" s="34"/>
      <c r="I9" s="35"/>
      <c r="J9" s="34"/>
      <c r="K9" s="35"/>
      <c r="L9" s="34"/>
      <c r="M9" s="35"/>
      <c r="N9" s="34"/>
      <c r="O9" s="35"/>
      <c r="P9" s="34"/>
      <c r="Q9" s="35"/>
      <c r="R9" s="34"/>
      <c r="S9" s="35"/>
      <c r="T9" s="34"/>
      <c r="U9" s="35"/>
    </row>
    <row r="10" spans="1:21" ht="13.5" customHeight="1">
      <c r="A10" s="44" t="s">
        <v>525</v>
      </c>
      <c r="B10" s="44"/>
      <c r="C10" s="45"/>
      <c r="D10" s="44">
        <v>178</v>
      </c>
      <c r="E10" s="45">
        <v>0</v>
      </c>
      <c r="F10" s="44"/>
      <c r="G10" s="45"/>
      <c r="H10" s="44"/>
      <c r="I10" s="45"/>
      <c r="J10" s="44"/>
      <c r="K10" s="45"/>
      <c r="L10" s="44"/>
      <c r="M10" s="45"/>
      <c r="N10" s="44"/>
      <c r="O10" s="45"/>
      <c r="P10" s="44"/>
      <c r="Q10" s="45"/>
      <c r="R10" s="44"/>
      <c r="S10" s="45"/>
      <c r="T10" s="44"/>
      <c r="U10" s="45"/>
    </row>
    <row r="11" spans="1:21" ht="13.5" customHeight="1">
      <c r="A11" s="34" t="s">
        <v>526</v>
      </c>
      <c r="B11" s="34"/>
      <c r="C11" s="35"/>
      <c r="D11" s="34">
        <v>7486119.3600000003</v>
      </c>
      <c r="E11" s="35">
        <v>8.9999999999999998E-4</v>
      </c>
      <c r="F11" s="34"/>
      <c r="G11" s="35"/>
      <c r="H11" s="34"/>
      <c r="I11" s="35"/>
      <c r="J11" s="34"/>
      <c r="K11" s="35"/>
      <c r="L11" s="34"/>
      <c r="M11" s="35"/>
      <c r="N11" s="34"/>
      <c r="O11" s="35"/>
      <c r="P11" s="34"/>
      <c r="Q11" s="35"/>
      <c r="R11" s="34"/>
      <c r="S11" s="35"/>
      <c r="T11" s="34"/>
      <c r="U11" s="35"/>
    </row>
    <row r="12" spans="1:21" ht="13.5" customHeight="1">
      <c r="A12" s="44" t="s">
        <v>527</v>
      </c>
      <c r="B12" s="44"/>
      <c r="C12" s="45"/>
      <c r="D12" s="44">
        <v>11293294.119999999</v>
      </c>
      <c r="E12" s="45">
        <v>1.4E-3</v>
      </c>
      <c r="F12" s="44">
        <v>3764431.37</v>
      </c>
      <c r="G12" s="45">
        <v>6.3E-3</v>
      </c>
      <c r="H12" s="44"/>
      <c r="I12" s="45"/>
      <c r="J12" s="44"/>
      <c r="K12" s="45"/>
      <c r="L12" s="44"/>
      <c r="M12" s="45"/>
      <c r="N12" s="44"/>
      <c r="O12" s="45"/>
      <c r="P12" s="44"/>
      <c r="Q12" s="45"/>
      <c r="R12" s="44"/>
      <c r="S12" s="45"/>
      <c r="T12" s="44"/>
      <c r="U12" s="45"/>
    </row>
    <row r="13" spans="1:21" ht="13.5" customHeight="1">
      <c r="A13" s="34" t="s">
        <v>374</v>
      </c>
      <c r="B13" s="34"/>
      <c r="C13" s="35"/>
      <c r="D13" s="34">
        <v>4550193.55</v>
      </c>
      <c r="E13" s="35">
        <v>5.0000000000000001E-4</v>
      </c>
      <c r="F13" s="34">
        <v>1516731.07</v>
      </c>
      <c r="G13" s="35">
        <v>2.5000000000000001E-3</v>
      </c>
      <c r="H13" s="34"/>
      <c r="I13" s="35"/>
      <c r="J13" s="34"/>
      <c r="K13" s="35"/>
      <c r="L13" s="34"/>
      <c r="M13" s="35"/>
      <c r="N13" s="34"/>
      <c r="O13" s="35"/>
      <c r="P13" s="34"/>
      <c r="Q13" s="35"/>
      <c r="R13" s="34"/>
      <c r="S13" s="35"/>
      <c r="T13" s="34"/>
      <c r="U13" s="35"/>
    </row>
    <row r="14" spans="1:21" ht="13.5" customHeight="1">
      <c r="A14" s="44"/>
      <c r="B14" s="44"/>
      <c r="C14" s="45"/>
      <c r="D14" s="44">
        <v>1855927.08</v>
      </c>
      <c r="E14" s="45">
        <v>2.0000000000000001E-4</v>
      </c>
      <c r="F14" s="44"/>
      <c r="G14" s="45"/>
      <c r="H14" s="44"/>
      <c r="I14" s="45"/>
      <c r="J14" s="44"/>
      <c r="K14" s="45"/>
      <c r="L14" s="44"/>
      <c r="M14" s="45"/>
      <c r="N14" s="44"/>
      <c r="O14" s="45"/>
      <c r="P14" s="44"/>
      <c r="Q14" s="45"/>
      <c r="R14" s="44"/>
      <c r="S14" s="45"/>
      <c r="T14" s="44"/>
      <c r="U14" s="45"/>
    </row>
    <row r="15" spans="1:21" ht="13.5" customHeight="1">
      <c r="A15" s="3"/>
      <c r="B15" s="34"/>
      <c r="C15" s="35"/>
      <c r="D15" s="34"/>
      <c r="E15" s="35"/>
      <c r="F15" s="34"/>
      <c r="G15" s="35"/>
      <c r="H15" s="34"/>
      <c r="I15" s="35"/>
      <c r="J15" s="34"/>
      <c r="K15" s="35"/>
      <c r="L15" s="34"/>
      <c r="M15" s="35"/>
      <c r="N15" s="34"/>
      <c r="O15" s="35"/>
      <c r="P15" s="34"/>
      <c r="Q15" s="35"/>
      <c r="R15" s="34"/>
      <c r="S15" s="35"/>
      <c r="T15" s="34"/>
      <c r="U15" s="35"/>
    </row>
    <row r="16" spans="1:21" ht="13.5" customHeight="1">
      <c r="A16" s="3"/>
      <c r="B16" s="34"/>
      <c r="C16" s="35"/>
      <c r="D16" s="34"/>
      <c r="E16" s="35"/>
      <c r="F16" s="34"/>
      <c r="G16" s="35"/>
      <c r="H16" s="34"/>
      <c r="I16" s="35"/>
      <c r="J16" s="34"/>
      <c r="K16" s="35"/>
      <c r="L16" s="34"/>
      <c r="M16" s="35"/>
      <c r="N16" s="34"/>
      <c r="O16" s="35"/>
      <c r="P16" s="34"/>
      <c r="Q16" s="35"/>
      <c r="R16" s="34"/>
      <c r="S16" s="35"/>
      <c r="T16" s="34"/>
      <c r="U16" s="35"/>
    </row>
    <row r="17" spans="1:21" ht="13.5" customHeight="1">
      <c r="A17" s="39" t="s">
        <v>495</v>
      </c>
      <c r="B17" s="40" t="s">
        <v>528</v>
      </c>
      <c r="C17" s="41">
        <v>3.3399999999999999E-2</v>
      </c>
      <c r="D17" s="40"/>
      <c r="E17" s="41"/>
      <c r="F17" s="40"/>
      <c r="G17" s="41"/>
      <c r="H17" s="40"/>
      <c r="I17" s="41"/>
      <c r="J17" s="40"/>
      <c r="K17" s="41"/>
      <c r="L17" s="40"/>
      <c r="M17" s="41"/>
      <c r="N17" s="40"/>
      <c r="O17" s="41"/>
      <c r="P17" s="40"/>
      <c r="Q17" s="41"/>
      <c r="R17" s="40"/>
      <c r="S17" s="41"/>
      <c r="T17" s="40"/>
      <c r="U17" s="41"/>
    </row>
    <row r="18" spans="1:21" ht="13.5" customHeight="1">
      <c r="A18" s="3" t="s">
        <v>529</v>
      </c>
      <c r="B18" s="52"/>
      <c r="C18" s="45"/>
      <c r="D18" s="52"/>
      <c r="E18" s="45"/>
      <c r="F18" s="52"/>
      <c r="G18" s="45"/>
      <c r="H18" s="52"/>
      <c r="I18" s="45"/>
      <c r="J18" s="52"/>
      <c r="K18" s="45"/>
      <c r="L18" s="52"/>
      <c r="M18" s="45"/>
      <c r="N18" s="56">
        <v>5470638.5</v>
      </c>
      <c r="O18" s="57">
        <v>5.8000000000000003E-2</v>
      </c>
      <c r="P18" s="56">
        <v>8806645.6199999992</v>
      </c>
      <c r="Q18" s="57">
        <v>0.1089</v>
      </c>
      <c r="R18" s="56">
        <v>10358844.82</v>
      </c>
      <c r="S18" s="57">
        <v>9.1399999999999995E-2</v>
      </c>
      <c r="T18" s="52">
        <v>9476058.9600000009</v>
      </c>
      <c r="U18" s="45">
        <v>7.4999999999999997E-2</v>
      </c>
    </row>
    <row r="19" spans="1:21" ht="13.5" customHeight="1">
      <c r="A19" s="3"/>
      <c r="B19" s="34"/>
      <c r="C19" s="35"/>
      <c r="D19" s="34"/>
      <c r="E19" s="35"/>
      <c r="F19" s="34"/>
      <c r="G19" s="35"/>
      <c r="H19" s="34"/>
      <c r="I19" s="35"/>
      <c r="J19" s="34"/>
      <c r="K19" s="35"/>
      <c r="L19" s="34"/>
      <c r="M19" s="35"/>
      <c r="N19" s="34"/>
      <c r="O19" s="35"/>
      <c r="P19" s="34"/>
      <c r="Q19" s="35"/>
      <c r="R19" s="34"/>
      <c r="S19" s="35"/>
      <c r="T19" s="34"/>
      <c r="U19" s="35"/>
    </row>
    <row r="20" spans="1:21" ht="13.5" customHeight="1">
      <c r="A20" s="43"/>
      <c r="B20" s="44"/>
      <c r="C20" s="45"/>
      <c r="D20" s="44"/>
      <c r="E20" s="45"/>
      <c r="F20" s="44"/>
      <c r="G20" s="45"/>
      <c r="H20" s="44"/>
      <c r="I20" s="45"/>
      <c r="J20" s="44"/>
      <c r="K20" s="45"/>
      <c r="L20" s="44"/>
      <c r="M20" s="45"/>
      <c r="N20" s="44"/>
      <c r="O20" s="45"/>
      <c r="P20" s="44"/>
      <c r="Q20" s="45"/>
      <c r="R20" s="44"/>
      <c r="S20" s="45"/>
      <c r="T20" s="44"/>
      <c r="U20" s="45"/>
    </row>
    <row r="21" spans="1:21" ht="13.5" customHeight="1">
      <c r="A21" s="3"/>
      <c r="B21" s="34"/>
      <c r="C21" s="35"/>
      <c r="D21" s="34"/>
      <c r="E21" s="35"/>
      <c r="F21" s="34"/>
      <c r="G21" s="35"/>
      <c r="H21" s="34"/>
      <c r="I21" s="35"/>
      <c r="J21" s="34"/>
      <c r="K21" s="35"/>
      <c r="L21" s="34"/>
      <c r="M21" s="35"/>
      <c r="N21" s="34"/>
      <c r="O21" s="35"/>
      <c r="P21" s="34"/>
      <c r="Q21" s="35"/>
      <c r="R21" s="34"/>
      <c r="S21" s="35"/>
      <c r="T21" s="34"/>
      <c r="U21" s="35"/>
    </row>
    <row r="22" spans="1:21" ht="13.5" customHeight="1">
      <c r="A22" s="43"/>
      <c r="B22" s="44"/>
      <c r="C22" s="45"/>
      <c r="D22" s="44"/>
      <c r="E22" s="45"/>
      <c r="F22" s="44"/>
      <c r="G22" s="45"/>
      <c r="H22" s="44"/>
      <c r="I22" s="45"/>
      <c r="J22" s="44"/>
      <c r="K22" s="45"/>
      <c r="L22" s="44"/>
      <c r="M22" s="45"/>
      <c r="N22" s="44"/>
      <c r="O22" s="45"/>
      <c r="P22" s="44"/>
      <c r="Q22" s="45"/>
      <c r="R22" s="44"/>
      <c r="S22" s="45"/>
      <c r="T22" s="44"/>
      <c r="U22" s="45"/>
    </row>
    <row r="23" spans="1:21" ht="13.5" customHeight="1">
      <c r="A23" s="3"/>
      <c r="B23" s="34"/>
      <c r="C23" s="35"/>
      <c r="D23" s="34"/>
      <c r="E23" s="35"/>
      <c r="F23" s="34"/>
      <c r="G23" s="35"/>
      <c r="H23" s="34"/>
      <c r="I23" s="35"/>
      <c r="J23" s="34"/>
      <c r="K23" s="35"/>
      <c r="L23" s="34"/>
      <c r="M23" s="35"/>
      <c r="N23" s="34"/>
      <c r="O23" s="35"/>
      <c r="P23" s="34"/>
      <c r="Q23" s="35"/>
      <c r="R23" s="34"/>
      <c r="S23" s="35"/>
      <c r="T23" s="34"/>
      <c r="U23" s="35"/>
    </row>
    <row r="24" spans="1:21" ht="13.5" customHeight="1">
      <c r="A24" s="43"/>
      <c r="B24" s="44"/>
      <c r="C24" s="45"/>
      <c r="D24" s="44"/>
      <c r="E24" s="45"/>
      <c r="F24" s="44"/>
      <c r="G24" s="45"/>
      <c r="H24" s="44"/>
      <c r="I24" s="45"/>
      <c r="J24" s="44"/>
      <c r="K24" s="45"/>
      <c r="L24" s="44"/>
      <c r="M24" s="45"/>
      <c r="N24" s="44"/>
      <c r="O24" s="45"/>
      <c r="P24" s="44"/>
      <c r="Q24" s="45"/>
      <c r="R24" s="44"/>
      <c r="S24" s="45"/>
      <c r="T24" s="44"/>
      <c r="U24" s="45"/>
    </row>
    <row r="25" spans="1:21" ht="13.5" customHeight="1">
      <c r="A25" s="3"/>
      <c r="B25" s="34"/>
      <c r="C25" s="35"/>
      <c r="D25" s="34"/>
      <c r="E25" s="35"/>
      <c r="F25" s="34"/>
      <c r="G25" s="35"/>
      <c r="H25" s="34"/>
      <c r="I25" s="35"/>
      <c r="J25" s="34"/>
      <c r="K25" s="35"/>
      <c r="L25" s="34"/>
      <c r="M25" s="35"/>
      <c r="N25" s="34"/>
      <c r="O25" s="35"/>
      <c r="P25" s="34"/>
      <c r="Q25" s="35"/>
      <c r="R25" s="34"/>
      <c r="S25" s="35"/>
      <c r="T25" s="34"/>
      <c r="U25" s="35"/>
    </row>
    <row r="26" spans="1:21" ht="13.5" customHeight="1">
      <c r="A26" s="43"/>
      <c r="B26" s="44"/>
      <c r="C26" s="45"/>
      <c r="D26" s="44"/>
      <c r="E26" s="45"/>
      <c r="F26" s="44"/>
      <c r="G26" s="45"/>
      <c r="H26" s="44"/>
      <c r="I26" s="45"/>
      <c r="J26" s="44"/>
      <c r="K26" s="45"/>
      <c r="L26" s="44"/>
      <c r="M26" s="45"/>
      <c r="N26" s="44"/>
      <c r="O26" s="45"/>
      <c r="P26" s="44"/>
      <c r="Q26" s="45"/>
      <c r="R26" s="44"/>
      <c r="S26" s="45"/>
      <c r="T26" s="44"/>
      <c r="U26" s="45"/>
    </row>
    <row r="27" spans="1:21" ht="13.5" customHeight="1">
      <c r="A27" s="3"/>
      <c r="B27" s="34"/>
      <c r="C27" s="35"/>
    </row>
    <row r="28" spans="1:21" ht="13.5" customHeight="1"/>
    <row r="29" spans="1:21" ht="13.5" customHeight="1"/>
    <row r="30" spans="1:21" ht="13.5" customHeight="1"/>
    <row r="31" spans="1:21" ht="13.5" customHeight="1"/>
    <row r="32" spans="1:21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20">
    <mergeCell ref="P2:Q2"/>
    <mergeCell ref="R2:S2"/>
    <mergeCell ref="T2:U2"/>
    <mergeCell ref="B2:C2"/>
    <mergeCell ref="D2:E2"/>
    <mergeCell ref="F2:G2"/>
    <mergeCell ref="H2:I2"/>
    <mergeCell ref="J2:K2"/>
    <mergeCell ref="L2:M2"/>
    <mergeCell ref="N2:O2"/>
    <mergeCell ref="P1:Q1"/>
    <mergeCell ref="R1:S1"/>
    <mergeCell ref="T1:U1"/>
    <mergeCell ref="B1:C1"/>
    <mergeCell ref="D1:E1"/>
    <mergeCell ref="F1:G1"/>
    <mergeCell ref="H1:I1"/>
    <mergeCell ref="J1:K1"/>
    <mergeCell ref="L1:M1"/>
    <mergeCell ref="N1:O1"/>
  </mergeCells>
  <pageMargins left="0.511811024" right="0.511811024" top="0.78740157499999996" bottom="0.78740157499999996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4.875" customWidth="1"/>
    <col min="7" max="7" width="6.625" customWidth="1"/>
    <col min="8" max="8" width="11.375" customWidth="1"/>
    <col min="9" max="9" width="6.625" customWidth="1"/>
    <col min="10" max="10" width="0.625" customWidth="1"/>
    <col min="11" max="11" width="7.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530</v>
      </c>
      <c r="E3" s="83"/>
      <c r="F3" s="82"/>
      <c r="G3" s="83"/>
      <c r="H3" s="82"/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1763315397.39</f>
        <v>1763315397.3900001</v>
      </c>
      <c r="E5" s="32">
        <f>D5/D5</f>
        <v>1</v>
      </c>
      <c r="F5" s="31"/>
      <c r="G5" s="32" t="e">
        <f>F5/F5</f>
        <v>#DIV/0!</v>
      </c>
      <c r="H5" s="31"/>
      <c r="I5" s="32" t="e">
        <f>H5/H5</f>
        <v>#DIV/0!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93952761.530000001</v>
      </c>
      <c r="E7" s="38">
        <f>D7/D5</f>
        <v>5.3281881204613593E-2</v>
      </c>
      <c r="F7" s="37"/>
      <c r="G7" s="38" t="e">
        <f>F7/F5</f>
        <v>#DIV/0!</v>
      </c>
      <c r="H7" s="37"/>
      <c r="I7" s="38" t="e">
        <f>H7/H5</f>
        <v>#DIV/0!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15432431.669999998</v>
      </c>
      <c r="E9" s="41">
        <f>D9/D5</f>
        <v>8.7519406300441555E-3</v>
      </c>
      <c r="F9" s="40"/>
      <c r="G9" s="41" t="e">
        <f>F9/F5</f>
        <v>#DIV/0!</v>
      </c>
      <c r="H9" s="40"/>
      <c r="I9" s="41" t="e">
        <f>H9/H5</f>
        <v>#DIV/0!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327</v>
      </c>
      <c r="D10" s="44">
        <v>4558971.5</v>
      </c>
      <c r="E10" s="45">
        <f>D10/D5</f>
        <v>2.585454370073576E-3</v>
      </c>
      <c r="F10" s="44"/>
      <c r="G10" s="45" t="e">
        <f>F10/F5</f>
        <v>#DIV/0!</v>
      </c>
      <c r="H10" s="44"/>
      <c r="I10" s="45" t="e">
        <f>H10/H5</f>
        <v>#DIV/0!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337</v>
      </c>
      <c r="D11" s="34">
        <v>5435765.7699999996</v>
      </c>
      <c r="E11" s="35">
        <f>D11/D5</f>
        <v>3.0826962539122816E-3</v>
      </c>
      <c r="F11" s="34"/>
      <c r="G11" s="35" t="e">
        <f>F11/F5</f>
        <v>#DIV/0!</v>
      </c>
      <c r="H11" s="34"/>
      <c r="I11" s="35" t="e">
        <f>H11/H5</f>
        <v>#DIV/0!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420</v>
      </c>
      <c r="D12" s="44">
        <v>867068.37</v>
      </c>
      <c r="E12" s="45">
        <f>D12/D5</f>
        <v>4.9172619446492967E-4</v>
      </c>
      <c r="F12" s="44"/>
      <c r="G12" s="45" t="e">
        <f>F12/F5</f>
        <v>#DIV/0!</v>
      </c>
      <c r="H12" s="44"/>
      <c r="I12" s="45" t="e">
        <f>H12/H5</f>
        <v>#DIV/0!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422</v>
      </c>
      <c r="D13" s="34">
        <v>4570626.03</v>
      </c>
      <c r="E13" s="35">
        <f>D13/D5</f>
        <v>2.5920638115933693E-3</v>
      </c>
      <c r="F13" s="34"/>
      <c r="G13" s="35" t="e">
        <f>F13/F5</f>
        <v>#DIV/0!</v>
      </c>
      <c r="H13" s="34"/>
      <c r="I13" s="35" t="e">
        <f>H13/H5</f>
        <v>#DIV/0!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 t="e">
        <f>F14/F5</f>
        <v>#DIV/0!</v>
      </c>
      <c r="H14" s="44"/>
      <c r="I14" s="45" t="e">
        <f>H14/H5</f>
        <v>#DIV/0!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 t="e">
        <f>F15/F5</f>
        <v>#DIV/0!</v>
      </c>
      <c r="H15" s="34"/>
      <c r="I15" s="35" t="e">
        <f>H15/H5</f>
        <v>#DIV/0!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 t="e">
        <f>F16/F5</f>
        <v>#DIV/0!</v>
      </c>
      <c r="H16" s="44"/>
      <c r="I16" s="45" t="e">
        <f>H16/H5</f>
        <v>#DIV/0!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 t="e">
        <f>F17/F5</f>
        <v>#DIV/0!</v>
      </c>
      <c r="H17" s="34"/>
      <c r="I17" s="35" t="e">
        <f>H17/H5</f>
        <v>#DIV/0!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 t="e">
        <f>F18/F5</f>
        <v>#DIV/0!</v>
      </c>
      <c r="H18" s="44"/>
      <c r="I18" s="45" t="e">
        <f>H18/H5</f>
        <v>#DIV/0!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 t="e">
        <f>F19/F5</f>
        <v>#DIV/0!</v>
      </c>
      <c r="H19" s="34"/>
      <c r="I19" s="35" t="e">
        <f>H19/H5</f>
        <v>#DIV/0!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78520329.859999999</v>
      </c>
      <c r="E21" s="41">
        <f>D21/D5</f>
        <v>4.4529940574569438E-2</v>
      </c>
      <c r="F21" s="40"/>
      <c r="G21" s="41" t="e">
        <f>F21/F5</f>
        <v>#DIV/0!</v>
      </c>
      <c r="H21" s="40"/>
      <c r="I21" s="41" t="e">
        <f>H21/H5</f>
        <v>#DIV/0!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323</v>
      </c>
      <c r="D22" s="44">
        <v>9603937.0899999999</v>
      </c>
      <c r="E22" s="45">
        <f>D22/D5</f>
        <v>5.4465225587069805E-3</v>
      </c>
      <c r="F22" s="44"/>
      <c r="G22" s="45" t="e">
        <f>F22/F5</f>
        <v>#DIV/0!</v>
      </c>
      <c r="H22" s="44"/>
      <c r="I22" s="45" t="e">
        <f>H22/H5</f>
        <v>#DIV/0!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364</v>
      </c>
      <c r="D23" s="34">
        <v>6730865.8600000003</v>
      </c>
      <c r="E23" s="35">
        <f>D23/D5</f>
        <v>3.817165023320729E-3</v>
      </c>
      <c r="F23" s="34"/>
      <c r="G23" s="35" t="e">
        <f>F23/F5</f>
        <v>#DIV/0!</v>
      </c>
      <c r="H23" s="34"/>
      <c r="I23" s="35" t="e">
        <f>H23/H5</f>
        <v>#DIV/0!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406</v>
      </c>
      <c r="D24" s="44">
        <v>12347682.32</v>
      </c>
      <c r="E24" s="45">
        <f>D24/D5</f>
        <v>7.0025375711438931E-3</v>
      </c>
      <c r="F24" s="44"/>
      <c r="G24" s="45" t="e">
        <f>F24/F5</f>
        <v>#DIV/0!</v>
      </c>
      <c r="H24" s="44"/>
      <c r="I24" s="45" t="e">
        <f>H24/H5</f>
        <v>#DIV/0!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413</v>
      </c>
      <c r="D25" s="34">
        <v>11221570.41</v>
      </c>
      <c r="E25" s="35">
        <f>D25/D5</f>
        <v>6.3639042831530818E-3</v>
      </c>
      <c r="F25" s="34"/>
      <c r="G25" s="35" t="e">
        <f>F25/F5</f>
        <v>#DIV/0!</v>
      </c>
      <c r="H25" s="34"/>
      <c r="I25" s="35" t="e">
        <f>H25/H5</f>
        <v>#DIV/0!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435</v>
      </c>
      <c r="D26" s="44">
        <v>5316466.2300000004</v>
      </c>
      <c r="E26" s="45">
        <f>D26/D5</f>
        <v>3.0150398719759686E-3</v>
      </c>
      <c r="F26" s="44"/>
      <c r="G26" s="45" t="e">
        <f>F26/F5</f>
        <v>#DIV/0!</v>
      </c>
      <c r="H26" s="44"/>
      <c r="I26" s="45" t="e">
        <f>H26/H5</f>
        <v>#DIV/0!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463</v>
      </c>
      <c r="D27" s="34">
        <v>16922712.460000001</v>
      </c>
      <c r="E27" s="35">
        <f>D27/D5</f>
        <v>9.5970990130571244E-3</v>
      </c>
      <c r="F27" s="34"/>
      <c r="G27" s="35" t="e">
        <f>F27/F5</f>
        <v>#DIV/0!</v>
      </c>
      <c r="H27" s="34"/>
      <c r="I27" s="35" t="e">
        <f>H27/H5</f>
        <v>#DIV/0!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 t="s">
        <v>469</v>
      </c>
      <c r="D28" s="44">
        <v>16377095.49</v>
      </c>
      <c r="E28" s="45">
        <f>D28/D5</f>
        <v>9.287672253211662E-3</v>
      </c>
      <c r="F28" s="44"/>
      <c r="G28" s="45" t="e">
        <f>F28/F5</f>
        <v>#DIV/0!</v>
      </c>
      <c r="H28" s="44"/>
      <c r="I28" s="45" t="e">
        <f>H28/H5</f>
        <v>#DIV/0!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 t="e">
        <f>F29/F5</f>
        <v>#DIV/0!</v>
      </c>
      <c r="H29" s="34"/>
      <c r="I29" s="35" t="e">
        <f>H29/H5</f>
        <v>#DIV/0!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 t="e">
        <f>F30/F5</f>
        <v>#DIV/0!</v>
      </c>
      <c r="H30" s="44"/>
      <c r="I30" s="45" t="e">
        <f>H30/H5</f>
        <v>#DIV/0!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 t="e">
        <f>F31/F5</f>
        <v>#DIV/0!</v>
      </c>
      <c r="H31" s="34"/>
      <c r="I31" s="35" t="e">
        <f>H31/H5</f>
        <v>#DIV/0!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 t="e">
        <f>F32/F5</f>
        <v>#DIV/0!</v>
      </c>
      <c r="H32" s="44"/>
      <c r="I32" s="45" t="e">
        <f>H32/H5</f>
        <v>#DIV/0!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 t="e">
        <f>F33/F5</f>
        <v>#DIV/0!</v>
      </c>
      <c r="H33" s="34"/>
      <c r="I33" s="35" t="e">
        <f>H33/H5</f>
        <v>#DIV/0!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 t="e">
        <f>F34/F5</f>
        <v>#DIV/0!</v>
      </c>
      <c r="H34" s="44"/>
      <c r="I34" s="45" t="e">
        <f>H34/H5</f>
        <v>#DIV/0!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2.375" customWidth="1"/>
    <col min="5" max="5" width="6.375" customWidth="1"/>
    <col min="6" max="6" width="13.875" customWidth="1"/>
    <col min="7" max="7" width="6.375" customWidth="1"/>
    <col min="8" max="8" width="13.875" customWidth="1"/>
    <col min="9" max="9" width="6.375" customWidth="1"/>
    <col min="10" max="10" width="13.875" customWidth="1"/>
    <col min="11" max="11" width="6.375" customWidth="1"/>
    <col min="12" max="12" width="12.375" customWidth="1"/>
    <col min="13" max="13" width="6.375" customWidth="1"/>
    <col min="14" max="14" width="0.625" customWidth="1"/>
    <col min="15" max="15" width="7.375" customWidth="1"/>
    <col min="16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78" t="s">
        <v>506</v>
      </c>
      <c r="M2" s="79"/>
      <c r="N2" s="25"/>
      <c r="O2" s="25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260</v>
      </c>
      <c r="E3" s="83"/>
      <c r="F3" s="82" t="s">
        <v>265</v>
      </c>
      <c r="G3" s="83"/>
      <c r="H3" s="82" t="s">
        <v>266</v>
      </c>
      <c r="I3" s="83"/>
      <c r="J3" s="82" t="s">
        <v>267</v>
      </c>
      <c r="K3" s="83"/>
      <c r="L3" s="82"/>
      <c r="M3" s="83"/>
      <c r="N3" s="84"/>
      <c r="O3" s="85" t="s">
        <v>491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189216087.91</v>
      </c>
      <c r="E5" s="32">
        <f>D5/D5</f>
        <v>1</v>
      </c>
      <c r="F5" s="31">
        <v>1727171979.25</v>
      </c>
      <c r="G5" s="32">
        <f>F5/F5</f>
        <v>1</v>
      </c>
      <c r="H5" s="31">
        <v>829863702.80999994</v>
      </c>
      <c r="I5" s="32">
        <f>H5/H5</f>
        <v>1</v>
      </c>
      <c r="J5" s="31">
        <v>1143361815.5799999</v>
      </c>
      <c r="K5" s="32">
        <f>J5/J5</f>
        <v>1</v>
      </c>
      <c r="L5" s="31"/>
      <c r="M5" s="32" t="e">
        <f>L5/L5</f>
        <v>#DIV/0!</v>
      </c>
      <c r="N5" s="32"/>
      <c r="O5" s="3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4"/>
      <c r="M6" s="35"/>
      <c r="N6" s="35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11026812.940000001</v>
      </c>
      <c r="E7" s="38">
        <f>D7/D5</f>
        <v>5.8276297019970461E-2</v>
      </c>
      <c r="F7" s="37">
        <f>SUM(F9,F21)</f>
        <v>134451119.27999997</v>
      </c>
      <c r="G7" s="38">
        <f>F7/F5</f>
        <v>7.784466219651355E-2</v>
      </c>
      <c r="H7" s="37">
        <f>SUM(H9,H21)</f>
        <v>73579980.770000011</v>
      </c>
      <c r="I7" s="38">
        <f>H7/H5</f>
        <v>8.8665139252206079E-2</v>
      </c>
      <c r="J7" s="37">
        <f>SUM(J9,J21)</f>
        <v>106015788.72000001</v>
      </c>
      <c r="K7" s="38">
        <f>J7/J5</f>
        <v>9.2722869764739133E-2</v>
      </c>
      <c r="L7" s="37">
        <f>SUM(L9,L21)</f>
        <v>0</v>
      </c>
      <c r="M7" s="38" t="e">
        <f>L7/L5</f>
        <v>#DIV/0!</v>
      </c>
      <c r="N7" s="38"/>
      <c r="O7" s="32">
        <v>0.2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4"/>
      <c r="M8" s="35"/>
      <c r="N8" s="35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73043.48</v>
      </c>
      <c r="E9" s="41">
        <f>D9/D5</f>
        <v>3.8603208007737102E-4</v>
      </c>
      <c r="F9" s="40">
        <f>SUM(F10:F19)</f>
        <v>755608.08000000007</v>
      </c>
      <c r="G9" s="41">
        <f>F9/F5</f>
        <v>4.3748282688566557E-4</v>
      </c>
      <c r="H9" s="40">
        <f>SUM(H10:H19)</f>
        <v>922768.9</v>
      </c>
      <c r="I9" s="41">
        <f>H9/H5</f>
        <v>1.1119523566043604E-3</v>
      </c>
      <c r="J9" s="40">
        <f>SUM(J10:J19)</f>
        <v>1114398.54</v>
      </c>
      <c r="K9" s="41">
        <f>J9/J5</f>
        <v>9.7466832004940846E-4</v>
      </c>
      <c r="L9" s="40">
        <f>SUM(L10:L19)</f>
        <v>0</v>
      </c>
      <c r="M9" s="41" t="e">
        <f>L9/L5</f>
        <v>#DIV/0!</v>
      </c>
      <c r="N9" s="41"/>
      <c r="O9" s="32">
        <v>0.15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317</v>
      </c>
      <c r="D10" s="44">
        <v>73043.48</v>
      </c>
      <c r="E10" s="45">
        <f>D10/D5</f>
        <v>3.8603208007737102E-4</v>
      </c>
      <c r="F10" s="44">
        <v>500239.67</v>
      </c>
      <c r="G10" s="45">
        <f>F10/F5</f>
        <v>2.8962933396894382E-4</v>
      </c>
      <c r="H10" s="44">
        <v>611299.38</v>
      </c>
      <c r="I10" s="45">
        <f>H10/H5</f>
        <v>7.3662624106835895E-4</v>
      </c>
      <c r="J10" s="44">
        <v>737641.55</v>
      </c>
      <c r="K10" s="45">
        <f>J10/J5</f>
        <v>6.4515146469694916E-4</v>
      </c>
      <c r="L10" s="44"/>
      <c r="M10" s="45" t="e">
        <f>L10/L5</f>
        <v>#DIV/0!</v>
      </c>
      <c r="N10" s="45"/>
      <c r="O10" s="4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368</v>
      </c>
      <c r="D11" s="34"/>
      <c r="E11" s="35">
        <f>D11/D5</f>
        <v>0</v>
      </c>
      <c r="F11" s="34">
        <v>12.28</v>
      </c>
      <c r="G11" s="35">
        <f>F11/F5</f>
        <v>7.1098883883771757E-9</v>
      </c>
      <c r="H11" s="34">
        <v>15.01</v>
      </c>
      <c r="I11" s="35">
        <f>H11/H5</f>
        <v>1.8087307529145648E-8</v>
      </c>
      <c r="J11" s="34">
        <v>18.14</v>
      </c>
      <c r="K11" s="35">
        <f>J11/J5</f>
        <v>1.5865493978210225E-8</v>
      </c>
      <c r="L11" s="34"/>
      <c r="M11" s="35" t="e">
        <f>L11/L5</f>
        <v>#DIV/0!</v>
      </c>
      <c r="N11" s="35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399</v>
      </c>
      <c r="D12" s="44"/>
      <c r="E12" s="45">
        <f>D12/D5</f>
        <v>0</v>
      </c>
      <c r="F12" s="44">
        <v>255356.13</v>
      </c>
      <c r="G12" s="45">
        <f>F12/F5</f>
        <v>1.4784638302833329E-4</v>
      </c>
      <c r="H12" s="44">
        <v>311454.51</v>
      </c>
      <c r="I12" s="45">
        <f>H12/H5</f>
        <v>3.7530802822847233E-4</v>
      </c>
      <c r="J12" s="44">
        <v>376738.85</v>
      </c>
      <c r="K12" s="45">
        <f>J12/J5</f>
        <v>3.2950098985848098E-4</v>
      </c>
      <c r="L12" s="44"/>
      <c r="M12" s="45" t="e">
        <f>L12/L5</f>
        <v>#DIV/0!</v>
      </c>
      <c r="N12" s="45"/>
      <c r="O12" s="4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4"/>
      <c r="G13" s="35">
        <f>F13/F5</f>
        <v>0</v>
      </c>
      <c r="H13" s="34"/>
      <c r="I13" s="35">
        <f>H13/H5</f>
        <v>0</v>
      </c>
      <c r="J13" s="34"/>
      <c r="K13" s="35">
        <f>J13/J5</f>
        <v>0</v>
      </c>
      <c r="L13" s="34"/>
      <c r="M13" s="35" t="e">
        <f>L13/L5</f>
        <v>#DIV/0!</v>
      </c>
      <c r="N13" s="3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>
        <f>F14/F5</f>
        <v>0</v>
      </c>
      <c r="H14" s="44"/>
      <c r="I14" s="45">
        <f>H14/H5</f>
        <v>0</v>
      </c>
      <c r="J14" s="44"/>
      <c r="K14" s="45">
        <f>J14/J5</f>
        <v>0</v>
      </c>
      <c r="L14" s="44"/>
      <c r="M14" s="45" t="e">
        <f>L14/L5</f>
        <v>#DIV/0!</v>
      </c>
      <c r="N14" s="45"/>
      <c r="O14" s="4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>
        <f>F15/F5</f>
        <v>0</v>
      </c>
      <c r="H15" s="34"/>
      <c r="I15" s="35">
        <f>H15/H5</f>
        <v>0</v>
      </c>
      <c r="J15" s="34"/>
      <c r="K15" s="35">
        <f>J15/J5</f>
        <v>0</v>
      </c>
      <c r="L15" s="34"/>
      <c r="M15" s="35" t="e">
        <f>L15/L5</f>
        <v>#DIV/0!</v>
      </c>
      <c r="N15" s="35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>
        <f>F16/F5</f>
        <v>0</v>
      </c>
      <c r="H16" s="44"/>
      <c r="I16" s="45">
        <f>H16/H5</f>
        <v>0</v>
      </c>
      <c r="J16" s="44"/>
      <c r="K16" s="45">
        <f>J16/J5</f>
        <v>0</v>
      </c>
      <c r="L16" s="44"/>
      <c r="M16" s="45" t="e">
        <f>L16/L5</f>
        <v>#DIV/0!</v>
      </c>
      <c r="N16" s="45"/>
      <c r="O16" s="4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4"/>
      <c r="I17" s="35">
        <f>H17/H5</f>
        <v>0</v>
      </c>
      <c r="J17" s="34"/>
      <c r="K17" s="35">
        <f>J17/J5</f>
        <v>0</v>
      </c>
      <c r="L17" s="34"/>
      <c r="M17" s="35" t="e">
        <f>L17/L5</f>
        <v>#DIV/0!</v>
      </c>
      <c r="N17" s="35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4"/>
      <c r="I18" s="45">
        <f>H18/H5</f>
        <v>0</v>
      </c>
      <c r="J18" s="44"/>
      <c r="K18" s="45">
        <f>J18/J5</f>
        <v>0</v>
      </c>
      <c r="L18" s="44"/>
      <c r="M18" s="45" t="e">
        <f>L18/L5</f>
        <v>#DIV/0!</v>
      </c>
      <c r="N18" s="45"/>
      <c r="O18" s="4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4"/>
      <c r="K19" s="35">
        <f>J19/J5</f>
        <v>0</v>
      </c>
      <c r="L19" s="34"/>
      <c r="M19" s="35" t="e">
        <f>L19/L5</f>
        <v>#DIV/0!</v>
      </c>
      <c r="N19" s="3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4"/>
      <c r="K20" s="35"/>
      <c r="L20" s="34"/>
      <c r="M20" s="35"/>
      <c r="N20" s="35"/>
      <c r="O20" s="46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10953769.460000001</v>
      </c>
      <c r="E21" s="41">
        <f>D21/D5</f>
        <v>5.7890264939893084E-2</v>
      </c>
      <c r="F21" s="40">
        <f>SUM(F22:F33)</f>
        <v>133695511.19999997</v>
      </c>
      <c r="G21" s="41">
        <f>F21/F5</f>
        <v>7.740717936962789E-2</v>
      </c>
      <c r="H21" s="40">
        <f>SUM(H22:H33)</f>
        <v>72657211.870000005</v>
      </c>
      <c r="I21" s="41">
        <f>H21/H5</f>
        <v>8.7553186895601723E-2</v>
      </c>
      <c r="J21" s="40">
        <f>SUM(J22:J33)</f>
        <v>104901390.18000001</v>
      </c>
      <c r="K21" s="41">
        <f>J21/J5</f>
        <v>9.1748201444689717E-2</v>
      </c>
      <c r="L21" s="40">
        <f>SUM(L22:L33)</f>
        <v>0</v>
      </c>
      <c r="M21" s="41" t="e">
        <f>L21/L5</f>
        <v>#DIV/0!</v>
      </c>
      <c r="N21" s="41"/>
      <c r="O21" s="32">
        <v>0.15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395</v>
      </c>
      <c r="D22" s="44">
        <v>452130.41</v>
      </c>
      <c r="E22" s="45">
        <f>D22/D5</f>
        <v>2.3894924316110707E-3</v>
      </c>
      <c r="F22" s="44">
        <v>4787920.4400000004</v>
      </c>
      <c r="G22" s="45">
        <f>F22/F5</f>
        <v>2.7721156303607284E-3</v>
      </c>
      <c r="H22" s="44">
        <v>2435569.7799999998</v>
      </c>
      <c r="I22" s="45">
        <f>H22/H5</f>
        <v>2.9349033723886481E-3</v>
      </c>
      <c r="J22" s="44">
        <v>3444948.44</v>
      </c>
      <c r="K22" s="45">
        <f>J22/J5</f>
        <v>3.0129993787246256E-3</v>
      </c>
      <c r="L22" s="44"/>
      <c r="M22" s="45" t="e">
        <f>L22/L5</f>
        <v>#DIV/0!</v>
      </c>
      <c r="N22" s="45"/>
      <c r="O22" s="4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261</v>
      </c>
      <c r="D23" s="34">
        <v>617096.65</v>
      </c>
      <c r="E23" s="35">
        <f>D23/D5</f>
        <v>3.2613328856768244E-3</v>
      </c>
      <c r="F23" s="34">
        <v>9295174.4399999995</v>
      </c>
      <c r="G23" s="35">
        <f>F23/F5</f>
        <v>5.3817306855778761E-3</v>
      </c>
      <c r="H23" s="34">
        <v>5630378.0700000003</v>
      </c>
      <c r="I23" s="35">
        <f>H23/H5</f>
        <v>6.7847021757126954E-3</v>
      </c>
      <c r="J23" s="34">
        <v>8134159.8600000003</v>
      </c>
      <c r="K23" s="35">
        <f>J23/J5</f>
        <v>7.1142483063191481E-3</v>
      </c>
      <c r="L23" s="34"/>
      <c r="M23" s="35" t="e">
        <f>L23/L5</f>
        <v>#DIV/0!</v>
      </c>
      <c r="N23" s="35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452</v>
      </c>
      <c r="D24" s="44">
        <v>650722.84</v>
      </c>
      <c r="E24" s="45">
        <f>D24/D5</f>
        <v>3.4390460514621469E-3</v>
      </c>
      <c r="F24" s="44">
        <v>6890953.25</v>
      </c>
      <c r="G24" s="45">
        <f>F24/F5</f>
        <v>3.98973196229845E-3</v>
      </c>
      <c r="H24" s="44">
        <v>3505362.98</v>
      </c>
      <c r="I24" s="45">
        <f>H24/H5</f>
        <v>4.2240225330141528E-3</v>
      </c>
      <c r="J24" s="44">
        <v>4958098.9800000004</v>
      </c>
      <c r="K24" s="45">
        <f>J24/J5</f>
        <v>4.3364216929746568E-3</v>
      </c>
      <c r="L24" s="44"/>
      <c r="M24" s="45" t="e">
        <f>L24/L5</f>
        <v>#DIV/0!</v>
      </c>
      <c r="N24" s="45"/>
      <c r="O24" s="4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476</v>
      </c>
      <c r="D25" s="34">
        <v>657825.77</v>
      </c>
      <c r="E25" s="35">
        <f>D25/D5</f>
        <v>3.4765847728174819E-3</v>
      </c>
      <c r="F25" s="34">
        <v>6961462.9500000002</v>
      </c>
      <c r="G25" s="35">
        <f>F25/F5</f>
        <v>4.0305557487233653E-3</v>
      </c>
      <c r="H25" s="34">
        <v>3540911.61</v>
      </c>
      <c r="I25" s="35">
        <f>H25/H5</f>
        <v>4.2668592420780976E-3</v>
      </c>
      <c r="J25" s="34">
        <v>5009172.03</v>
      </c>
      <c r="K25" s="35">
        <f>J25/J5</f>
        <v>4.3810908863166536E-3</v>
      </c>
      <c r="L25" s="34"/>
      <c r="M25" s="35" t="e">
        <f>L25/L5</f>
        <v>#DIV/0!</v>
      </c>
      <c r="N25" s="35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299</v>
      </c>
      <c r="D26" s="44">
        <v>787984.71</v>
      </c>
      <c r="E26" s="45">
        <f>D26/D5</f>
        <v>4.1644699385963539E-3</v>
      </c>
      <c r="F26" s="44">
        <v>8339804.3200000003</v>
      </c>
      <c r="G26" s="45">
        <f>F26/F5</f>
        <v>4.8285894052203428E-3</v>
      </c>
      <c r="H26" s="44">
        <v>4242060.75</v>
      </c>
      <c r="I26" s="45">
        <f>H26/H5</f>
        <v>5.1117559855142066E-3</v>
      </c>
      <c r="J26" s="44">
        <v>6000899.9299999997</v>
      </c>
      <c r="K26" s="45">
        <f>J26/J5</f>
        <v>5.2484697741597116E-3</v>
      </c>
      <c r="L26" s="44"/>
      <c r="M26" s="45" t="e">
        <f>L26/L5</f>
        <v>#DIV/0!</v>
      </c>
      <c r="N26" s="45"/>
      <c r="O26" s="4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325</v>
      </c>
      <c r="D27" s="34">
        <v>1528451.75</v>
      </c>
      <c r="E27" s="35">
        <f>D27/D5</f>
        <v>8.0778107553254302E-3</v>
      </c>
      <c r="F27" s="34">
        <v>22933006.949999999</v>
      </c>
      <c r="G27" s="35">
        <f>F27/F5</f>
        <v>1.3277778487327205E-2</v>
      </c>
      <c r="H27" s="34">
        <v>12705996.26</v>
      </c>
      <c r="I27" s="35">
        <f>H27/H5</f>
        <v>1.5310943492258125E-2</v>
      </c>
      <c r="J27" s="34">
        <v>19439241.329999998</v>
      </c>
      <c r="K27" s="35">
        <f>J27/J5</f>
        <v>1.7001828349619091E-2</v>
      </c>
      <c r="L27" s="34"/>
      <c r="M27" s="35" t="e">
        <f>L27/L5</f>
        <v>#DIV/0!</v>
      </c>
      <c r="N27" s="35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 t="s">
        <v>431</v>
      </c>
      <c r="D28" s="44">
        <v>1380930.44</v>
      </c>
      <c r="E28" s="45">
        <f>D28/D5</f>
        <v>7.2981661086706055E-3</v>
      </c>
      <c r="F28" s="44">
        <v>14623620.189999999</v>
      </c>
      <c r="G28" s="45">
        <f>F28/F5</f>
        <v>8.4668002756448715E-3</v>
      </c>
      <c r="H28" s="44">
        <v>7438898.2000000002</v>
      </c>
      <c r="I28" s="45">
        <f>H28/H5</f>
        <v>8.9639999614529002E-3</v>
      </c>
      <c r="J28" s="44">
        <v>10521816.67</v>
      </c>
      <c r="K28" s="45">
        <f>J28/J5</f>
        <v>9.2025258554419495E-3</v>
      </c>
      <c r="L28" s="44"/>
      <c r="M28" s="45" t="e">
        <f>L28/L5</f>
        <v>#DIV/0!</v>
      </c>
      <c r="N28" s="45"/>
      <c r="O28" s="4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 t="s">
        <v>285</v>
      </c>
      <c r="D29" s="34">
        <v>1969881.16</v>
      </c>
      <c r="E29" s="35">
        <f>D29/D5</f>
        <v>1.0410748799208698E-2</v>
      </c>
      <c r="F29" s="34">
        <v>20855717.039999999</v>
      </c>
      <c r="G29" s="35">
        <f>F29/F5</f>
        <v>1.20750668089557E-2</v>
      </c>
      <c r="H29" s="34">
        <v>10608788.359999999</v>
      </c>
      <c r="I29" s="35">
        <f>H29/H5</f>
        <v>1.2783771990602313E-2</v>
      </c>
      <c r="J29" s="34">
        <v>15006203.16</v>
      </c>
      <c r="K29" s="35">
        <f>J29/J5</f>
        <v>1.3124632076669199E-2</v>
      </c>
      <c r="L29" s="34"/>
      <c r="M29" s="35" t="e">
        <f>L29/L5</f>
        <v>#DIV/0!</v>
      </c>
      <c r="N29" s="35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 t="s">
        <v>347</v>
      </c>
      <c r="D30" s="44">
        <v>1030439.74</v>
      </c>
      <c r="E30" s="45">
        <f>D30/D5</f>
        <v>5.445835771058353E-3</v>
      </c>
      <c r="F30" s="44">
        <v>15495869.91</v>
      </c>
      <c r="G30" s="45">
        <f>F30/F5</f>
        <v>8.9718164121264064E-3</v>
      </c>
      <c r="H30" s="44">
        <v>9387823.1300000008</v>
      </c>
      <c r="I30" s="45">
        <f>H30/H5</f>
        <v>1.1312487940142351E-2</v>
      </c>
      <c r="J30" s="44">
        <v>13559909.810000001</v>
      </c>
      <c r="K30" s="45">
        <f>J30/J5</f>
        <v>1.1859683982118455E-2</v>
      </c>
      <c r="L30" s="44"/>
      <c r="M30" s="45" t="e">
        <f>L30/L5</f>
        <v>#DIV/0!</v>
      </c>
      <c r="N30" s="45"/>
      <c r="O30" s="4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 t="s">
        <v>366</v>
      </c>
      <c r="D31" s="34">
        <v>826834.8</v>
      </c>
      <c r="E31" s="35">
        <f>D31/D5</f>
        <v>4.3697912219455744E-3</v>
      </c>
      <c r="F31" s="34">
        <v>12377239.720000001</v>
      </c>
      <c r="G31" s="35">
        <f>F31/F5</f>
        <v>7.1661883522303564E-3</v>
      </c>
      <c r="H31" s="34">
        <v>7497283.8899999997</v>
      </c>
      <c r="I31" s="35">
        <f>H31/H5</f>
        <v>9.0343557196362004E-3</v>
      </c>
      <c r="J31" s="34">
        <v>10815399.310000001</v>
      </c>
      <c r="K31" s="35">
        <f>J31/J5</f>
        <v>9.4592972781005532E-3</v>
      </c>
      <c r="L31" s="34"/>
      <c r="M31" s="35" t="e">
        <f>L31/L5</f>
        <v>#DIV/0!</v>
      </c>
      <c r="N31" s="3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 t="s">
        <v>468</v>
      </c>
      <c r="D32" s="44">
        <v>1051471.19</v>
      </c>
      <c r="E32" s="45">
        <f>D32/D5</f>
        <v>5.5569862035205414E-3</v>
      </c>
      <c r="F32" s="44">
        <v>11134741.99</v>
      </c>
      <c r="G32" s="45">
        <f>F32/F5</f>
        <v>6.446805601162604E-3</v>
      </c>
      <c r="H32" s="44">
        <v>5664138.8399999999</v>
      </c>
      <c r="I32" s="45">
        <f>H32/H5</f>
        <v>6.8253844828020192E-3</v>
      </c>
      <c r="J32" s="44">
        <v>8011540.6600000001</v>
      </c>
      <c r="K32" s="45">
        <f>J32/J5</f>
        <v>7.0070038642456658E-3</v>
      </c>
      <c r="L32" s="44"/>
      <c r="M32" s="45" t="e">
        <f>L32/L5</f>
        <v>#DIV/0!</v>
      </c>
      <c r="N32" s="45"/>
      <c r="O32" s="4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>
        <f>H33/H5</f>
        <v>0</v>
      </c>
      <c r="J33" s="34"/>
      <c r="K33" s="35">
        <f>J33/J5</f>
        <v>0</v>
      </c>
      <c r="L33" s="34"/>
      <c r="M33" s="35" t="e">
        <f>L33/L5</f>
        <v>#DIV/0!</v>
      </c>
      <c r="N33" s="35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>
        <f>H34/H5</f>
        <v>0</v>
      </c>
      <c r="J34" s="44"/>
      <c r="K34" s="45">
        <f>J34/J5</f>
        <v>0</v>
      </c>
      <c r="L34" s="44"/>
      <c r="M34" s="45" t="e">
        <f>L34/L5</f>
        <v>#DIV/0!</v>
      </c>
      <c r="N34" s="45"/>
      <c r="O34" s="4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9"/>
      <c r="K35" s="49"/>
      <c r="L35" s="49"/>
      <c r="M35" s="49"/>
      <c r="N35" s="48"/>
      <c r="O35" s="48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5"/>
      <c r="K36" s="35"/>
      <c r="L36" s="35"/>
      <c r="M36" s="35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L2:M2"/>
    <mergeCell ref="D3:E3"/>
    <mergeCell ref="F3:G3"/>
    <mergeCell ref="L3:M3"/>
    <mergeCell ref="H3:I3"/>
    <mergeCell ref="J3:K3"/>
    <mergeCell ref="D2:E2"/>
    <mergeCell ref="F2:G2"/>
    <mergeCell ref="H2:I2"/>
    <mergeCell ref="J2:K2"/>
  </mergeCells>
  <pageMargins left="0.511811024" right="0.511811024" top="0.78740157499999996" bottom="0.78740157499999996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4.875" customWidth="1"/>
    <col min="7" max="7" width="6.625" customWidth="1"/>
    <col min="8" max="8" width="11.375" customWidth="1"/>
    <col min="9" max="9" width="6.625" customWidth="1"/>
    <col min="10" max="10" width="0.625" customWidth="1"/>
    <col min="11" max="11" width="7.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44253</v>
      </c>
      <c r="D3" s="82" t="s">
        <v>530</v>
      </c>
      <c r="E3" s="83"/>
      <c r="F3" s="82"/>
      <c r="G3" s="83"/>
      <c r="H3" s="82"/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1539910064.37</f>
        <v>1539910064.3699999</v>
      </c>
      <c r="E5" s="32">
        <f>D5/D5</f>
        <v>1</v>
      </c>
      <c r="F5" s="31"/>
      <c r="G5" s="32" t="e">
        <f>F5/F5</f>
        <v>#DIV/0!</v>
      </c>
      <c r="H5" s="31"/>
      <c r="I5" s="32" t="e">
        <f>H5/H5</f>
        <v>#DIV/0!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33348570.239999995</v>
      </c>
      <c r="E7" s="38">
        <f>D7/D5</f>
        <v>2.1656180455995259E-2</v>
      </c>
      <c r="F7" s="37"/>
      <c r="G7" s="38" t="e">
        <f>F7/F5</f>
        <v>#DIV/0!</v>
      </c>
      <c r="H7" s="37"/>
      <c r="I7" s="38" t="e">
        <f>H7/H5</f>
        <v>#DIV/0!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29959301.909999996</v>
      </c>
      <c r="E9" s="41">
        <f>D9/D5</f>
        <v>1.9455228330010812E-2</v>
      </c>
      <c r="F9" s="40"/>
      <c r="G9" s="41" t="e">
        <f>F9/F5</f>
        <v>#DIV/0!</v>
      </c>
      <c r="H9" s="40"/>
      <c r="I9" s="41" t="e">
        <f>H9/H5</f>
        <v>#DIV/0!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458</v>
      </c>
      <c r="D10" s="44">
        <v>5178892.55</v>
      </c>
      <c r="E10" s="45">
        <f>D10/D5</f>
        <v>3.3631136452886043E-3</v>
      </c>
      <c r="F10" s="44"/>
      <c r="G10" s="45" t="e">
        <f>F10/F5</f>
        <v>#DIV/0!</v>
      </c>
      <c r="H10" s="44"/>
      <c r="I10" s="45" t="e">
        <f>H10/H5</f>
        <v>#DIV/0!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417</v>
      </c>
      <c r="D11" s="34">
        <v>11969020.9</v>
      </c>
      <c r="E11" s="35">
        <f>D11/D5</f>
        <v>7.7725454082909085E-3</v>
      </c>
      <c r="F11" s="34"/>
      <c r="G11" s="35" t="e">
        <f>F11/F5</f>
        <v>#DIV/0!</v>
      </c>
      <c r="H11" s="34"/>
      <c r="I11" s="35" t="e">
        <f>H11/H5</f>
        <v>#DIV/0!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387</v>
      </c>
      <c r="D12" s="44">
        <v>3859223.93</v>
      </c>
      <c r="E12" s="45">
        <f>D12/D5</f>
        <v>2.5061359226708256E-3</v>
      </c>
      <c r="F12" s="44"/>
      <c r="G12" s="45" t="e">
        <f>F12/F5</f>
        <v>#DIV/0!</v>
      </c>
      <c r="H12" s="44"/>
      <c r="I12" s="45" t="e">
        <f>H12/H5</f>
        <v>#DIV/0!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334</v>
      </c>
      <c r="D13" s="34">
        <v>1320550.45</v>
      </c>
      <c r="E13" s="35">
        <f>D13/D5</f>
        <v>8.5755037294353727E-4</v>
      </c>
      <c r="F13" s="34"/>
      <c r="G13" s="35" t="e">
        <f>F13/F5</f>
        <v>#DIV/0!</v>
      </c>
      <c r="H13" s="34"/>
      <c r="I13" s="35" t="e">
        <f>H13/H5</f>
        <v>#DIV/0!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350</v>
      </c>
      <c r="D14" s="44">
        <v>3724976.91</v>
      </c>
      <c r="E14" s="45">
        <f>D14/D5</f>
        <v>2.418957441858102E-3</v>
      </c>
      <c r="F14" s="44"/>
      <c r="G14" s="45" t="e">
        <f>F14/F5</f>
        <v>#DIV/0!</v>
      </c>
      <c r="H14" s="44"/>
      <c r="I14" s="45" t="e">
        <f>H14/H5</f>
        <v>#DIV/0!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423</v>
      </c>
      <c r="D15" s="34">
        <v>3906637.17</v>
      </c>
      <c r="E15" s="35">
        <f>D15/D5</f>
        <v>2.5369255389588374E-3</v>
      </c>
      <c r="F15" s="34"/>
      <c r="G15" s="35" t="e">
        <f>F15/F5</f>
        <v>#DIV/0!</v>
      </c>
      <c r="H15" s="34"/>
      <c r="I15" s="35" t="e">
        <f>H15/H5</f>
        <v>#DIV/0!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 t="e">
        <f>F16/F5</f>
        <v>#DIV/0!</v>
      </c>
      <c r="H16" s="44"/>
      <c r="I16" s="45" t="e">
        <f>H16/H5</f>
        <v>#DIV/0!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 t="e">
        <f>F17/F5</f>
        <v>#DIV/0!</v>
      </c>
      <c r="H17" s="34"/>
      <c r="I17" s="35" t="e">
        <f>H17/H5</f>
        <v>#DIV/0!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 t="e">
        <f>F18/F5</f>
        <v>#DIV/0!</v>
      </c>
      <c r="H18" s="44"/>
      <c r="I18" s="45" t="e">
        <f>H18/H5</f>
        <v>#DIV/0!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 t="e">
        <f>F19/F5</f>
        <v>#DIV/0!</v>
      </c>
      <c r="H19" s="34"/>
      <c r="I19" s="35" t="e">
        <f>H19/H5</f>
        <v>#DIV/0!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3389268.33</v>
      </c>
      <c r="E21" s="41">
        <f>D21/D5</f>
        <v>2.2009521259844485E-3</v>
      </c>
      <c r="F21" s="40"/>
      <c r="G21" s="41" t="e">
        <f>F21/F5</f>
        <v>#DIV/0!</v>
      </c>
      <c r="H21" s="40"/>
      <c r="I21" s="41" t="e">
        <f>H21/H5</f>
        <v>#DIV/0!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342</v>
      </c>
      <c r="D22" s="44">
        <v>3389268.33</v>
      </c>
      <c r="E22" s="45">
        <f>D22/D5</f>
        <v>2.2009521259844485E-3</v>
      </c>
      <c r="F22" s="44"/>
      <c r="G22" s="45" t="e">
        <f>F22/F5</f>
        <v>#DIV/0!</v>
      </c>
      <c r="H22" s="44"/>
      <c r="I22" s="45" t="e">
        <f>H22/H5</f>
        <v>#DIV/0!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/>
      <c r="D23" s="34"/>
      <c r="E23" s="35">
        <f>D23/D5</f>
        <v>0</v>
      </c>
      <c r="F23" s="34"/>
      <c r="G23" s="35" t="e">
        <f>F23/F5</f>
        <v>#DIV/0!</v>
      </c>
      <c r="H23" s="34"/>
      <c r="I23" s="35" t="e">
        <f>H23/H5</f>
        <v>#DIV/0!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/>
      <c r="D24" s="44"/>
      <c r="E24" s="45">
        <f>D24/D5</f>
        <v>0</v>
      </c>
      <c r="F24" s="44"/>
      <c r="G24" s="45" t="e">
        <f>F24/F5</f>
        <v>#DIV/0!</v>
      </c>
      <c r="H24" s="44"/>
      <c r="I24" s="45" t="e">
        <f>H24/H5</f>
        <v>#DIV/0!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/>
      <c r="D25" s="34"/>
      <c r="E25" s="35">
        <f>D25/D5</f>
        <v>0</v>
      </c>
      <c r="F25" s="34"/>
      <c r="G25" s="35" t="e">
        <f>F25/F5</f>
        <v>#DIV/0!</v>
      </c>
      <c r="H25" s="34"/>
      <c r="I25" s="35" t="e">
        <f>H25/H5</f>
        <v>#DIV/0!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/>
      <c r="D26" s="44"/>
      <c r="E26" s="45">
        <f>D26/D5</f>
        <v>0</v>
      </c>
      <c r="F26" s="44"/>
      <c r="G26" s="45" t="e">
        <f>F26/F5</f>
        <v>#DIV/0!</v>
      </c>
      <c r="H26" s="44"/>
      <c r="I26" s="45" t="e">
        <f>H26/H5</f>
        <v>#DIV/0!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/>
      <c r="D27" s="34"/>
      <c r="E27" s="35">
        <f>D27/D5</f>
        <v>0</v>
      </c>
      <c r="F27" s="34"/>
      <c r="G27" s="35" t="e">
        <f>F27/F5</f>
        <v>#DIV/0!</v>
      </c>
      <c r="H27" s="34"/>
      <c r="I27" s="35" t="e">
        <f>H27/H5</f>
        <v>#DIV/0!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 t="e">
        <f>F28/F5</f>
        <v>#DIV/0!</v>
      </c>
      <c r="H28" s="44"/>
      <c r="I28" s="45" t="e">
        <f>H28/H5</f>
        <v>#DIV/0!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 t="e">
        <f>F29/F5</f>
        <v>#DIV/0!</v>
      </c>
      <c r="H29" s="34"/>
      <c r="I29" s="35" t="e">
        <f>H29/H5</f>
        <v>#DIV/0!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 t="e">
        <f>F30/F5</f>
        <v>#DIV/0!</v>
      </c>
      <c r="H30" s="44"/>
      <c r="I30" s="45" t="e">
        <f>H30/H5</f>
        <v>#DIV/0!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 t="e">
        <f>F31/F5</f>
        <v>#DIV/0!</v>
      </c>
      <c r="H31" s="34"/>
      <c r="I31" s="35" t="e">
        <f>H31/H5</f>
        <v>#DIV/0!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 t="e">
        <f>F32/F5</f>
        <v>#DIV/0!</v>
      </c>
      <c r="H32" s="44"/>
      <c r="I32" s="45" t="e">
        <f>H32/H5</f>
        <v>#DIV/0!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 t="e">
        <f>F33/F5</f>
        <v>#DIV/0!</v>
      </c>
      <c r="H33" s="34"/>
      <c r="I33" s="35" t="e">
        <f>H33/H5</f>
        <v>#DIV/0!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 t="e">
        <f>F34/F5</f>
        <v>#DIV/0!</v>
      </c>
      <c r="H34" s="44"/>
      <c r="I34" s="45" t="e">
        <f>H34/H5</f>
        <v>#DIV/0!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.125" customWidth="1"/>
    <col min="5" max="5" width="6.375" customWidth="1"/>
    <col min="6" max="6" width="12.375" customWidth="1"/>
    <col min="7" max="7" width="6.375" customWidth="1"/>
    <col min="8" max="8" width="12.375" customWidth="1"/>
    <col min="9" max="9" width="6.375" customWidth="1"/>
    <col min="10" max="10" width="0.625" customWidth="1"/>
    <col min="11" max="11" width="7.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44196</v>
      </c>
      <c r="D3" s="82" t="s">
        <v>302</v>
      </c>
      <c r="E3" s="83"/>
      <c r="F3" s="82" t="s">
        <v>530</v>
      </c>
      <c r="G3" s="83"/>
      <c r="H3" s="82" t="s">
        <v>305</v>
      </c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3621679330.3499999</v>
      </c>
      <c r="E5" s="32">
        <f>D5/D5</f>
        <v>1</v>
      </c>
      <c r="F5" s="31">
        <v>391520920.70999998</v>
      </c>
      <c r="G5" s="32">
        <f>F5/F5</f>
        <v>1</v>
      </c>
      <c r="H5" s="31">
        <v>318823077.32999998</v>
      </c>
      <c r="I5" s="32">
        <f>H5/H5</f>
        <v>1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298305776.27999997</v>
      </c>
      <c r="E7" s="38">
        <f>D7/D5</f>
        <v>8.2366700381276345E-2</v>
      </c>
      <c r="F7" s="37">
        <f>SUM(F9,F21)</f>
        <v>30847039.359999999</v>
      </c>
      <c r="G7" s="38">
        <f>F7/F5</f>
        <v>7.8787716641196909E-2</v>
      </c>
      <c r="H7" s="37">
        <f>SUM(H9,H21)</f>
        <v>22870128.139999993</v>
      </c>
      <c r="I7" s="38">
        <f>H7/H5</f>
        <v>7.1732975954962364E-2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60689438.75</v>
      </c>
      <c r="E9" s="41">
        <f>D9/D5</f>
        <v>1.6757264576523111E-2</v>
      </c>
      <c r="F9" s="40">
        <f>SUM(F10:F19)</f>
        <v>2629146.25</v>
      </c>
      <c r="G9" s="41">
        <f>F9/F5</f>
        <v>6.7152126768403571E-3</v>
      </c>
      <c r="H9" s="40">
        <f>SUM(H10:H19)</f>
        <v>1769392.1500000001</v>
      </c>
      <c r="I9" s="41">
        <f>H9/H5</f>
        <v>5.5497618454029875E-3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369</v>
      </c>
      <c r="D10" s="44">
        <v>5003915.01</v>
      </c>
      <c r="E10" s="45">
        <f>D10/D5</f>
        <v>1.3816560091520914E-3</v>
      </c>
      <c r="F10" s="44"/>
      <c r="G10" s="45">
        <f>F10/F5</f>
        <v>0</v>
      </c>
      <c r="H10" s="44"/>
      <c r="I10" s="45">
        <f>H10/H5</f>
        <v>0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371</v>
      </c>
      <c r="D11" s="34">
        <v>5385126.1200000001</v>
      </c>
      <c r="E11" s="35">
        <f>D11/D5</f>
        <v>1.4869141160213045E-3</v>
      </c>
      <c r="F11" s="34">
        <v>673140.89</v>
      </c>
      <c r="G11" s="35">
        <f>F11/F5</f>
        <v>1.7192973718474583E-3</v>
      </c>
      <c r="H11" s="34">
        <v>673140.89</v>
      </c>
      <c r="I11" s="35">
        <f>H11/H5</f>
        <v>2.1113305085605862E-3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363</v>
      </c>
      <c r="D12" s="44">
        <v>18848484.190000001</v>
      </c>
      <c r="E12" s="45">
        <f>D12/D5</f>
        <v>5.2043492730148699E-3</v>
      </c>
      <c r="F12" s="44"/>
      <c r="G12" s="45">
        <f>F12/F5</f>
        <v>0</v>
      </c>
      <c r="H12" s="44"/>
      <c r="I12" s="45">
        <f>H12/H5</f>
        <v>0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338</v>
      </c>
      <c r="D13" s="34">
        <v>7205343.3600000003</v>
      </c>
      <c r="E13" s="35">
        <f>D13/D5</f>
        <v>1.989503405124405E-3</v>
      </c>
      <c r="F13" s="34"/>
      <c r="G13" s="35">
        <f>F13/F5</f>
        <v>0</v>
      </c>
      <c r="H13" s="34"/>
      <c r="I13" s="35">
        <f>H13/H5</f>
        <v>0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391</v>
      </c>
      <c r="D14" s="44">
        <v>3589278.81</v>
      </c>
      <c r="E14" s="45">
        <f>D14/D5</f>
        <v>9.9105373021888469E-4</v>
      </c>
      <c r="F14" s="44">
        <v>1435711.5</v>
      </c>
      <c r="G14" s="45">
        <f>F14/F5</f>
        <v>3.6670109413219154E-3</v>
      </c>
      <c r="H14" s="44">
        <v>717855.71</v>
      </c>
      <c r="I14" s="45">
        <f>H14/H5</f>
        <v>2.2515801428545229E-3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451</v>
      </c>
      <c r="D15" s="34">
        <v>35169.58</v>
      </c>
      <c r="E15" s="35">
        <f>D15/D5</f>
        <v>9.7108486953209099E-6</v>
      </c>
      <c r="F15" s="34"/>
      <c r="G15" s="35">
        <f>F15/F5</f>
        <v>0</v>
      </c>
      <c r="H15" s="34"/>
      <c r="I15" s="35">
        <f>H15/H5</f>
        <v>0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446</v>
      </c>
      <c r="D16" s="44">
        <v>13365740.689999999</v>
      </c>
      <c r="E16" s="45">
        <f>D16/D5</f>
        <v>3.6904815337994962E-3</v>
      </c>
      <c r="F16" s="44"/>
      <c r="G16" s="45">
        <f>F16/F5</f>
        <v>0</v>
      </c>
      <c r="H16" s="44"/>
      <c r="I16" s="45">
        <f>H16/H5</f>
        <v>0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450</v>
      </c>
      <c r="D17" s="34">
        <v>4607612.18</v>
      </c>
      <c r="E17" s="35">
        <f>D17/D5</f>
        <v>1.2722308519663222E-3</v>
      </c>
      <c r="F17" s="34"/>
      <c r="G17" s="35">
        <f>F17/F5</f>
        <v>0</v>
      </c>
      <c r="H17" s="34"/>
      <c r="I17" s="35">
        <f>H17/H5</f>
        <v>0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421</v>
      </c>
      <c r="D18" s="44">
        <v>2648768.81</v>
      </c>
      <c r="E18" s="45">
        <f>D18/D5</f>
        <v>7.3136480853041794E-4</v>
      </c>
      <c r="F18" s="44">
        <v>520293.86</v>
      </c>
      <c r="G18" s="45">
        <f>F18/F5</f>
        <v>1.3289043636709832E-3</v>
      </c>
      <c r="H18" s="44">
        <v>378395.55</v>
      </c>
      <c r="I18" s="45">
        <f>H18/H5</f>
        <v>1.1868511939878779E-3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237616337.53</v>
      </c>
      <c r="E21" s="41">
        <f>D21/D5</f>
        <v>6.560943580475323E-2</v>
      </c>
      <c r="F21" s="40">
        <f>SUM(F22:F33)</f>
        <v>28217893.109999999</v>
      </c>
      <c r="G21" s="41">
        <f>F21/F5</f>
        <v>7.2072503964356549E-2</v>
      </c>
      <c r="H21" s="40">
        <f>SUM(H22:H33)</f>
        <v>21100735.989999995</v>
      </c>
      <c r="I21" s="41">
        <f>H21/H5</f>
        <v>6.618321410955938E-2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315</v>
      </c>
      <c r="D22" s="44">
        <v>41654556.979999997</v>
      </c>
      <c r="E22" s="45">
        <f>D22/D5</f>
        <v>1.1501448135104356E-2</v>
      </c>
      <c r="F22" s="44">
        <v>5288684.26</v>
      </c>
      <c r="G22" s="45">
        <f>F22/F5</f>
        <v>1.3508050222218737E-2</v>
      </c>
      <c r="H22" s="44">
        <v>4576185.1100000003</v>
      </c>
      <c r="I22" s="45">
        <f>H22/H5</f>
        <v>1.4353368483622623E-2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402</v>
      </c>
      <c r="D23" s="34">
        <v>51642471.219999999</v>
      </c>
      <c r="E23" s="35">
        <f>D23/D5</f>
        <v>1.4259261107749497E-2</v>
      </c>
      <c r="F23" s="34">
        <v>10382306.99</v>
      </c>
      <c r="G23" s="35">
        <f>F23/F5</f>
        <v>2.6517885611763228E-2</v>
      </c>
      <c r="H23" s="34">
        <v>4410502.84</v>
      </c>
      <c r="I23" s="35">
        <f>H23/H5</f>
        <v>1.3833700110217803E-2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407</v>
      </c>
      <c r="D24" s="44">
        <v>28000461.030000001</v>
      </c>
      <c r="E24" s="45">
        <f>D24/D5</f>
        <v>7.7313473877583831E-3</v>
      </c>
      <c r="F24" s="44">
        <v>1825314.52</v>
      </c>
      <c r="G24" s="45">
        <f>F24/F5</f>
        <v>4.6621123507012098E-3</v>
      </c>
      <c r="H24" s="44">
        <v>1225182.3400000001</v>
      </c>
      <c r="I24" s="45">
        <f>H24/H5</f>
        <v>3.8428282866483556E-3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462</v>
      </c>
      <c r="D25" s="34">
        <v>27256694.93</v>
      </c>
      <c r="E25" s="35">
        <f>D25/D5</f>
        <v>7.5259824086540278E-3</v>
      </c>
      <c r="F25" s="34">
        <v>1236020.3500000001</v>
      </c>
      <c r="G25" s="35">
        <f>F25/F5</f>
        <v>3.1569714020863826E-3</v>
      </c>
      <c r="H25" s="34">
        <v>2508480.13</v>
      </c>
      <c r="I25" s="35">
        <f>H25/H5</f>
        <v>7.8679377635000377E-3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412</v>
      </c>
      <c r="D26" s="44">
        <v>27868978.149999999</v>
      </c>
      <c r="E26" s="45">
        <f>D26/D5</f>
        <v>7.6950429919224062E-3</v>
      </c>
      <c r="F26" s="44">
        <v>2802672.71</v>
      </c>
      <c r="G26" s="45">
        <f>F26/F5</f>
        <v>7.1584238842652883E-3</v>
      </c>
      <c r="H26" s="44">
        <v>2261068.04</v>
      </c>
      <c r="I26" s="45">
        <f>H26/H5</f>
        <v>7.0919208826896373E-3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303</v>
      </c>
      <c r="D27" s="34">
        <v>20316687.379999999</v>
      </c>
      <c r="E27" s="35">
        <f>D27/D5</f>
        <v>5.6097422015649826E-3</v>
      </c>
      <c r="F27" s="34">
        <v>2184043.9</v>
      </c>
      <c r="G27" s="35">
        <f>F27/F5</f>
        <v>5.5783581016293224E-3</v>
      </c>
      <c r="H27" s="34">
        <v>2031668.74</v>
      </c>
      <c r="I27" s="35">
        <f>H27/H5</f>
        <v>6.3724017628030974E-3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 t="s">
        <v>479</v>
      </c>
      <c r="D28" s="44">
        <v>20858811.469999999</v>
      </c>
      <c r="E28" s="45">
        <f>D28/D5</f>
        <v>5.7594307964267503E-3</v>
      </c>
      <c r="F28" s="44">
        <v>2242322.2400000002</v>
      </c>
      <c r="G28" s="45">
        <f>F28/F5</f>
        <v>5.7272092534255432E-3</v>
      </c>
      <c r="H28" s="44">
        <v>2085881.15</v>
      </c>
      <c r="I28" s="45">
        <f>H28/H5</f>
        <v>6.5424409282675436E-3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 t="s">
        <v>477</v>
      </c>
      <c r="D29" s="34">
        <v>20017676.370000001</v>
      </c>
      <c r="E29" s="35">
        <f>D29/D5</f>
        <v>5.5271807755728304E-3</v>
      </c>
      <c r="F29" s="34">
        <v>2151900.21</v>
      </c>
      <c r="G29" s="35">
        <f>F29/F5</f>
        <v>5.4962585552201307E-3</v>
      </c>
      <c r="H29" s="34">
        <v>2001767.64</v>
      </c>
      <c r="I29" s="35">
        <f>H29/H5</f>
        <v>6.2786158918102936E-3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 t="s">
        <v>311</v>
      </c>
      <c r="D30" s="44"/>
      <c r="E30" s="45">
        <f>D30/D5</f>
        <v>0</v>
      </c>
      <c r="F30" s="44">
        <v>104627.93</v>
      </c>
      <c r="G30" s="45">
        <f>F30/F5</f>
        <v>2.6723458304670779E-4</v>
      </c>
      <c r="H30" s="44"/>
      <c r="I30" s="45">
        <f>H30/H5</f>
        <v>0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>
        <f>F31/F5</f>
        <v>0</v>
      </c>
      <c r="H31" s="34"/>
      <c r="I31" s="35">
        <f>H31/H5</f>
        <v>0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>
        <f>F32/F5</f>
        <v>0</v>
      </c>
      <c r="H32" s="44"/>
      <c r="I32" s="45">
        <f>H32/H5</f>
        <v>0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>
        <f>H33/H5</f>
        <v>0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>
        <f>H34/H5</f>
        <v>0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2.375" customWidth="1"/>
    <col min="7" max="7" width="6.625" customWidth="1"/>
    <col min="8" max="8" width="12.375" customWidth="1"/>
    <col min="9" max="9" width="6.625" customWidth="1"/>
    <col min="10" max="10" width="0.625" customWidth="1"/>
    <col min="11" max="11" width="7.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44255</v>
      </c>
      <c r="D3" s="82" t="s">
        <v>329</v>
      </c>
      <c r="E3" s="83"/>
      <c r="F3" s="82"/>
      <c r="G3" s="83"/>
      <c r="H3" s="82"/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316530485.39999998</v>
      </c>
      <c r="E5" s="32">
        <f>D5/D5</f>
        <v>1</v>
      </c>
      <c r="F5" s="31"/>
      <c r="G5" s="32" t="e">
        <f>F5/F5</f>
        <v>#DIV/0!</v>
      </c>
      <c r="H5" s="31"/>
      <c r="I5" s="32" t="e">
        <f>H5/H5</f>
        <v>#DIV/0!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20531671.770000003</v>
      </c>
      <c r="E7" s="38">
        <f>D7/D5</f>
        <v>6.4864753055473012E-2</v>
      </c>
      <c r="F7" s="37">
        <f>SUM(F9,F21)</f>
        <v>0</v>
      </c>
      <c r="G7" s="38" t="e">
        <f>F7/F5</f>
        <v>#DIV/0!</v>
      </c>
      <c r="H7" s="37">
        <f>SUM(H9,H21)</f>
        <v>0</v>
      </c>
      <c r="I7" s="38" t="e">
        <f>H7/H5</f>
        <v>#DIV/0!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0</v>
      </c>
      <c r="E9" s="41">
        <f>D9/D5</f>
        <v>0</v>
      </c>
      <c r="F9" s="40">
        <f>SUM(F10:F19)</f>
        <v>0</v>
      </c>
      <c r="G9" s="41" t="e">
        <f>F9/F5</f>
        <v>#DIV/0!</v>
      </c>
      <c r="H9" s="40">
        <f>SUM(H10:H19)</f>
        <v>0</v>
      </c>
      <c r="I9" s="41" t="e">
        <f>H9/H5</f>
        <v>#DIV/0!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/>
      <c r="D10" s="44"/>
      <c r="E10" s="45">
        <f>D10/D5</f>
        <v>0</v>
      </c>
      <c r="F10" s="44"/>
      <c r="G10" s="45" t="e">
        <f>F10/F5</f>
        <v>#DIV/0!</v>
      </c>
      <c r="H10" s="44"/>
      <c r="I10" s="45" t="e">
        <f>H10/H5</f>
        <v>#DIV/0!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/>
      <c r="D11" s="34"/>
      <c r="E11" s="35">
        <f>D11/D5</f>
        <v>0</v>
      </c>
      <c r="F11" s="34"/>
      <c r="G11" s="35" t="e">
        <f>F11/F5</f>
        <v>#DIV/0!</v>
      </c>
      <c r="H11" s="34"/>
      <c r="I11" s="35" t="e">
        <f>H11/H5</f>
        <v>#DIV/0!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/>
      <c r="D12" s="44"/>
      <c r="E12" s="45">
        <f>D12/D5</f>
        <v>0</v>
      </c>
      <c r="F12" s="44"/>
      <c r="G12" s="45" t="e">
        <f>F12/F5</f>
        <v>#DIV/0!</v>
      </c>
      <c r="H12" s="44"/>
      <c r="I12" s="45" t="e">
        <f>H12/H5</f>
        <v>#DIV/0!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4"/>
      <c r="G13" s="35" t="e">
        <f>F13/F5</f>
        <v>#DIV/0!</v>
      </c>
      <c r="H13" s="34"/>
      <c r="I13" s="35" t="e">
        <f>H13/H5</f>
        <v>#DIV/0!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 t="e">
        <f>F14/F5</f>
        <v>#DIV/0!</v>
      </c>
      <c r="H14" s="44"/>
      <c r="I14" s="45" t="e">
        <f>H14/H5</f>
        <v>#DIV/0!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 t="e">
        <f>F15/F5</f>
        <v>#DIV/0!</v>
      </c>
      <c r="H15" s="34"/>
      <c r="I15" s="35" t="e">
        <f>H15/H5</f>
        <v>#DIV/0!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 t="e">
        <f>F16/F5</f>
        <v>#DIV/0!</v>
      </c>
      <c r="H16" s="44"/>
      <c r="I16" s="45" t="e">
        <f>H16/H5</f>
        <v>#DIV/0!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 t="e">
        <f>F17/F5</f>
        <v>#DIV/0!</v>
      </c>
      <c r="H17" s="34"/>
      <c r="I17" s="35" t="e">
        <f>H17/H5</f>
        <v>#DIV/0!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 t="e">
        <f>F18/F5</f>
        <v>#DIV/0!</v>
      </c>
      <c r="H18" s="44"/>
      <c r="I18" s="45" t="e">
        <f>H18/H5</f>
        <v>#DIV/0!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 t="e">
        <f>F19/F5</f>
        <v>#DIV/0!</v>
      </c>
      <c r="H19" s="34"/>
      <c r="I19" s="35" t="e">
        <f>H19/H5</f>
        <v>#DIV/0!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20531671.770000003</v>
      </c>
      <c r="E21" s="41">
        <f>D21/D5</f>
        <v>6.4864753055473012E-2</v>
      </c>
      <c r="F21" s="40">
        <f>SUM(F22:F33)</f>
        <v>0</v>
      </c>
      <c r="G21" s="41" t="e">
        <f>F21/F5</f>
        <v>#DIV/0!</v>
      </c>
      <c r="H21" s="40">
        <f>SUM(H22:H33)</f>
        <v>0</v>
      </c>
      <c r="I21" s="41" t="e">
        <f>H21/H5</f>
        <v>#DIV/0!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378</v>
      </c>
      <c r="D22" s="44">
        <v>5411011.0700000003</v>
      </c>
      <c r="E22" s="45">
        <f>D22/D5</f>
        <v>1.7094754911717584E-2</v>
      </c>
      <c r="F22" s="44"/>
      <c r="G22" s="45" t="e">
        <f>F22/F5</f>
        <v>#DIV/0!</v>
      </c>
      <c r="H22" s="44"/>
      <c r="I22" s="45" t="e">
        <f>H22/H5</f>
        <v>#DIV/0!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380</v>
      </c>
      <c r="D23" s="34">
        <v>5043529.57</v>
      </c>
      <c r="E23" s="35">
        <f>D23/D5</f>
        <v>1.5933787747573463E-2</v>
      </c>
      <c r="F23" s="34"/>
      <c r="G23" s="35" t="e">
        <f>F23/F5</f>
        <v>#DIV/0!</v>
      </c>
      <c r="H23" s="34"/>
      <c r="I23" s="35" t="e">
        <f>H23/H5</f>
        <v>#DIV/0!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473</v>
      </c>
      <c r="D24" s="44">
        <v>10077131.130000001</v>
      </c>
      <c r="E24" s="45">
        <f>D24/D5</f>
        <v>3.1836210396181959E-2</v>
      </c>
      <c r="F24" s="44"/>
      <c r="G24" s="45" t="e">
        <f>F24/F5</f>
        <v>#DIV/0!</v>
      </c>
      <c r="H24" s="44"/>
      <c r="I24" s="45" t="e">
        <f>H24/H5</f>
        <v>#DIV/0!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/>
      <c r="D25" s="34"/>
      <c r="E25" s="35">
        <f>D25/D5</f>
        <v>0</v>
      </c>
      <c r="F25" s="34"/>
      <c r="G25" s="35" t="e">
        <f>F25/F5</f>
        <v>#DIV/0!</v>
      </c>
      <c r="H25" s="34"/>
      <c r="I25" s="35" t="e">
        <f>H25/H5</f>
        <v>#DIV/0!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/>
      <c r="D26" s="44"/>
      <c r="E26" s="45">
        <f>D26/D5</f>
        <v>0</v>
      </c>
      <c r="F26" s="44"/>
      <c r="G26" s="45" t="e">
        <f>F26/F5</f>
        <v>#DIV/0!</v>
      </c>
      <c r="H26" s="44"/>
      <c r="I26" s="45" t="e">
        <f>H26/H5</f>
        <v>#DIV/0!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/>
      <c r="D27" s="34"/>
      <c r="E27" s="35">
        <f>D27/D5</f>
        <v>0</v>
      </c>
      <c r="F27" s="34"/>
      <c r="G27" s="35" t="e">
        <f>F27/F5</f>
        <v>#DIV/0!</v>
      </c>
      <c r="H27" s="34"/>
      <c r="I27" s="35" t="e">
        <f>H27/H5</f>
        <v>#DIV/0!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 t="e">
        <f>F28/F5</f>
        <v>#DIV/0!</v>
      </c>
      <c r="H28" s="44"/>
      <c r="I28" s="45" t="e">
        <f>H28/H5</f>
        <v>#DIV/0!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 t="e">
        <f>F29/F5</f>
        <v>#DIV/0!</v>
      </c>
      <c r="H29" s="34"/>
      <c r="I29" s="35" t="e">
        <f>H29/H5</f>
        <v>#DIV/0!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 t="e">
        <f>F30/F5</f>
        <v>#DIV/0!</v>
      </c>
      <c r="H30" s="44"/>
      <c r="I30" s="45" t="e">
        <f>H30/H5</f>
        <v>#DIV/0!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 t="e">
        <f>F31/F5</f>
        <v>#DIV/0!</v>
      </c>
      <c r="H31" s="34"/>
      <c r="I31" s="35" t="e">
        <f>H31/H5</f>
        <v>#DIV/0!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 t="e">
        <f>F32/F5</f>
        <v>#DIV/0!</v>
      </c>
      <c r="H32" s="44"/>
      <c r="I32" s="45" t="e">
        <f>H32/H5</f>
        <v>#DIV/0!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 t="e">
        <f>F33/F5</f>
        <v>#DIV/0!</v>
      </c>
      <c r="H33" s="34"/>
      <c r="I33" s="35" t="e">
        <f>H33/H5</f>
        <v>#DIV/0!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 t="e">
        <f>F34/F5</f>
        <v>#DIV/0!</v>
      </c>
      <c r="H34" s="44"/>
      <c r="I34" s="45" t="e">
        <f>H34/H5</f>
        <v>#DIV/0!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2.375" customWidth="1"/>
    <col min="7" max="7" width="6.625" customWidth="1"/>
    <col min="8" max="8" width="12.375" customWidth="1"/>
    <col min="9" max="9" width="6.625" customWidth="1"/>
    <col min="10" max="10" width="0.625" customWidth="1"/>
    <col min="11" max="11" width="7.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44135</v>
      </c>
      <c r="D3" s="82" t="s">
        <v>286</v>
      </c>
      <c r="E3" s="83"/>
      <c r="F3" s="82"/>
      <c r="G3" s="83"/>
      <c r="H3" s="82"/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239954642.66999999</v>
      </c>
      <c r="E5" s="32">
        <f>D5/D5</f>
        <v>1</v>
      </c>
      <c r="F5" s="31"/>
      <c r="G5" s="32" t="e">
        <f>F5/F5</f>
        <v>#DIV/0!</v>
      </c>
      <c r="H5" s="31"/>
      <c r="I5" s="32" t="e">
        <f>H5/H5</f>
        <v>#DIV/0!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15982568.449999999</v>
      </c>
      <c r="E7" s="38">
        <f>D7/D5</f>
        <v>6.6606623119104161E-2</v>
      </c>
      <c r="F7" s="37">
        <f>SUM(F9,F21)</f>
        <v>0</v>
      </c>
      <c r="G7" s="38" t="e">
        <f>F7/F5</f>
        <v>#DIV/0!</v>
      </c>
      <c r="H7" s="37">
        <f>SUM(H9,H21)</f>
        <v>0</v>
      </c>
      <c r="I7" s="38" t="e">
        <f>H7/H5</f>
        <v>#DIV/0!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0</v>
      </c>
      <c r="E9" s="41">
        <f>D9/D5</f>
        <v>0</v>
      </c>
      <c r="F9" s="40">
        <f>SUM(F10:F19)</f>
        <v>0</v>
      </c>
      <c r="G9" s="41" t="e">
        <f>F9/F5</f>
        <v>#DIV/0!</v>
      </c>
      <c r="H9" s="40">
        <f>SUM(H10:H19)</f>
        <v>0</v>
      </c>
      <c r="I9" s="41" t="e">
        <f>H9/H5</f>
        <v>#DIV/0!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/>
      <c r="D10" s="44"/>
      <c r="E10" s="45">
        <f>D10/D5</f>
        <v>0</v>
      </c>
      <c r="F10" s="44"/>
      <c r="G10" s="45" t="e">
        <f>F10/F5</f>
        <v>#DIV/0!</v>
      </c>
      <c r="H10" s="44"/>
      <c r="I10" s="45" t="e">
        <f>H10/H5</f>
        <v>#DIV/0!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/>
      <c r="D11" s="34"/>
      <c r="E11" s="35">
        <f>D11/D5</f>
        <v>0</v>
      </c>
      <c r="F11" s="34"/>
      <c r="G11" s="35" t="e">
        <f>F11/F5</f>
        <v>#DIV/0!</v>
      </c>
      <c r="H11" s="34"/>
      <c r="I11" s="35" t="e">
        <f>H11/H5</f>
        <v>#DIV/0!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/>
      <c r="D12" s="44"/>
      <c r="E12" s="45">
        <f>D12/D5</f>
        <v>0</v>
      </c>
      <c r="F12" s="44"/>
      <c r="G12" s="45" t="e">
        <f>F12/F5</f>
        <v>#DIV/0!</v>
      </c>
      <c r="H12" s="44"/>
      <c r="I12" s="45" t="e">
        <f>H12/H5</f>
        <v>#DIV/0!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4"/>
      <c r="G13" s="35" t="e">
        <f>F13/F5</f>
        <v>#DIV/0!</v>
      </c>
      <c r="H13" s="34"/>
      <c r="I13" s="35" t="e">
        <f>H13/H5</f>
        <v>#DIV/0!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 t="e">
        <f>F14/F5</f>
        <v>#DIV/0!</v>
      </c>
      <c r="H14" s="44"/>
      <c r="I14" s="45" t="e">
        <f>H14/H5</f>
        <v>#DIV/0!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 t="e">
        <f>F15/F5</f>
        <v>#DIV/0!</v>
      </c>
      <c r="H15" s="34"/>
      <c r="I15" s="35" t="e">
        <f>H15/H5</f>
        <v>#DIV/0!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 t="e">
        <f>F16/F5</f>
        <v>#DIV/0!</v>
      </c>
      <c r="H16" s="44"/>
      <c r="I16" s="45" t="e">
        <f>H16/H5</f>
        <v>#DIV/0!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 t="e">
        <f>F17/F5</f>
        <v>#DIV/0!</v>
      </c>
      <c r="H17" s="34"/>
      <c r="I17" s="35" t="e">
        <f>H17/H5</f>
        <v>#DIV/0!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 t="e">
        <f>F18/F5</f>
        <v>#DIV/0!</v>
      </c>
      <c r="H18" s="44"/>
      <c r="I18" s="45" t="e">
        <f>H18/H5</f>
        <v>#DIV/0!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 t="e">
        <f>F19/F5</f>
        <v>#DIV/0!</v>
      </c>
      <c r="H19" s="34"/>
      <c r="I19" s="35" t="e">
        <f>H19/H5</f>
        <v>#DIV/0!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15982568.449999999</v>
      </c>
      <c r="E21" s="41">
        <f>D21/D5</f>
        <v>6.6606623119104161E-2</v>
      </c>
      <c r="F21" s="40">
        <f>SUM(F22:F33)</f>
        <v>0</v>
      </c>
      <c r="G21" s="41" t="e">
        <f>F21/F5</f>
        <v>#DIV/0!</v>
      </c>
      <c r="H21" s="40">
        <f>SUM(H22:H33)</f>
        <v>0</v>
      </c>
      <c r="I21" s="41" t="e">
        <f>H21/H5</f>
        <v>#DIV/0!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531</v>
      </c>
      <c r="D22" s="44">
        <v>8337782.2000000002</v>
      </c>
      <c r="E22" s="45">
        <f>D22/D5</f>
        <v>3.4747326024721338E-2</v>
      </c>
      <c r="F22" s="44"/>
      <c r="G22" s="45" t="e">
        <f>F22/F5</f>
        <v>#DIV/0!</v>
      </c>
      <c r="H22" s="44"/>
      <c r="I22" s="45" t="e">
        <f>H22/H5</f>
        <v>#DIV/0!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310</v>
      </c>
      <c r="D23" s="34">
        <v>7644786.25</v>
      </c>
      <c r="E23" s="35">
        <f>D23/D5</f>
        <v>3.185929709438283E-2</v>
      </c>
      <c r="F23" s="34"/>
      <c r="G23" s="35" t="e">
        <f>F23/F5</f>
        <v>#DIV/0!</v>
      </c>
      <c r="H23" s="34"/>
      <c r="I23" s="35" t="e">
        <f>H23/H5</f>
        <v>#DIV/0!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/>
      <c r="D24" s="44"/>
      <c r="E24" s="45">
        <f>D24/D5</f>
        <v>0</v>
      </c>
      <c r="F24" s="44"/>
      <c r="G24" s="45" t="e">
        <f>F24/F5</f>
        <v>#DIV/0!</v>
      </c>
      <c r="H24" s="44"/>
      <c r="I24" s="45" t="e">
        <f>H24/H5</f>
        <v>#DIV/0!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/>
      <c r="D25" s="34"/>
      <c r="E25" s="35">
        <f>D25/D5</f>
        <v>0</v>
      </c>
      <c r="F25" s="34"/>
      <c r="G25" s="35" t="e">
        <f>F25/F5</f>
        <v>#DIV/0!</v>
      </c>
      <c r="H25" s="34"/>
      <c r="I25" s="35" t="e">
        <f>H25/H5</f>
        <v>#DIV/0!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/>
      <c r="D26" s="44"/>
      <c r="E26" s="45">
        <f>D26/D5</f>
        <v>0</v>
      </c>
      <c r="F26" s="44"/>
      <c r="G26" s="45" t="e">
        <f>F26/F5</f>
        <v>#DIV/0!</v>
      </c>
      <c r="H26" s="44"/>
      <c r="I26" s="45" t="e">
        <f>H26/H5</f>
        <v>#DIV/0!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/>
      <c r="D27" s="34"/>
      <c r="E27" s="35">
        <f>D27/D5</f>
        <v>0</v>
      </c>
      <c r="F27" s="34"/>
      <c r="G27" s="35" t="e">
        <f>F27/F5</f>
        <v>#DIV/0!</v>
      </c>
      <c r="H27" s="34"/>
      <c r="I27" s="35" t="e">
        <f>H27/H5</f>
        <v>#DIV/0!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 t="e">
        <f>F28/F5</f>
        <v>#DIV/0!</v>
      </c>
      <c r="H28" s="44"/>
      <c r="I28" s="45" t="e">
        <f>H28/H5</f>
        <v>#DIV/0!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 t="e">
        <f>F29/F5</f>
        <v>#DIV/0!</v>
      </c>
      <c r="H29" s="34"/>
      <c r="I29" s="35" t="e">
        <f>H29/H5</f>
        <v>#DIV/0!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 t="e">
        <f>F30/F5</f>
        <v>#DIV/0!</v>
      </c>
      <c r="H30" s="44"/>
      <c r="I30" s="45" t="e">
        <f>H30/H5</f>
        <v>#DIV/0!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 t="e">
        <f>F31/F5</f>
        <v>#DIV/0!</v>
      </c>
      <c r="H31" s="34"/>
      <c r="I31" s="35" t="e">
        <f>H31/H5</f>
        <v>#DIV/0!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 t="e">
        <f>F32/F5</f>
        <v>#DIV/0!</v>
      </c>
      <c r="H32" s="44"/>
      <c r="I32" s="45" t="e">
        <f>H32/H5</f>
        <v>#DIV/0!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 t="e">
        <f>F33/F5</f>
        <v>#DIV/0!</v>
      </c>
      <c r="H33" s="34"/>
      <c r="I33" s="35" t="e">
        <f>H33/H5</f>
        <v>#DIV/0!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 t="e">
        <f>F34/F5</f>
        <v>#DIV/0!</v>
      </c>
      <c r="H34" s="44"/>
      <c r="I34" s="45" t="e">
        <f>H34/H5</f>
        <v>#DIV/0!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7.125" customWidth="1"/>
    <col min="5" max="5" width="6.375" customWidth="1"/>
    <col min="6" max="6" width="15.625" customWidth="1"/>
    <col min="7" max="7" width="6.375" customWidth="1"/>
    <col min="8" max="8" width="12.375" customWidth="1"/>
    <col min="9" max="9" width="6.625" customWidth="1"/>
    <col min="10" max="10" width="0.625" customWidth="1"/>
    <col min="11" max="11" width="7.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44377</v>
      </c>
      <c r="D3" s="82" t="s">
        <v>296</v>
      </c>
      <c r="E3" s="83"/>
      <c r="F3" s="82" t="s">
        <v>286</v>
      </c>
      <c r="G3" s="83"/>
      <c r="H3" s="82"/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3940282355.8600001</v>
      </c>
      <c r="E5" s="32">
        <f>D5/D5</f>
        <v>1</v>
      </c>
      <c r="F5" s="58">
        <v>1571402692.1300001</v>
      </c>
      <c r="G5" s="32">
        <f>F5/F5</f>
        <v>1</v>
      </c>
      <c r="H5" s="31"/>
      <c r="I5" s="32" t="e">
        <f>H5/H5</f>
        <v>#DIV/0!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0</v>
      </c>
      <c r="E7" s="38">
        <f>D7/D5</f>
        <v>0</v>
      </c>
      <c r="F7" s="37">
        <f>SUM(F9,F21)</f>
        <v>65089734.380000003</v>
      </c>
      <c r="G7" s="38">
        <f>F7/F5</f>
        <v>4.1421422214679017E-2</v>
      </c>
      <c r="H7" s="37">
        <f>SUM(H9,H21)</f>
        <v>0</v>
      </c>
      <c r="I7" s="38" t="e">
        <f>H7/H5</f>
        <v>#DIV/0!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0</v>
      </c>
      <c r="E9" s="41">
        <f>D9/D5</f>
        <v>0</v>
      </c>
      <c r="F9" s="40">
        <f>SUM(F10:F19)</f>
        <v>5557959.5800000001</v>
      </c>
      <c r="G9" s="41">
        <f>F9/F5</f>
        <v>3.5369416177251892E-3</v>
      </c>
      <c r="H9" s="40">
        <f>SUM(H10:H19)</f>
        <v>0</v>
      </c>
      <c r="I9" s="41" t="e">
        <f>H9/H5</f>
        <v>#DIV/0!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/>
      <c r="D10" s="44"/>
      <c r="E10" s="45">
        <f>D10/D5</f>
        <v>0</v>
      </c>
      <c r="F10" s="44"/>
      <c r="G10" s="45">
        <f>F10/F5</f>
        <v>0</v>
      </c>
      <c r="H10" s="44"/>
      <c r="I10" s="45" t="e">
        <f>H10/H5</f>
        <v>#DIV/0!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/>
      <c r="D11" s="34"/>
      <c r="E11" s="35">
        <f>D11/D5</f>
        <v>0</v>
      </c>
      <c r="F11" s="34"/>
      <c r="G11" s="35">
        <f>F11/F5</f>
        <v>0</v>
      </c>
      <c r="H11" s="34"/>
      <c r="I11" s="35" t="e">
        <f>H11/H5</f>
        <v>#DIV/0!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532</v>
      </c>
      <c r="D12" s="44"/>
      <c r="E12" s="45">
        <f>D12/D5</f>
        <v>0</v>
      </c>
      <c r="F12" s="44">
        <v>1531725.42</v>
      </c>
      <c r="G12" s="45">
        <f>F12/F5</f>
        <v>9.7475041099985733E-4</v>
      </c>
      <c r="H12" s="44"/>
      <c r="I12" s="45" t="e">
        <f>H12/H5</f>
        <v>#DIV/0!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533</v>
      </c>
      <c r="D13" s="34"/>
      <c r="E13" s="35">
        <f>D13/D5</f>
        <v>0</v>
      </c>
      <c r="F13" s="34">
        <v>4026234.16</v>
      </c>
      <c r="G13" s="35">
        <f>F13/F5</f>
        <v>2.5621912067253319E-3</v>
      </c>
      <c r="H13" s="34"/>
      <c r="I13" s="35" t="e">
        <f>H13/H5</f>
        <v>#DIV/0!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>
        <f>F14/F5</f>
        <v>0</v>
      </c>
      <c r="H14" s="44"/>
      <c r="I14" s="45" t="e">
        <f>H14/H5</f>
        <v>#DIV/0!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>
        <f>F15/F5</f>
        <v>0</v>
      </c>
      <c r="H15" s="34"/>
      <c r="I15" s="35" t="e">
        <f>H15/H5</f>
        <v>#DIV/0!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>
        <f>F16/F5</f>
        <v>0</v>
      </c>
      <c r="H16" s="44"/>
      <c r="I16" s="45" t="e">
        <f>H16/H5</f>
        <v>#DIV/0!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4"/>
      <c r="I17" s="35" t="e">
        <f>H17/H5</f>
        <v>#DIV/0!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4"/>
      <c r="I18" s="45" t="e">
        <f>H18/H5</f>
        <v>#DIV/0!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 t="e">
        <f>H19/H5</f>
        <v>#DIV/0!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0</v>
      </c>
      <c r="E21" s="41">
        <f>D21/D5</f>
        <v>0</v>
      </c>
      <c r="F21" s="40">
        <f>SUM(F22:F33)</f>
        <v>59531774.800000004</v>
      </c>
      <c r="G21" s="41">
        <f>F21/F5</f>
        <v>3.7884480596953832E-2</v>
      </c>
      <c r="H21" s="40">
        <f>SUM(H22:H33)</f>
        <v>0</v>
      </c>
      <c r="I21" s="41" t="e">
        <f>H21/H5</f>
        <v>#DIV/0!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287</v>
      </c>
      <c r="D22" s="44"/>
      <c r="E22" s="45">
        <f>D22/D5</f>
        <v>0</v>
      </c>
      <c r="F22" s="44">
        <v>10736463.41</v>
      </c>
      <c r="G22" s="45">
        <f>F22/F5</f>
        <v>6.8324074177618793E-3</v>
      </c>
      <c r="H22" s="44"/>
      <c r="I22" s="45" t="e">
        <f>H22/H5</f>
        <v>#DIV/0!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345</v>
      </c>
      <c r="D23" s="34"/>
      <c r="E23" s="35">
        <f>D23/D5</f>
        <v>0</v>
      </c>
      <c r="F23" s="34">
        <v>28863398.82</v>
      </c>
      <c r="G23" s="35">
        <f>F23/F5</f>
        <v>1.8367919925653384E-2</v>
      </c>
      <c r="H23" s="34"/>
      <c r="I23" s="35" t="e">
        <f>H23/H5</f>
        <v>#DIV/0!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392</v>
      </c>
      <c r="D24" s="44"/>
      <c r="E24" s="45">
        <f>D24/D5</f>
        <v>0</v>
      </c>
      <c r="F24" s="44">
        <v>12237371.17</v>
      </c>
      <c r="G24" s="45">
        <f>F24/F5</f>
        <v>7.7875462676040893E-3</v>
      </c>
      <c r="H24" s="44"/>
      <c r="I24" s="45" t="e">
        <f>H24/H5</f>
        <v>#DIV/0!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475</v>
      </c>
      <c r="D25" s="34"/>
      <c r="E25" s="35">
        <f>D25/D5</f>
        <v>0</v>
      </c>
      <c r="F25" s="34">
        <v>7694541.4000000004</v>
      </c>
      <c r="G25" s="35">
        <f>F25/F5</f>
        <v>4.8966069859344751E-3</v>
      </c>
      <c r="H25" s="34"/>
      <c r="I25" s="35" t="e">
        <f>H25/H5</f>
        <v>#DIV/0!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/>
      <c r="D26" s="44"/>
      <c r="E26" s="45">
        <f>D26/D5</f>
        <v>0</v>
      </c>
      <c r="F26" s="44"/>
      <c r="G26" s="45">
        <f>F26/F5</f>
        <v>0</v>
      </c>
      <c r="H26" s="44"/>
      <c r="I26" s="45" t="e">
        <f>H26/H5</f>
        <v>#DIV/0!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/>
      <c r="D27" s="34"/>
      <c r="E27" s="35">
        <f>D27/D5</f>
        <v>0</v>
      </c>
      <c r="F27" s="34"/>
      <c r="G27" s="35">
        <f>F27/F5</f>
        <v>0</v>
      </c>
      <c r="H27" s="34"/>
      <c r="I27" s="35" t="e">
        <f>H27/H5</f>
        <v>#DIV/0!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>
        <f>F28/F5</f>
        <v>0</v>
      </c>
      <c r="H28" s="44"/>
      <c r="I28" s="45" t="e">
        <f>H28/H5</f>
        <v>#DIV/0!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>
        <f>F29/F5</f>
        <v>0</v>
      </c>
      <c r="H29" s="34"/>
      <c r="I29" s="35" t="e">
        <f>H29/H5</f>
        <v>#DIV/0!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>
        <f>F30/F5</f>
        <v>0</v>
      </c>
      <c r="H30" s="44"/>
      <c r="I30" s="45" t="e">
        <f>H30/H5</f>
        <v>#DIV/0!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>
        <f>F31/F5</f>
        <v>0</v>
      </c>
      <c r="H31" s="34"/>
      <c r="I31" s="35" t="e">
        <f>H31/H5</f>
        <v>#DIV/0!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>
        <f>F32/F5</f>
        <v>0</v>
      </c>
      <c r="H32" s="44"/>
      <c r="I32" s="45" t="e">
        <f>H32/H5</f>
        <v>#DIV/0!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 t="e">
        <f>H33/H5</f>
        <v>#DIV/0!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 t="e">
        <f>H34/H5</f>
        <v>#DIV/0!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workbookViewId="0"/>
  </sheetViews>
  <sheetFormatPr defaultColWidth="12.625" defaultRowHeight="15" customHeight="1"/>
  <cols>
    <col min="1" max="1" width="37.5" customWidth="1"/>
    <col min="2" max="2" width="12.25" customWidth="1"/>
    <col min="3" max="3" width="8.625" customWidth="1"/>
    <col min="4" max="4" width="12.25" customWidth="1"/>
    <col min="5" max="5" width="9.375" customWidth="1"/>
    <col min="6" max="6" width="12.25" customWidth="1"/>
    <col min="7" max="7" width="8.625" customWidth="1"/>
    <col min="8" max="8" width="9.75" customWidth="1"/>
    <col min="9" max="9" width="8.625" customWidth="1"/>
    <col min="10" max="10" width="13.375" customWidth="1"/>
    <col min="11" max="11" width="8.625" customWidth="1"/>
    <col min="12" max="12" width="11.25" customWidth="1"/>
    <col min="13" max="13" width="8.625" customWidth="1"/>
    <col min="14" max="14" width="13.375" customWidth="1"/>
    <col min="15" max="15" width="8.625" customWidth="1"/>
    <col min="16" max="16" width="12.25" customWidth="1"/>
    <col min="17" max="17" width="8.625" customWidth="1"/>
    <col min="18" max="18" width="14.875" customWidth="1"/>
    <col min="19" max="19" width="8.625" customWidth="1"/>
    <col min="20" max="20" width="14.875" customWidth="1"/>
    <col min="21" max="21" width="8.625" customWidth="1"/>
    <col min="22" max="22" width="13.375" customWidth="1"/>
    <col min="23" max="23" width="8.625" customWidth="1"/>
    <col min="24" max="24" width="13.375" customWidth="1"/>
    <col min="25" max="25" width="8.625" customWidth="1"/>
    <col min="26" max="26" width="13.375" customWidth="1"/>
    <col min="27" max="27" width="8.625" customWidth="1"/>
    <col min="28" max="28" width="12.25" customWidth="1"/>
    <col min="29" max="29" width="8.625" customWidth="1"/>
    <col min="30" max="30" width="12.25" customWidth="1"/>
    <col min="31" max="31" width="8.625" customWidth="1"/>
    <col min="32" max="32" width="12.25" customWidth="1"/>
    <col min="33" max="33" width="12.5" customWidth="1"/>
  </cols>
  <sheetData>
    <row r="1" spans="1:33" ht="13.5" customHeight="1">
      <c r="A1" s="26" t="s">
        <v>487</v>
      </c>
      <c r="B1" s="78" t="s">
        <v>488</v>
      </c>
      <c r="C1" s="79"/>
      <c r="D1" s="78" t="s">
        <v>488</v>
      </c>
      <c r="E1" s="79"/>
      <c r="F1" s="78" t="s">
        <v>488</v>
      </c>
      <c r="G1" s="79"/>
      <c r="H1" s="78" t="s">
        <v>534</v>
      </c>
      <c r="I1" s="79"/>
      <c r="J1" s="78" t="s">
        <v>488</v>
      </c>
      <c r="K1" s="79"/>
      <c r="L1" s="78" t="s">
        <v>488</v>
      </c>
      <c r="M1" s="79"/>
      <c r="T1" s="78" t="s">
        <v>488</v>
      </c>
      <c r="U1" s="79"/>
      <c r="V1" s="78" t="s">
        <v>488</v>
      </c>
      <c r="W1" s="79"/>
    </row>
    <row r="2" spans="1:33" ht="13.5" customHeight="1">
      <c r="A2" s="27">
        <v>44073</v>
      </c>
      <c r="B2" s="82" t="s">
        <v>535</v>
      </c>
      <c r="C2" s="83"/>
      <c r="D2" s="82" t="s">
        <v>536</v>
      </c>
      <c r="E2" s="83"/>
      <c r="F2" s="82" t="s">
        <v>537</v>
      </c>
      <c r="G2" s="83"/>
      <c r="H2" s="82" t="s">
        <v>538</v>
      </c>
      <c r="I2" s="83"/>
      <c r="J2" s="82" t="s">
        <v>539</v>
      </c>
      <c r="K2" s="83"/>
      <c r="L2" s="82" t="s">
        <v>540</v>
      </c>
      <c r="M2" s="83"/>
      <c r="N2" s="82" t="s">
        <v>541</v>
      </c>
      <c r="O2" s="83"/>
      <c r="P2" s="82" t="s">
        <v>540</v>
      </c>
      <c r="Q2" s="83"/>
      <c r="R2" s="82" t="s">
        <v>542</v>
      </c>
      <c r="S2" s="83"/>
      <c r="T2" s="82" t="s">
        <v>543</v>
      </c>
      <c r="U2" s="83"/>
      <c r="V2" s="82" t="s">
        <v>544</v>
      </c>
      <c r="W2" s="83"/>
      <c r="X2" s="82" t="s">
        <v>545</v>
      </c>
      <c r="Y2" s="83"/>
      <c r="Z2" s="82" t="s">
        <v>546</v>
      </c>
      <c r="AA2" s="83"/>
      <c r="AB2" s="82" t="s">
        <v>547</v>
      </c>
      <c r="AC2" s="83"/>
      <c r="AD2" s="82" t="s">
        <v>548</v>
      </c>
      <c r="AE2" s="83"/>
      <c r="AF2" s="82" t="s">
        <v>549</v>
      </c>
      <c r="AG2" s="83"/>
    </row>
    <row r="3" spans="1:33" ht="13.5" customHeight="1">
      <c r="A3" s="3" t="s">
        <v>503</v>
      </c>
      <c r="B3" s="50"/>
      <c r="C3" s="51">
        <v>1</v>
      </c>
      <c r="D3" s="50">
        <v>27727233</v>
      </c>
      <c r="E3" s="51">
        <v>1</v>
      </c>
      <c r="F3" s="50">
        <v>16810294</v>
      </c>
      <c r="G3" s="51">
        <v>1</v>
      </c>
      <c r="H3" s="50">
        <v>637918</v>
      </c>
      <c r="I3" s="51">
        <v>1</v>
      </c>
      <c r="J3" s="50">
        <v>138442709</v>
      </c>
      <c r="K3" s="51">
        <v>1</v>
      </c>
      <c r="L3" s="50">
        <v>5261646</v>
      </c>
      <c r="M3" s="51">
        <v>1</v>
      </c>
      <c r="N3" s="50">
        <v>306677645</v>
      </c>
      <c r="O3" s="51">
        <v>1</v>
      </c>
      <c r="P3" s="50">
        <v>47756017</v>
      </c>
      <c r="Q3" s="51">
        <v>1</v>
      </c>
      <c r="R3" s="50">
        <v>5293349448</v>
      </c>
      <c r="S3" s="51">
        <v>1</v>
      </c>
      <c r="T3" s="50">
        <v>1505719109</v>
      </c>
      <c r="U3" s="51">
        <v>1</v>
      </c>
      <c r="V3" s="50">
        <v>147551347</v>
      </c>
      <c r="W3" s="51">
        <v>1</v>
      </c>
      <c r="X3" s="50">
        <v>368028031</v>
      </c>
      <c r="Y3" s="51">
        <v>1</v>
      </c>
      <c r="Z3" s="50">
        <v>528244144</v>
      </c>
      <c r="AA3" s="51">
        <v>1</v>
      </c>
      <c r="AB3" s="50">
        <v>15654053</v>
      </c>
      <c r="AC3" s="51">
        <v>1</v>
      </c>
      <c r="AD3" s="50">
        <v>64161796</v>
      </c>
      <c r="AE3" s="51">
        <v>1</v>
      </c>
      <c r="AF3" s="50">
        <v>99707779</v>
      </c>
      <c r="AG3" s="51">
        <v>1</v>
      </c>
    </row>
    <row r="4" spans="1:33" ht="13.5" customHeight="1">
      <c r="A4" s="30" t="s">
        <v>493</v>
      </c>
      <c r="B4" s="31"/>
      <c r="C4" s="32"/>
      <c r="D4" s="31"/>
      <c r="E4" s="32"/>
      <c r="F4" s="31"/>
      <c r="G4" s="32"/>
      <c r="H4" s="31"/>
      <c r="I4" s="32"/>
      <c r="J4" s="31"/>
      <c r="K4" s="32"/>
      <c r="L4" s="31"/>
      <c r="M4" s="32"/>
      <c r="N4" s="31">
        <v>4942569</v>
      </c>
      <c r="O4" s="32">
        <f>SUM(O5:O23)</f>
        <v>0.13126140278603313</v>
      </c>
      <c r="P4" s="31">
        <v>509999</v>
      </c>
      <c r="Q4" s="32"/>
      <c r="R4" s="31">
        <v>130725778</v>
      </c>
      <c r="S4" s="32"/>
      <c r="T4" s="31">
        <v>26405094</v>
      </c>
      <c r="U4" s="32"/>
      <c r="V4" s="31">
        <v>3519620</v>
      </c>
      <c r="W4" s="32"/>
      <c r="X4" s="31">
        <v>8069386</v>
      </c>
      <c r="Y4" s="32"/>
      <c r="Z4" s="31">
        <v>6877360</v>
      </c>
      <c r="AA4" s="32"/>
      <c r="AB4" s="31">
        <v>584762</v>
      </c>
      <c r="AC4" s="32"/>
      <c r="AD4" s="31">
        <v>1273310</v>
      </c>
      <c r="AE4" s="32"/>
      <c r="AF4" s="31">
        <v>1665756</v>
      </c>
      <c r="AG4" s="32"/>
    </row>
    <row r="5" spans="1:33" ht="13.5" customHeight="1">
      <c r="A5" s="3" t="s">
        <v>494</v>
      </c>
      <c r="B5" s="34"/>
      <c r="C5" s="35"/>
      <c r="D5" s="34"/>
      <c r="E5" s="35"/>
      <c r="F5" s="34"/>
      <c r="G5" s="35"/>
      <c r="H5" s="34"/>
      <c r="I5" s="35"/>
      <c r="J5" s="34"/>
      <c r="K5" s="35"/>
      <c r="L5" s="34"/>
      <c r="M5" s="35"/>
      <c r="N5" s="34"/>
      <c r="O5" s="35"/>
      <c r="P5" s="34"/>
      <c r="Q5" s="35"/>
      <c r="R5" s="34"/>
      <c r="S5" s="35"/>
      <c r="T5" s="34"/>
      <c r="U5" s="35"/>
      <c r="V5" s="34"/>
      <c r="W5" s="35"/>
      <c r="X5" s="34"/>
      <c r="Y5" s="35"/>
      <c r="Z5" s="34"/>
      <c r="AA5" s="35"/>
      <c r="AB5" s="34"/>
      <c r="AC5" s="35"/>
      <c r="AD5" s="34"/>
      <c r="AE5" s="35"/>
      <c r="AF5" s="34"/>
      <c r="AG5" s="35"/>
    </row>
    <row r="6" spans="1:33" ht="13.5" customHeight="1">
      <c r="A6" s="59" t="s">
        <v>550</v>
      </c>
      <c r="B6" s="44"/>
      <c r="C6" s="45"/>
      <c r="D6" s="44">
        <v>3</v>
      </c>
      <c r="E6" s="45">
        <f>B3+D32</f>
        <v>0</v>
      </c>
      <c r="F6" s="44"/>
      <c r="G6" s="45"/>
      <c r="H6" s="44"/>
      <c r="I6" s="45"/>
      <c r="J6" s="44">
        <v>37</v>
      </c>
      <c r="K6" s="45">
        <f>J6/J3</f>
        <v>2.6725856686320695E-7</v>
      </c>
      <c r="L6" s="44"/>
      <c r="M6" s="45"/>
      <c r="N6" s="44">
        <v>19</v>
      </c>
      <c r="O6" s="45">
        <f>N6/N3</f>
        <v>6.1954303842394516E-8</v>
      </c>
      <c r="P6" s="44"/>
      <c r="Q6" s="45"/>
      <c r="R6" s="44">
        <v>523</v>
      </c>
      <c r="S6" s="45">
        <f>R6/R3</f>
        <v>9.880322565849237E-8</v>
      </c>
      <c r="T6" s="44"/>
      <c r="U6" s="45"/>
      <c r="V6" s="44">
        <v>14</v>
      </c>
      <c r="W6" s="45">
        <f>V6/V3</f>
        <v>9.4882224287657637E-8</v>
      </c>
      <c r="X6" s="44"/>
      <c r="Y6" s="45"/>
      <c r="Z6" s="44">
        <v>67</v>
      </c>
      <c r="AA6" s="45">
        <f>Z6/Z3</f>
        <v>1.268352915238375E-7</v>
      </c>
      <c r="AB6" s="44">
        <v>3</v>
      </c>
      <c r="AC6" s="45">
        <f>AB6/AB3</f>
        <v>1.9164365931302264E-7</v>
      </c>
      <c r="AD6" s="44"/>
      <c r="AE6" s="45"/>
      <c r="AF6" s="44">
        <v>9</v>
      </c>
      <c r="AG6" s="45">
        <f>AF6/AF3</f>
        <v>9.0263769690427066E-8</v>
      </c>
    </row>
    <row r="7" spans="1:33" ht="13.5" customHeight="1">
      <c r="A7" s="60" t="s">
        <v>551</v>
      </c>
      <c r="B7" s="34"/>
      <c r="C7" s="35"/>
      <c r="D7" s="34"/>
      <c r="E7" s="35"/>
      <c r="F7" s="34"/>
      <c r="G7" s="35"/>
      <c r="H7" s="34"/>
      <c r="I7" s="35"/>
      <c r="J7" s="34"/>
      <c r="K7" s="35"/>
      <c r="L7" s="34"/>
      <c r="M7" s="35"/>
      <c r="N7" s="34"/>
      <c r="O7" s="35"/>
      <c r="P7" s="34"/>
      <c r="Q7" s="35"/>
      <c r="R7" s="34"/>
      <c r="S7" s="35"/>
      <c r="T7" s="34"/>
      <c r="U7" s="35"/>
      <c r="V7" s="34"/>
      <c r="W7" s="35"/>
      <c r="X7" s="34"/>
      <c r="Y7" s="35"/>
      <c r="Z7" s="34"/>
      <c r="AA7" s="35"/>
      <c r="AB7" s="34"/>
      <c r="AC7" s="35"/>
      <c r="AD7" s="34"/>
      <c r="AE7" s="35"/>
      <c r="AF7" s="34"/>
      <c r="AG7" s="35"/>
    </row>
    <row r="8" spans="1:33" ht="13.5" customHeight="1">
      <c r="A8" s="59" t="s">
        <v>552</v>
      </c>
      <c r="B8" s="44"/>
      <c r="C8" s="45"/>
      <c r="D8" s="44">
        <v>82350</v>
      </c>
      <c r="E8" s="45">
        <f>D8/D3</f>
        <v>2.9700042553831461E-3</v>
      </c>
      <c r="F8" s="44">
        <v>23378</v>
      </c>
      <c r="G8" s="45">
        <f>F8/F3</f>
        <v>1.3906954869438929E-3</v>
      </c>
      <c r="H8" s="44">
        <v>20510</v>
      </c>
      <c r="I8" s="45">
        <f>H8/H3</f>
        <v>3.2151467743503082E-2</v>
      </c>
      <c r="J8" s="44">
        <v>808375</v>
      </c>
      <c r="K8" s="45">
        <f>J8/J3</f>
        <v>5.8390579456228352E-3</v>
      </c>
      <c r="L8" s="44">
        <v>348082</v>
      </c>
      <c r="M8" s="45"/>
      <c r="N8" s="44">
        <v>693913</v>
      </c>
      <c r="O8" s="45">
        <f>N8/N3</f>
        <v>2.2626787811677635E-3</v>
      </c>
      <c r="P8" s="44"/>
      <c r="Q8" s="45"/>
      <c r="R8" s="44">
        <v>14828313</v>
      </c>
      <c r="S8" s="45">
        <f>R8/R3</f>
        <v>2.8013100487069903E-3</v>
      </c>
      <c r="T8" s="44">
        <v>1375154</v>
      </c>
      <c r="U8" s="45">
        <f>T8/T3</f>
        <v>9.1328720727552382E-4</v>
      </c>
      <c r="V8" s="44">
        <v>389067</v>
      </c>
      <c r="W8" s="45">
        <f>V8/V3</f>
        <v>2.6368244540661495E-3</v>
      </c>
      <c r="X8" s="44">
        <v>598927</v>
      </c>
      <c r="Y8" s="45">
        <f>X8/X3</f>
        <v>1.6273950611115271E-3</v>
      </c>
      <c r="Z8" s="44">
        <v>2018991</v>
      </c>
      <c r="AA8" s="45">
        <f>Z8/Z3</f>
        <v>3.8220792846120032E-3</v>
      </c>
      <c r="AB8" s="44">
        <v>66412</v>
      </c>
      <c r="AC8" s="45">
        <f>AB8/AB3</f>
        <v>4.2424795674321529E-3</v>
      </c>
      <c r="AD8" s="44">
        <v>81910</v>
      </c>
      <c r="AE8" s="45">
        <f>AD8/AD3</f>
        <v>1.2766163839927423E-3</v>
      </c>
      <c r="AF8" s="44">
        <v>280644</v>
      </c>
      <c r="AG8" s="45">
        <f>AF8/AF3</f>
        <v>2.8146650423333569E-3</v>
      </c>
    </row>
    <row r="9" spans="1:33" ht="13.5" customHeight="1">
      <c r="A9" s="60" t="s">
        <v>553</v>
      </c>
      <c r="B9" s="34"/>
      <c r="C9" s="35"/>
      <c r="D9" s="34"/>
      <c r="E9" s="35"/>
      <c r="F9" s="34"/>
      <c r="G9" s="35"/>
      <c r="H9" s="34"/>
      <c r="I9" s="35"/>
      <c r="J9" s="34"/>
      <c r="K9" s="35"/>
      <c r="L9" s="34"/>
      <c r="M9" s="35"/>
      <c r="N9" s="34"/>
      <c r="O9" s="35"/>
      <c r="P9" s="34"/>
      <c r="Q9" s="35"/>
      <c r="R9" s="34"/>
      <c r="S9" s="35"/>
      <c r="T9" s="34"/>
      <c r="U9" s="35"/>
      <c r="V9" s="34"/>
      <c r="W9" s="35"/>
      <c r="X9" s="34"/>
      <c r="Y9" s="35"/>
      <c r="Z9" s="34"/>
      <c r="AA9" s="35"/>
      <c r="AB9" s="34"/>
      <c r="AC9" s="35"/>
      <c r="AD9" s="34"/>
      <c r="AE9" s="35"/>
      <c r="AF9" s="34"/>
      <c r="AG9" s="35"/>
    </row>
    <row r="10" spans="1:33" ht="13.5" customHeight="1">
      <c r="A10" s="59" t="s">
        <v>554</v>
      </c>
      <c r="B10" s="44"/>
      <c r="C10" s="45"/>
      <c r="D10" s="44">
        <v>8690</v>
      </c>
      <c r="E10" s="45">
        <f>D10/D3</f>
        <v>3.1341028511572001E-4</v>
      </c>
      <c r="F10" s="44">
        <v>2365</v>
      </c>
      <c r="G10" s="45">
        <f>F10/F3</f>
        <v>1.4068760486877862E-4</v>
      </c>
      <c r="H10" s="44">
        <v>1672</v>
      </c>
      <c r="I10" s="45">
        <f>H10/H3</f>
        <v>2.6210265269203878E-3</v>
      </c>
      <c r="J10" s="44">
        <v>87855</v>
      </c>
      <c r="K10" s="45">
        <f>J10/J3</f>
        <v>6.3459463220992009E-4</v>
      </c>
      <c r="L10" s="44">
        <v>34371</v>
      </c>
      <c r="M10" s="45"/>
      <c r="N10" s="44">
        <v>71893</v>
      </c>
      <c r="O10" s="45">
        <f>N10/N3</f>
        <v>2.344253034811194E-4</v>
      </c>
      <c r="P10" s="44"/>
      <c r="Q10" s="45"/>
      <c r="R10" s="44">
        <v>1559644</v>
      </c>
      <c r="S10" s="45">
        <f>R10/R3</f>
        <v>2.9464217605910833E-4</v>
      </c>
      <c r="T10" s="44">
        <v>131779</v>
      </c>
      <c r="U10" s="45">
        <f>T10/T3</f>
        <v>8.7518979610691784E-5</v>
      </c>
      <c r="V10" s="44">
        <v>40674</v>
      </c>
      <c r="W10" s="45">
        <f>V10/V3</f>
        <v>2.7565997076258478E-4</v>
      </c>
      <c r="X10" s="44">
        <v>61096</v>
      </c>
      <c r="Y10" s="45">
        <f>X10/X3</f>
        <v>1.6600909401925419E-4</v>
      </c>
      <c r="Z10" s="44">
        <v>213161</v>
      </c>
      <c r="AA10" s="45">
        <f>Z10/Z3</f>
        <v>4.0352742651511531E-4</v>
      </c>
      <c r="AB10" s="44">
        <v>7185</v>
      </c>
      <c r="AC10" s="45">
        <f>AB10/AB3</f>
        <v>4.5898656405468923E-4</v>
      </c>
      <c r="AD10" s="44">
        <v>8068</v>
      </c>
      <c r="AE10" s="45">
        <f>AD10/AD4</f>
        <v>6.3362417635925263E-3</v>
      </c>
      <c r="AF10" s="44">
        <v>29534</v>
      </c>
      <c r="AG10" s="45">
        <f>AF10/AF3</f>
        <v>2.962055748930081E-4</v>
      </c>
    </row>
    <row r="11" spans="1:33" ht="13.5" customHeight="1">
      <c r="A11" s="60" t="s">
        <v>555</v>
      </c>
      <c r="B11" s="34"/>
      <c r="C11" s="35"/>
      <c r="D11" s="34">
        <v>27002</v>
      </c>
      <c r="E11" s="35">
        <f>D11/D3</f>
        <v>9.7384401826175731E-4</v>
      </c>
      <c r="F11" s="34">
        <v>8186</v>
      </c>
      <c r="G11" s="35">
        <f>F11/F3</f>
        <v>4.8696352365996693E-4</v>
      </c>
      <c r="H11" s="34">
        <v>8983</v>
      </c>
      <c r="I11" s="35">
        <f>H11/H3</f>
        <v>1.4081747183807324E-2</v>
      </c>
      <c r="J11" s="34">
        <v>254766</v>
      </c>
      <c r="K11" s="35">
        <f>J11/J3</f>
        <v>1.8402269201478858E-3</v>
      </c>
      <c r="L11" s="34">
        <v>128506</v>
      </c>
      <c r="M11" s="35"/>
      <c r="N11" s="34">
        <v>238146</v>
      </c>
      <c r="O11" s="35">
        <f>N11/N3</f>
        <v>7.7653524436057276E-4</v>
      </c>
      <c r="P11" s="34"/>
      <c r="Q11" s="35"/>
      <c r="R11" s="34">
        <v>4918393</v>
      </c>
      <c r="S11" s="35">
        <f>R11/R3</f>
        <v>9.2916461463890868E-4</v>
      </c>
      <c r="T11" s="34">
        <v>535835</v>
      </c>
      <c r="U11" s="35">
        <f>T11/T3</f>
        <v>3.5586650710428091E-4</v>
      </c>
      <c r="V11" s="34">
        <v>133715</v>
      </c>
      <c r="W11" s="35">
        <f>V11/V3</f>
        <v>9.0622690147315295E-4</v>
      </c>
      <c r="X11" s="34">
        <v>211139</v>
      </c>
      <c r="Y11" s="35">
        <f>X11/X3</f>
        <v>5.737035829208346E-4</v>
      </c>
      <c r="Z11" s="34">
        <v>658756</v>
      </c>
      <c r="AA11" s="35">
        <f>Z11/Z3</f>
        <v>1.2470673030310015E-3</v>
      </c>
      <c r="AB11" s="34">
        <v>21036</v>
      </c>
      <c r="AC11" s="35">
        <f>AB11/AB3</f>
        <v>1.3438053391029148E-3</v>
      </c>
      <c r="AD11" s="34">
        <v>30155</v>
      </c>
      <c r="AE11" s="35">
        <f>AD11/AD3</f>
        <v>4.6998372676475579E-4</v>
      </c>
      <c r="AF11" s="34">
        <v>93189</v>
      </c>
      <c r="AG11" s="35">
        <f>AF11/AF3</f>
        <v>9.3462115929791195E-4</v>
      </c>
    </row>
    <row r="12" spans="1:33" ht="13.5" customHeight="1">
      <c r="A12" s="59" t="s">
        <v>556</v>
      </c>
      <c r="B12" s="44"/>
      <c r="C12" s="45"/>
      <c r="D12" s="44">
        <v>8977</v>
      </c>
      <c r="E12" s="45">
        <f>D12/D3</f>
        <v>3.2376111961839109E-4</v>
      </c>
      <c r="F12" s="44"/>
      <c r="G12" s="45"/>
      <c r="H12" s="44"/>
      <c r="I12" s="45"/>
      <c r="J12" s="44">
        <v>121587</v>
      </c>
      <c r="K12" s="45">
        <f>J12/J3</f>
        <v>8.7824776673504706E-4</v>
      </c>
      <c r="L12" s="44"/>
      <c r="M12" s="45"/>
      <c r="N12" s="44">
        <v>63177</v>
      </c>
      <c r="O12" s="45">
        <f>N12/N3</f>
        <v>2.0600458178162938E-4</v>
      </c>
      <c r="P12" s="44"/>
      <c r="Q12" s="45"/>
      <c r="R12" s="44">
        <v>1735697</v>
      </c>
      <c r="S12" s="45">
        <f>R12/R3</f>
        <v>3.2790145767833313E-4</v>
      </c>
      <c r="T12" s="44"/>
      <c r="U12" s="45"/>
      <c r="V12" s="44">
        <v>47457</v>
      </c>
      <c r="W12" s="45">
        <f>V12/V3</f>
        <v>3.2163040842995489E-4</v>
      </c>
      <c r="X12" s="44"/>
      <c r="Y12" s="45"/>
      <c r="Z12" s="44">
        <v>221043</v>
      </c>
      <c r="AA12" s="45">
        <f>Z12/Z3</f>
        <v>4.1844855737766586E-4</v>
      </c>
      <c r="AB12" s="44">
        <v>10981</v>
      </c>
      <c r="AC12" s="45">
        <f>AB12/AB3</f>
        <v>7.0147967430543383E-4</v>
      </c>
      <c r="AD12" s="44"/>
      <c r="AE12" s="45"/>
      <c r="AF12" s="44">
        <v>30359</v>
      </c>
      <c r="AG12" s="45">
        <f>AF12/AF3</f>
        <v>3.0447975378129722E-4</v>
      </c>
    </row>
    <row r="13" spans="1:33" ht="13.5" customHeight="1">
      <c r="A13" s="60" t="s">
        <v>557</v>
      </c>
      <c r="B13" s="34"/>
      <c r="C13" s="35"/>
      <c r="D13" s="34">
        <v>49778</v>
      </c>
      <c r="E13" s="35">
        <f>D13/D3</f>
        <v>1.7952747033935913E-3</v>
      </c>
      <c r="F13" s="34"/>
      <c r="G13" s="35"/>
      <c r="H13" s="34"/>
      <c r="I13" s="35"/>
      <c r="J13" s="34">
        <v>674207</v>
      </c>
      <c r="K13" s="35">
        <f>J13/J3</f>
        <v>4.8699350429497884E-3</v>
      </c>
      <c r="L13" s="34"/>
      <c r="M13" s="35"/>
      <c r="N13" s="34">
        <v>350317</v>
      </c>
      <c r="O13" s="35">
        <f>N13/N3</f>
        <v>1.142297150481901E-3</v>
      </c>
      <c r="P13" s="34"/>
      <c r="Q13" s="35"/>
      <c r="R13" s="34">
        <v>9626283</v>
      </c>
      <c r="S13" s="35">
        <f>R13/R3</f>
        <v>1.8185617810736307E-3</v>
      </c>
      <c r="T13" s="34"/>
      <c r="U13" s="35"/>
      <c r="V13" s="34">
        <v>263150</v>
      </c>
      <c r="W13" s="35">
        <f>V13/V3</f>
        <v>1.783446951521222E-3</v>
      </c>
      <c r="X13" s="34"/>
      <c r="Y13" s="35"/>
      <c r="Z13" s="34">
        <v>1125690</v>
      </c>
      <c r="AA13" s="35">
        <f>Z13/Z3</f>
        <v>2.1310032733652035E-3</v>
      </c>
      <c r="AB13" s="34">
        <v>60889</v>
      </c>
      <c r="AC13" s="35">
        <f>AB13/AB3</f>
        <v>3.8896635906368786E-3</v>
      </c>
      <c r="AD13" s="34"/>
      <c r="AE13" s="35"/>
      <c r="AF13" s="34">
        <v>168342</v>
      </c>
      <c r="AG13" s="35">
        <f>AF13/AF3</f>
        <v>1.6883537241362081E-3</v>
      </c>
    </row>
    <row r="14" spans="1:33" ht="13.5" customHeight="1">
      <c r="A14" s="61" t="s">
        <v>558</v>
      </c>
      <c r="B14" s="44"/>
      <c r="C14" s="45"/>
      <c r="D14" s="44"/>
      <c r="E14" s="45"/>
      <c r="F14" s="44"/>
      <c r="G14" s="45"/>
      <c r="H14" s="44"/>
      <c r="I14" s="45"/>
      <c r="J14" s="44"/>
      <c r="K14" s="45"/>
      <c r="L14" s="44"/>
      <c r="M14" s="45"/>
      <c r="N14" s="44"/>
      <c r="O14" s="45"/>
      <c r="P14" s="44"/>
      <c r="Q14" s="45"/>
      <c r="R14" s="44"/>
      <c r="S14" s="45"/>
      <c r="T14" s="44"/>
      <c r="U14" s="45"/>
      <c r="V14" s="44"/>
      <c r="W14" s="45"/>
      <c r="X14" s="44"/>
      <c r="Y14" s="45"/>
      <c r="Z14" s="44"/>
      <c r="AA14" s="45"/>
      <c r="AB14" s="44"/>
      <c r="AC14" s="45"/>
      <c r="AD14" s="44"/>
      <c r="AE14" s="45"/>
      <c r="AF14" s="44"/>
      <c r="AG14" s="45"/>
    </row>
    <row r="15" spans="1:33" ht="13.5" customHeight="1">
      <c r="A15" s="60" t="s">
        <v>559</v>
      </c>
      <c r="B15" s="34"/>
      <c r="C15" s="35"/>
      <c r="D15" s="34">
        <v>27336</v>
      </c>
      <c r="E15" s="35">
        <f>D15/D3</f>
        <v>9.8588993716033609E-4</v>
      </c>
      <c r="F15" s="34"/>
      <c r="G15" s="35"/>
      <c r="H15" s="34"/>
      <c r="I15" s="35"/>
      <c r="J15" s="34">
        <v>370249</v>
      </c>
      <c r="K15" s="35">
        <f>J15/J3</f>
        <v>2.6743842465550135E-3</v>
      </c>
      <c r="L15" s="34"/>
      <c r="M15" s="35"/>
      <c r="N15" s="34">
        <v>192381</v>
      </c>
      <c r="O15" s="35">
        <f t="shared" ref="O15:O16" si="0">N15/N3</f>
        <v>6.2730689092124726E-4</v>
      </c>
      <c r="P15" s="34"/>
      <c r="Q15" s="35"/>
      <c r="R15" s="34">
        <v>5281768</v>
      </c>
      <c r="S15" s="35">
        <f>R15/R3</f>
        <v>9.9781207567840131E-4</v>
      </c>
      <c r="T15" s="34"/>
      <c r="U15" s="35"/>
      <c r="V15" s="34">
        <v>144512</v>
      </c>
      <c r="W15" s="35">
        <f>V15/V3</f>
        <v>9.7940142830414147E-4</v>
      </c>
      <c r="X15" s="34"/>
      <c r="Y15" s="35"/>
      <c r="Z15" s="34">
        <v>673103</v>
      </c>
      <c r="AA15" s="35">
        <f>Z15/Z3</f>
        <v>1.2742270929935761E-3</v>
      </c>
      <c r="AB15" s="34">
        <v>33438</v>
      </c>
      <c r="AC15" s="35">
        <f>AB15/AB3</f>
        <v>2.1360602267029502E-3</v>
      </c>
      <c r="AD15" s="34"/>
      <c r="AE15" s="35"/>
      <c r="AF15" s="34">
        <v>92447</v>
      </c>
      <c r="AG15" s="35">
        <f>AF15/AF3</f>
        <v>9.2717941295232336E-4</v>
      </c>
    </row>
    <row r="16" spans="1:33" ht="13.5" customHeight="1">
      <c r="A16" s="59" t="s">
        <v>560</v>
      </c>
      <c r="B16" s="44"/>
      <c r="C16" s="45"/>
      <c r="D16" s="44">
        <v>53465</v>
      </c>
      <c r="E16" s="45">
        <f>D16/D3</f>
        <v>1.928248664408742E-3</v>
      </c>
      <c r="F16" s="44"/>
      <c r="G16" s="45"/>
      <c r="H16" s="44"/>
      <c r="I16" s="45"/>
      <c r="J16" s="44">
        <v>726584</v>
      </c>
      <c r="K16" s="45">
        <f>J16/J3</f>
        <v>5.2482648255604419E-3</v>
      </c>
      <c r="L16" s="44"/>
      <c r="M16" s="45"/>
      <c r="N16" s="44">
        <v>377532</v>
      </c>
      <c r="O16" s="45">
        <f t="shared" si="0"/>
        <v>7.6383759134166868E-2</v>
      </c>
      <c r="P16" s="44"/>
      <c r="Q16" s="45"/>
      <c r="R16" s="44">
        <v>10372948</v>
      </c>
      <c r="S16" s="45">
        <f>R16/R3</f>
        <v>1.9596189712959983E-3</v>
      </c>
      <c r="T16" s="44"/>
      <c r="U16" s="45"/>
      <c r="V16" s="44">
        <v>283594</v>
      </c>
      <c r="W16" s="45">
        <f>V16/V3</f>
        <v>1.9220021081881415E-3</v>
      </c>
      <c r="X16" s="44"/>
      <c r="Y16" s="45"/>
      <c r="Z16" s="44">
        <v>1320912</v>
      </c>
      <c r="AA16" s="45">
        <f>Z16/Z3</f>
        <v>2.5005710238408248E-3</v>
      </c>
      <c r="AB16" s="44">
        <v>65619</v>
      </c>
      <c r="AC16" s="45">
        <f>AB16/AB3</f>
        <v>4.1918217601537439E-3</v>
      </c>
      <c r="AD16" s="44"/>
      <c r="AE16" s="45"/>
      <c r="AF16" s="44">
        <v>181420</v>
      </c>
      <c r="AG16" s="45">
        <f>AF16/AF3</f>
        <v>1.819517010804142E-3</v>
      </c>
    </row>
    <row r="17" spans="1:33" ht="13.5" customHeight="1">
      <c r="A17" s="60" t="s">
        <v>561</v>
      </c>
      <c r="B17" s="34"/>
      <c r="C17" s="35"/>
      <c r="D17" s="34">
        <v>23109</v>
      </c>
      <c r="E17" s="35">
        <f>D17/D3</f>
        <v>8.3344053840496814E-4</v>
      </c>
      <c r="F17" s="34">
        <v>6560</v>
      </c>
      <c r="G17" s="35">
        <f>F17/F3</f>
        <v>3.9023707735272208E-4</v>
      </c>
      <c r="H17" s="34">
        <v>5757</v>
      </c>
      <c r="I17" s="35">
        <f>H17/H3</f>
        <v>9.0246708824645167E-3</v>
      </c>
      <c r="J17" s="34">
        <v>226844</v>
      </c>
      <c r="K17" s="35">
        <f>J17/J3</f>
        <v>1.6385406038247922E-3</v>
      </c>
      <c r="L17" s="34">
        <v>97678</v>
      </c>
      <c r="M17" s="35"/>
      <c r="N17" s="34">
        <v>194724</v>
      </c>
      <c r="O17" s="35">
        <f>N17/N4</f>
        <v>3.9397325560857115E-2</v>
      </c>
      <c r="P17" s="34"/>
      <c r="Q17" s="35"/>
      <c r="R17" s="34">
        <v>4161987</v>
      </c>
      <c r="S17" s="35">
        <f>R17/R3</f>
        <v>7.8626719072411413E-4</v>
      </c>
      <c r="T17" s="34">
        <v>385892</v>
      </c>
      <c r="U17" s="35">
        <f>T17/T3</f>
        <v>2.5628418852722417E-4</v>
      </c>
      <c r="V17" s="34">
        <v>109179</v>
      </c>
      <c r="W17" s="35">
        <f>V17/V3</f>
        <v>7.3993902610729808E-4</v>
      </c>
      <c r="X17" s="34">
        <v>168069</v>
      </c>
      <c r="Y17" s="35">
        <f>X17/X3</f>
        <v>4.5667445369127331E-4</v>
      </c>
      <c r="Z17" s="34">
        <v>566564</v>
      </c>
      <c r="AA17" s="35">
        <f>Z17/Z3</f>
        <v>1.0725419418942011E-3</v>
      </c>
      <c r="AB17" s="34">
        <v>18636</v>
      </c>
      <c r="AC17" s="35">
        <f>AB17/AB3</f>
        <v>1.1904904116524966E-3</v>
      </c>
      <c r="AD17" s="34">
        <v>22986</v>
      </c>
      <c r="AE17" s="35">
        <f>AD17/AD3</f>
        <v>3.5825057016795479E-4</v>
      </c>
      <c r="AF17" s="34">
        <v>78754</v>
      </c>
      <c r="AG17" s="35">
        <f>AF17/AF3</f>
        <v>7.8984810202221035E-4</v>
      </c>
    </row>
    <row r="18" spans="1:33" ht="13.5" customHeight="1">
      <c r="A18" s="61" t="s">
        <v>562</v>
      </c>
      <c r="B18" s="44"/>
      <c r="C18" s="45"/>
      <c r="D18" s="44">
        <v>850</v>
      </c>
      <c r="E18" s="45">
        <f>D18/D3</f>
        <v>3.0655781628119905E-5</v>
      </c>
      <c r="F18" s="44"/>
      <c r="G18" s="45"/>
      <c r="H18" s="44"/>
      <c r="I18" s="45"/>
      <c r="J18" s="44">
        <v>11512</v>
      </c>
      <c r="K18" s="45">
        <f>J18/J3</f>
        <v>8.3153530317006436E-5</v>
      </c>
      <c r="L18" s="44"/>
      <c r="M18" s="45"/>
      <c r="N18" s="44">
        <v>5982</v>
      </c>
      <c r="O18" s="45">
        <f>N18/N4</f>
        <v>1.210301768169549E-3</v>
      </c>
      <c r="P18" s="44"/>
      <c r="Q18" s="45"/>
      <c r="R18" s="44">
        <v>164352</v>
      </c>
      <c r="S18" s="45">
        <f>R18/R3</f>
        <v>3.1048771975955137E-5</v>
      </c>
      <c r="T18" s="44"/>
      <c r="U18" s="45"/>
      <c r="V18" s="44">
        <v>4483</v>
      </c>
      <c r="W18" s="45">
        <f>V18/V3</f>
        <v>3.0382643677254941E-5</v>
      </c>
      <c r="X18" s="44"/>
      <c r="Y18" s="45"/>
      <c r="Z18" s="44">
        <v>20929</v>
      </c>
      <c r="AA18" s="45">
        <f>Z18/Z3</f>
        <v>3.9619937556752165E-5</v>
      </c>
      <c r="AB18" s="44">
        <v>1040</v>
      </c>
      <c r="AC18" s="45">
        <f>AB18/AB3</f>
        <v>6.6436468561847849E-5</v>
      </c>
      <c r="AD18" s="44"/>
      <c r="AE18" s="45"/>
      <c r="AF18" s="44">
        <v>2874</v>
      </c>
      <c r="AG18" s="45">
        <f>AF18/AF3</f>
        <v>2.8824230454476375E-5</v>
      </c>
    </row>
    <row r="19" spans="1:33" ht="13.5" customHeight="1">
      <c r="A19" s="60" t="s">
        <v>563</v>
      </c>
      <c r="B19" s="34"/>
      <c r="C19" s="35"/>
      <c r="D19" s="34">
        <v>129651</v>
      </c>
      <c r="E19" s="35">
        <f>D19/D3</f>
        <v>4.6759444045498515E-3</v>
      </c>
      <c r="F19" s="34">
        <v>61091</v>
      </c>
      <c r="G19" s="35">
        <f>F19/F3</f>
        <v>3.6341422702065771E-3</v>
      </c>
      <c r="H19" s="34">
        <v>129096</v>
      </c>
      <c r="I19" s="35">
        <f>H19/H3</f>
        <v>0.20237083763116889</v>
      </c>
      <c r="J19" s="34">
        <v>623169</v>
      </c>
      <c r="K19" s="35">
        <f>J19/J3</f>
        <v>4.5012771311777784E-3</v>
      </c>
      <c r="L19" s="34">
        <v>999479</v>
      </c>
      <c r="M19" s="35"/>
      <c r="N19" s="34">
        <v>594241</v>
      </c>
      <c r="O19" s="35">
        <f>N19/N3</f>
        <v>1.9376730247162293E-3</v>
      </c>
      <c r="P19" s="34">
        <v>109549</v>
      </c>
      <c r="Q19" s="35">
        <f>P19/P3</f>
        <v>2.2939308359824061E-3</v>
      </c>
      <c r="R19" s="34">
        <v>16841713</v>
      </c>
      <c r="S19" s="35">
        <f>R19/R3</f>
        <v>3.1816741300469682E-3</v>
      </c>
      <c r="T19" s="34">
        <v>5150205</v>
      </c>
      <c r="U19" s="35">
        <f>T19/T3</f>
        <v>3.4204287965903741E-3</v>
      </c>
      <c r="V19" s="34">
        <v>453825</v>
      </c>
      <c r="W19" s="35">
        <f>V19/V3</f>
        <v>3.075708959810445E-3</v>
      </c>
      <c r="X19" s="34">
        <v>1510097</v>
      </c>
      <c r="Y19" s="35">
        <f>X19/X3</f>
        <v>4.1032119099645428E-3</v>
      </c>
      <c r="Z19" s="34"/>
      <c r="AA19" s="35"/>
      <c r="AB19" s="34">
        <v>64785</v>
      </c>
      <c r="AC19" s="35">
        <f>AB19/AB3</f>
        <v>4.1385448228647235E-3</v>
      </c>
      <c r="AD19" s="34">
        <v>242768</v>
      </c>
      <c r="AE19" s="35">
        <f>AD19/AD3</f>
        <v>3.7836846088285933E-3</v>
      </c>
      <c r="AF19" s="34">
        <v>153354</v>
      </c>
      <c r="AG19" s="35">
        <f>AF19/AF3</f>
        <v>1.5380344596784168E-3</v>
      </c>
    </row>
    <row r="20" spans="1:33" ht="13.5" customHeight="1">
      <c r="A20" s="61" t="s">
        <v>564</v>
      </c>
      <c r="B20" s="44"/>
      <c r="C20" s="45"/>
      <c r="D20" s="44">
        <v>91057</v>
      </c>
      <c r="E20" s="45">
        <f>D20/D3</f>
        <v>3.2840276561314288E-3</v>
      </c>
      <c r="F20" s="44">
        <v>44832</v>
      </c>
      <c r="G20" s="45">
        <f>F20/F3</f>
        <v>2.6669372944934811E-3</v>
      </c>
      <c r="H20" s="44">
        <v>94737</v>
      </c>
      <c r="I20" s="45">
        <f>H20/H3</f>
        <v>0.14850968306271339</v>
      </c>
      <c r="J20" s="44">
        <v>437665</v>
      </c>
      <c r="K20" s="45">
        <f>J20/J3</f>
        <v>3.1613438017887964E-3</v>
      </c>
      <c r="L20" s="44">
        <v>733470</v>
      </c>
      <c r="M20" s="45"/>
      <c r="N20" s="44">
        <v>417349</v>
      </c>
      <c r="O20" s="45">
        <f>N20/N3</f>
        <v>1.3608719344378687E-3</v>
      </c>
      <c r="P20" s="44">
        <v>80393</v>
      </c>
      <c r="Q20" s="45">
        <f>P20/P3</f>
        <v>1.6834109092473102E-3</v>
      </c>
      <c r="R20" s="44">
        <v>11828312</v>
      </c>
      <c r="S20" s="45">
        <f>R20/R3</f>
        <v>2.2345609554398722E-3</v>
      </c>
      <c r="T20" s="44">
        <v>3779490</v>
      </c>
      <c r="U20" s="45">
        <f>T20/T3</f>
        <v>2.5100896823379557E-3</v>
      </c>
      <c r="V20" s="44">
        <v>318731</v>
      </c>
      <c r="W20" s="45">
        <f>V20/V3</f>
        <v>2.1601361592449575E-3</v>
      </c>
      <c r="X20" s="44">
        <v>1108188</v>
      </c>
      <c r="Y20" s="45">
        <f>X20/X3</f>
        <v>3.01115107180518E-3</v>
      </c>
      <c r="Z20" s="44"/>
      <c r="AA20" s="45"/>
      <c r="AB20" s="44">
        <v>45500</v>
      </c>
      <c r="AC20" s="45">
        <f>AB20/AB3</f>
        <v>2.9065954995808434E-3</v>
      </c>
      <c r="AD20" s="44">
        <v>178156</v>
      </c>
      <c r="AE20" s="45">
        <f>AD20/AD3</f>
        <v>2.7766679099818217E-3</v>
      </c>
      <c r="AF20" s="44">
        <v>107704</v>
      </c>
      <c r="AG20" s="45">
        <f>AF20/AF3</f>
        <v>1.080196561193084E-3</v>
      </c>
    </row>
    <row r="21" spans="1:33" ht="13.5" customHeight="1">
      <c r="A21" s="60" t="s">
        <v>316</v>
      </c>
      <c r="B21" s="34"/>
      <c r="C21" s="35"/>
      <c r="D21" s="34">
        <v>95145</v>
      </c>
      <c r="E21" s="35">
        <f>D21/D3</f>
        <v>3.431463932949963E-3</v>
      </c>
      <c r="F21" s="34">
        <v>42906</v>
      </c>
      <c r="G21" s="35">
        <f>F21/F3</f>
        <v>2.5523646403804718E-3</v>
      </c>
      <c r="H21" s="34">
        <v>90667</v>
      </c>
      <c r="I21" s="35">
        <f>H21/H3</f>
        <v>0.14212955270113087</v>
      </c>
      <c r="J21" s="34">
        <v>457314</v>
      </c>
      <c r="K21" s="35">
        <f>J21/J3</f>
        <v>3.3032725472021789E-3</v>
      </c>
      <c r="L21" s="34">
        <v>701957</v>
      </c>
      <c r="M21" s="35"/>
      <c r="N21" s="34">
        <v>436085</v>
      </c>
      <c r="O21" s="35">
        <f>N21/N3</f>
        <v>1.4219653995321375E-3</v>
      </c>
      <c r="P21" s="34">
        <v>76930</v>
      </c>
      <c r="Q21" s="35">
        <f>P21/P3</f>
        <v>1.6108964866144511E-3</v>
      </c>
      <c r="R21" s="34">
        <v>12359332</v>
      </c>
      <c r="S21" s="35">
        <f>R21/R3</f>
        <v>2.3348792898359957E-3</v>
      </c>
      <c r="T21" s="34">
        <v>3617104</v>
      </c>
      <c r="U21" s="35">
        <f>T21/T3</f>
        <v>2.4022435382401726E-3</v>
      </c>
      <c r="V21" s="34">
        <v>333040</v>
      </c>
      <c r="W21" s="35">
        <f>V21/V3</f>
        <v>2.2571125697686788E-3</v>
      </c>
      <c r="X21" s="34">
        <v>1060575</v>
      </c>
      <c r="Y21" s="35">
        <f>X21/X3</f>
        <v>2.8817777741500347E-3</v>
      </c>
      <c r="Z21" s="34"/>
      <c r="AA21" s="35"/>
      <c r="AB21" s="34">
        <v>47543</v>
      </c>
      <c r="AC21" s="35">
        <f>AB21/AB3</f>
        <v>3.0371048315730119E-3</v>
      </c>
      <c r="AD21" s="34">
        <v>170502</v>
      </c>
      <c r="AE21" s="35">
        <f>AD21/AD3</f>
        <v>2.6573757380482306E-3</v>
      </c>
      <c r="AF21" s="34">
        <v>112540</v>
      </c>
      <c r="AG21" s="35">
        <f>AF21/AF3</f>
        <v>1.1286982934400735E-3</v>
      </c>
    </row>
    <row r="22" spans="1:33" ht="13.5" customHeight="1">
      <c r="A22" s="59" t="s">
        <v>565</v>
      </c>
      <c r="B22" s="44"/>
      <c r="C22" s="45"/>
      <c r="D22" s="44">
        <v>133222</v>
      </c>
      <c r="E22" s="45">
        <f>D22/D3</f>
        <v>4.8047347530134005E-3</v>
      </c>
      <c r="F22" s="44">
        <v>62774</v>
      </c>
      <c r="G22" s="45">
        <f>F22/F3</f>
        <v>3.7342594959969173E-3</v>
      </c>
      <c r="H22" s="44">
        <v>132651</v>
      </c>
      <c r="I22" s="45">
        <f>H22/H3</f>
        <v>0.20794365420006961</v>
      </c>
      <c r="J22" s="44">
        <v>640331</v>
      </c>
      <c r="K22" s="45">
        <f>J22/J3</f>
        <v>4.6252417669752476E-3</v>
      </c>
      <c r="L22" s="44">
        <v>1027006</v>
      </c>
      <c r="M22" s="45"/>
      <c r="N22" s="44">
        <v>610607</v>
      </c>
      <c r="O22" s="45">
        <f>N22/N3</f>
        <v>1.9910385055943677E-3</v>
      </c>
      <c r="P22" s="44">
        <v>112566</v>
      </c>
      <c r="Q22" s="45">
        <f>P22/P3</f>
        <v>2.3571061213082324E-3</v>
      </c>
      <c r="R22" s="44">
        <v>17305549</v>
      </c>
      <c r="S22" s="45">
        <f>R22/R3</f>
        <v>3.2693003116464566E-3</v>
      </c>
      <c r="T22" s="44">
        <v>5292046</v>
      </c>
      <c r="U22" s="45">
        <f>T22/T3</f>
        <v>3.5146302974893039E-3</v>
      </c>
      <c r="V22" s="44">
        <v>466323</v>
      </c>
      <c r="W22" s="45">
        <f>V22/V3</f>
        <v>3.1604116768923838E-3</v>
      </c>
      <c r="X22" s="44">
        <v>1551686</v>
      </c>
      <c r="Y22" s="45">
        <f>X22/X3</f>
        <v>4.2162168891966816E-3</v>
      </c>
      <c r="Z22" s="44"/>
      <c r="AA22" s="45"/>
      <c r="AB22" s="44">
        <v>66570</v>
      </c>
      <c r="AC22" s="45">
        <f>AB22/AB3</f>
        <v>4.2525728001559723E-3</v>
      </c>
      <c r="AD22" s="44">
        <v>249454</v>
      </c>
      <c r="AE22" s="45">
        <f>AD22/AD3</f>
        <v>3.887889921285869E-3</v>
      </c>
      <c r="AF22" s="44">
        <v>157578</v>
      </c>
      <c r="AG22" s="45">
        <f>AF22/AF3</f>
        <v>1.5803982555864574E-3</v>
      </c>
    </row>
    <row r="23" spans="1:33" ht="13.5" customHeight="1">
      <c r="A23" s="60" t="s">
        <v>566</v>
      </c>
      <c r="B23" s="34"/>
      <c r="C23" s="35"/>
      <c r="D23" s="34">
        <v>154508</v>
      </c>
      <c r="E23" s="35">
        <f>D23/D3</f>
        <v>5.5724276562324126E-3</v>
      </c>
      <c r="F23" s="34">
        <v>72804</v>
      </c>
      <c r="G23" s="35">
        <f>F23/F3</f>
        <v>4.3309177103029849E-3</v>
      </c>
      <c r="H23" s="34">
        <v>153846</v>
      </c>
      <c r="I23" s="35">
        <f>H23/H3</f>
        <v>0.24116892766781939</v>
      </c>
      <c r="J23" s="34">
        <v>742641</v>
      </c>
      <c r="K23" s="35">
        <f>J23/J3</f>
        <v>5.3642478203745634E-3</v>
      </c>
      <c r="L23" s="34">
        <v>1191097</v>
      </c>
      <c r="M23" s="35"/>
      <c r="N23" s="34">
        <v>708167</v>
      </c>
      <c r="O23" s="35">
        <f>N23/N3</f>
        <v>2.3091575520608944E-3</v>
      </c>
      <c r="P23" s="34">
        <v>130552</v>
      </c>
      <c r="Q23" s="35">
        <f>P23/P3</f>
        <v>2.7337288199725703E-3</v>
      </c>
      <c r="R23" s="34">
        <v>20070568</v>
      </c>
      <c r="S23" s="35">
        <f>R23/R3</f>
        <v>3.7916574745661871E-3</v>
      </c>
      <c r="T23" s="34">
        <v>6137590</v>
      </c>
      <c r="U23" s="35">
        <f>T23/T3</f>
        <v>4.076185234891643E-3</v>
      </c>
      <c r="V23" s="34">
        <v>540831</v>
      </c>
      <c r="W23" s="35">
        <f>V23/V3</f>
        <v>3.6653748745512976E-3</v>
      </c>
      <c r="X23" s="34">
        <v>1799609</v>
      </c>
      <c r="Y23" s="35">
        <f>X23/X3</f>
        <v>4.8898693806287818E-3</v>
      </c>
      <c r="Z23" s="34"/>
      <c r="AA23" s="35"/>
      <c r="AB23" s="34">
        <v>77206</v>
      </c>
      <c r="AC23" s="35">
        <f>AB23/AB3</f>
        <v>4.9320134536404089E-3</v>
      </c>
      <c r="AD23" s="34">
        <v>289311</v>
      </c>
      <c r="AE23" s="35">
        <f>AD23/AD3</f>
        <v>4.5090851259836926E-3</v>
      </c>
      <c r="AF23" s="34">
        <v>182755</v>
      </c>
      <c r="AG23" s="35">
        <f>AF23/AF3</f>
        <v>1.8329061366415553E-3</v>
      </c>
    </row>
    <row r="24" spans="1:33" ht="13.5" customHeight="1">
      <c r="A24" s="61"/>
      <c r="B24" s="44"/>
      <c r="C24" s="45"/>
      <c r="D24" s="44"/>
      <c r="E24" s="45"/>
      <c r="F24" s="44"/>
      <c r="G24" s="45"/>
      <c r="H24" s="44"/>
      <c r="I24" s="45"/>
      <c r="J24" s="44"/>
      <c r="K24" s="45"/>
      <c r="L24" s="44"/>
      <c r="M24" s="45"/>
      <c r="N24" s="44"/>
      <c r="O24" s="45"/>
      <c r="P24" s="44"/>
      <c r="Q24" s="45"/>
      <c r="R24" s="44"/>
      <c r="S24" s="45"/>
      <c r="T24" s="44"/>
      <c r="U24" s="45"/>
      <c r="V24" s="44"/>
      <c r="W24" s="45"/>
      <c r="X24" s="44"/>
      <c r="Y24" s="45"/>
      <c r="Z24" s="44"/>
      <c r="AA24" s="45"/>
      <c r="AB24" s="44"/>
      <c r="AC24" s="45"/>
      <c r="AD24" s="44"/>
      <c r="AE24" s="45"/>
      <c r="AF24" s="44"/>
      <c r="AG24" s="45"/>
    </row>
    <row r="25" spans="1:33" ht="13.5" customHeight="1">
      <c r="A25" s="3"/>
      <c r="B25" s="34"/>
      <c r="C25" s="35"/>
      <c r="D25" s="34"/>
      <c r="E25" s="35"/>
      <c r="F25" s="34"/>
      <c r="G25" s="35"/>
      <c r="H25" s="34"/>
      <c r="I25" s="35"/>
      <c r="J25" s="34"/>
      <c r="K25" s="35"/>
      <c r="L25" s="34"/>
      <c r="M25" s="35"/>
    </row>
    <row r="26" spans="1:33" ht="13.5" customHeight="1">
      <c r="A26" s="3"/>
      <c r="B26" s="34"/>
      <c r="C26" s="35"/>
      <c r="D26" s="34"/>
      <c r="E26" s="35"/>
      <c r="F26" s="34"/>
      <c r="G26" s="35"/>
      <c r="H26" s="34"/>
      <c r="I26" s="35"/>
      <c r="J26" s="34"/>
      <c r="K26" s="35"/>
      <c r="L26" s="34"/>
      <c r="M26" s="35"/>
    </row>
    <row r="27" spans="1:33" ht="13.5" customHeight="1">
      <c r="A27" s="39" t="s">
        <v>495</v>
      </c>
      <c r="B27" s="40">
        <v>311414</v>
      </c>
      <c r="C27" s="41">
        <v>1</v>
      </c>
      <c r="D27" s="40"/>
      <c r="E27" s="41"/>
      <c r="F27" s="40"/>
      <c r="G27" s="41"/>
      <c r="H27" s="40"/>
      <c r="I27" s="41"/>
      <c r="J27" s="40"/>
      <c r="K27" s="41"/>
      <c r="L27" s="40"/>
      <c r="M27" s="41"/>
    </row>
    <row r="28" spans="1:33" ht="13.5" customHeight="1">
      <c r="A28" s="3" t="s">
        <v>563</v>
      </c>
      <c r="B28" s="52">
        <v>66893</v>
      </c>
      <c r="C28" s="41">
        <f>B28/B27</f>
        <v>0.21480408716371133</v>
      </c>
      <c r="D28" s="52"/>
      <c r="E28" s="45"/>
      <c r="F28" s="52"/>
      <c r="G28" s="45"/>
      <c r="H28" s="52"/>
      <c r="I28" s="45"/>
      <c r="J28" s="52"/>
      <c r="K28" s="45"/>
      <c r="L28" s="52"/>
      <c r="M28" s="45"/>
    </row>
    <row r="29" spans="1:33" ht="13.5" customHeight="1">
      <c r="A29" s="3" t="s">
        <v>316</v>
      </c>
      <c r="B29" s="34">
        <v>49089</v>
      </c>
      <c r="C29" s="41">
        <f>B29/B27</f>
        <v>0.1576326048282993</v>
      </c>
      <c r="D29" s="34"/>
      <c r="E29" s="35"/>
      <c r="F29" s="34"/>
      <c r="G29" s="35"/>
      <c r="H29" s="34"/>
      <c r="I29" s="35"/>
      <c r="J29" s="34"/>
      <c r="K29" s="35"/>
      <c r="L29" s="34"/>
      <c r="M29" s="35"/>
    </row>
    <row r="30" spans="1:33" ht="13.5" customHeight="1">
      <c r="A30" s="43" t="s">
        <v>564</v>
      </c>
      <c r="B30" s="44">
        <v>46980</v>
      </c>
      <c r="C30" s="41">
        <f>B30/B27</f>
        <v>0.150860269608945</v>
      </c>
      <c r="D30" s="44"/>
      <c r="E30" s="45"/>
      <c r="F30" s="44"/>
      <c r="G30" s="45"/>
      <c r="H30" s="44"/>
      <c r="I30" s="45"/>
      <c r="J30" s="44"/>
      <c r="K30" s="45"/>
      <c r="L30" s="44"/>
      <c r="M30" s="45"/>
    </row>
    <row r="31" spans="1:33" ht="13.5" customHeight="1">
      <c r="A31" s="3" t="s">
        <v>567</v>
      </c>
      <c r="B31" s="62">
        <v>68735</v>
      </c>
      <c r="C31" s="41">
        <f>B31/B27</f>
        <v>0.22071904281759971</v>
      </c>
    </row>
    <row r="32" spans="1:33" ht="13.5" customHeight="1">
      <c r="A32" s="3" t="s">
        <v>568</v>
      </c>
      <c r="B32" s="62">
        <v>79717</v>
      </c>
      <c r="C32" s="41">
        <f>B32/B27</f>
        <v>0.25598399558144463</v>
      </c>
    </row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24">
    <mergeCell ref="AB2:AC2"/>
    <mergeCell ref="AD2:AE2"/>
    <mergeCell ref="AF2:AG2"/>
    <mergeCell ref="N2:O2"/>
    <mergeCell ref="P2:Q2"/>
    <mergeCell ref="R2:S2"/>
    <mergeCell ref="T2:U2"/>
    <mergeCell ref="V2:W2"/>
    <mergeCell ref="X2:Y2"/>
    <mergeCell ref="Z2:AA2"/>
    <mergeCell ref="T1:U1"/>
    <mergeCell ref="V1:W1"/>
    <mergeCell ref="B1:C1"/>
    <mergeCell ref="B2:C2"/>
    <mergeCell ref="D2:E2"/>
    <mergeCell ref="F2:G2"/>
    <mergeCell ref="H2:I2"/>
    <mergeCell ref="J2:K2"/>
    <mergeCell ref="L2:M2"/>
    <mergeCell ref="D1:E1"/>
    <mergeCell ref="F1:G1"/>
    <mergeCell ref="H1:I1"/>
    <mergeCell ref="J1:K1"/>
    <mergeCell ref="L1:M1"/>
  </mergeCells>
  <pageMargins left="0.511811024" right="0.511811024" top="0.78740157499999996" bottom="0.78740157499999996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1000"/>
  <sheetViews>
    <sheetView workbookViewId="0"/>
  </sheetViews>
  <sheetFormatPr defaultColWidth="12.625" defaultRowHeight="15" customHeight="1"/>
  <cols>
    <col min="1" max="26" width="8.625" customWidth="1"/>
  </cols>
  <sheetData>
    <row r="1" ht="13.5" customHeight="1"/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ageMargins left="0.511811024" right="0.511811024" top="0.78740157499999996" bottom="0.78740157499999996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3.875" customWidth="1"/>
    <col min="5" max="5" width="6.375" customWidth="1"/>
    <col min="6" max="6" width="14.875" customWidth="1"/>
    <col min="7" max="7" width="6.375" customWidth="1"/>
    <col min="8" max="8" width="11.375" customWidth="1"/>
    <col min="9" max="9" width="6.375" customWidth="1"/>
    <col min="10" max="10" width="0.625" customWidth="1"/>
    <col min="11" max="11" width="7.37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44196</v>
      </c>
      <c r="D3" s="82" t="s">
        <v>305</v>
      </c>
      <c r="E3" s="83"/>
      <c r="F3" s="82" t="s">
        <v>485</v>
      </c>
      <c r="G3" s="83"/>
      <c r="H3" s="82" t="s">
        <v>486</v>
      </c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5733874*1000</f>
        <v>5733874000</v>
      </c>
      <c r="E5" s="32">
        <f>D5/D5</f>
        <v>1</v>
      </c>
      <c r="F5" s="31">
        <f>6185532*1000</f>
        <v>6185532000</v>
      </c>
      <c r="G5" s="32">
        <f>F5/F5</f>
        <v>1</v>
      </c>
      <c r="H5" s="31">
        <f>59705*1000</f>
        <v>59705000</v>
      </c>
      <c r="I5" s="32">
        <f>H5/H5</f>
        <v>1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744177000</v>
      </c>
      <c r="E7" s="38">
        <f>D7/D5</f>
        <v>0.12978607482480431</v>
      </c>
      <c r="F7" s="37">
        <f>SUM(F9,F21)</f>
        <v>248406000</v>
      </c>
      <c r="G7" s="38">
        <f>F7/F5</f>
        <v>4.0159197301056722E-2</v>
      </c>
      <c r="H7" s="37">
        <f>SUM(H9,H21)</f>
        <v>8628000</v>
      </c>
      <c r="I7" s="38">
        <f>H7/H5</f>
        <v>0.14451051000753706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204187000</v>
      </c>
      <c r="E9" s="41">
        <f>D9/D5</f>
        <v>3.5610653460470182E-2</v>
      </c>
      <c r="F9" s="40">
        <f>SUM(F10:F19)</f>
        <v>183653000</v>
      </c>
      <c r="G9" s="41">
        <f>F9/F5</f>
        <v>2.9690736382901262E-2</v>
      </c>
      <c r="H9" s="40">
        <f>SUM(H10:H19)</f>
        <v>0</v>
      </c>
      <c r="I9" s="41">
        <f>H9/H5</f>
        <v>0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569</v>
      </c>
      <c r="D10" s="44">
        <f>21832*1000</f>
        <v>21832000</v>
      </c>
      <c r="E10" s="45">
        <f>D10/D5</f>
        <v>3.8075479161209331E-3</v>
      </c>
      <c r="F10" s="44">
        <f>21832*1000</f>
        <v>21832000</v>
      </c>
      <c r="G10" s="45">
        <f>F10/F5</f>
        <v>3.5295266437874707E-3</v>
      </c>
      <c r="H10" s="44"/>
      <c r="I10" s="45">
        <f>H10/H5</f>
        <v>0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335</v>
      </c>
      <c r="D11" s="34">
        <f>14411*1000</f>
        <v>14411000</v>
      </c>
      <c r="E11" s="35">
        <f>D11/D5</f>
        <v>2.5133095006970854E-3</v>
      </c>
      <c r="F11" s="34">
        <f>14411*1000</f>
        <v>14411000</v>
      </c>
      <c r="G11" s="35">
        <f>F11/F5</f>
        <v>2.3297915199533364E-3</v>
      </c>
      <c r="H11" s="34"/>
      <c r="I11" s="35">
        <f>H11/H5</f>
        <v>0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481</v>
      </c>
      <c r="D12" s="44">
        <f>24946*1000</f>
        <v>24946000</v>
      </c>
      <c r="E12" s="45">
        <f>D12/D5</f>
        <v>4.350636236513045E-3</v>
      </c>
      <c r="F12" s="44">
        <f>24104*1000</f>
        <v>24104000</v>
      </c>
      <c r="G12" s="45">
        <f>F12/F5</f>
        <v>3.8968353894216373E-3</v>
      </c>
      <c r="H12" s="44"/>
      <c r="I12" s="45">
        <f>H12/H5</f>
        <v>0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465</v>
      </c>
      <c r="D13" s="34">
        <f>39193*1000</f>
        <v>39193000</v>
      </c>
      <c r="E13" s="35">
        <f>D13/D5</f>
        <v>6.8353437832781114E-3</v>
      </c>
      <c r="F13" s="34">
        <f>31247*1000</f>
        <v>31247000</v>
      </c>
      <c r="G13" s="35">
        <f>F13/F5</f>
        <v>5.0516269255417318E-3</v>
      </c>
      <c r="H13" s="34"/>
      <c r="I13" s="35">
        <f>H13/H5</f>
        <v>0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418</v>
      </c>
      <c r="D14" s="44">
        <f>12755*1000</f>
        <v>12755000</v>
      </c>
      <c r="E14" s="45">
        <f>D14/D5</f>
        <v>2.224499526846945E-3</v>
      </c>
      <c r="F14" s="44">
        <f>18397*1000</f>
        <v>18397000</v>
      </c>
      <c r="G14" s="45">
        <f>F14/F5</f>
        <v>2.9741985006301801E-3</v>
      </c>
      <c r="H14" s="44"/>
      <c r="I14" s="45">
        <f>H14/H5</f>
        <v>0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351</v>
      </c>
      <c r="D15" s="34">
        <f>15346*1000</f>
        <v>15346000</v>
      </c>
      <c r="E15" s="35">
        <f>D15/D5</f>
        <v>2.6763755185412168E-3</v>
      </c>
      <c r="F15" s="34">
        <f>15346*1000</f>
        <v>15346000</v>
      </c>
      <c r="G15" s="35">
        <f>F15/F5</f>
        <v>2.4809507088476789E-3</v>
      </c>
      <c r="H15" s="34"/>
      <c r="I15" s="35">
        <f>H15/H5</f>
        <v>0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457</v>
      </c>
      <c r="D16" s="44">
        <f>52679*1000</f>
        <v>52679000</v>
      </c>
      <c r="E16" s="45">
        <f>D16/D5</f>
        <v>9.1873312877122863E-3</v>
      </c>
      <c r="F16" s="44">
        <f>40100*1000</f>
        <v>40100000</v>
      </c>
      <c r="G16" s="45">
        <f>F16/F5</f>
        <v>6.482870026377683E-3</v>
      </c>
      <c r="H16" s="44"/>
      <c r="I16" s="45">
        <f>H16/H5</f>
        <v>0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388</v>
      </c>
      <c r="D17" s="34">
        <f>14357*1000</f>
        <v>14357000</v>
      </c>
      <c r="E17" s="35">
        <f>D17/D5</f>
        <v>2.5038917841584941E-3</v>
      </c>
      <c r="F17" s="34">
        <f>14357*1000</f>
        <v>14357000</v>
      </c>
      <c r="G17" s="35">
        <f>F17/F5</f>
        <v>2.3210614705412567E-3</v>
      </c>
      <c r="H17" s="34"/>
      <c r="I17" s="35">
        <f>H17/H5</f>
        <v>0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474</v>
      </c>
      <c r="D18" s="44">
        <f>8668*1000</f>
        <v>8668000</v>
      </c>
      <c r="E18" s="45">
        <f>D18/D5</f>
        <v>1.5117179066020635E-3</v>
      </c>
      <c r="F18" s="44">
        <f>3715*1000</f>
        <v>3715000</v>
      </c>
      <c r="G18" s="45">
        <f>F18/F5</f>
        <v>6.0059506603474038E-4</v>
      </c>
      <c r="H18" s="44"/>
      <c r="I18" s="45">
        <f>H18/H5</f>
        <v>0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 t="s">
        <v>293</v>
      </c>
      <c r="D19" s="34"/>
      <c r="E19" s="35">
        <f>D19/D5</f>
        <v>0</v>
      </c>
      <c r="F19" s="34">
        <f>144*1000</f>
        <v>144000</v>
      </c>
      <c r="G19" s="35">
        <f>F19/F5</f>
        <v>2.3280131765545792E-5</v>
      </c>
      <c r="H19" s="34"/>
      <c r="I19" s="35">
        <f>H19/H5</f>
        <v>0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539990000</v>
      </c>
      <c r="E21" s="41">
        <f>D21/D5</f>
        <v>9.4175421364334128E-2</v>
      </c>
      <c r="F21" s="40">
        <f>SUM(F22:F33)</f>
        <v>64753000</v>
      </c>
      <c r="G21" s="41">
        <f>F21/F5</f>
        <v>1.0468460918155464E-2</v>
      </c>
      <c r="H21" s="40">
        <f>SUM(H22:H33)</f>
        <v>8628000</v>
      </c>
      <c r="I21" s="41">
        <f>H21/H5</f>
        <v>0.14451051000753706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360</v>
      </c>
      <c r="D22" s="44">
        <f>69233*1000</f>
        <v>69233000</v>
      </c>
      <c r="E22" s="45">
        <f>D22/D5</f>
        <v>1.2074384613264958E-2</v>
      </c>
      <c r="F22" s="44">
        <f>8302*1000</f>
        <v>8302000</v>
      </c>
      <c r="G22" s="45">
        <f>F22/F5</f>
        <v>1.342164263316397E-3</v>
      </c>
      <c r="H22" s="44">
        <f>1106*1000</f>
        <v>1106000</v>
      </c>
      <c r="I22" s="45">
        <f>H22/H5</f>
        <v>1.8524411690813165E-2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262</v>
      </c>
      <c r="D23" s="34">
        <f>45689*1000</f>
        <v>45689000</v>
      </c>
      <c r="E23" s="35">
        <f>D23/D5</f>
        <v>7.9682602024390495E-3</v>
      </c>
      <c r="F23" s="34">
        <f>5479*1000</f>
        <v>5479000</v>
      </c>
      <c r="G23" s="35">
        <f>F23/F5</f>
        <v>8.8577668016267641E-4</v>
      </c>
      <c r="H23" s="34">
        <f>730*1000</f>
        <v>730000</v>
      </c>
      <c r="I23" s="35">
        <f>H23/H5</f>
        <v>1.22267816765765E-2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482</v>
      </c>
      <c r="D24" s="44">
        <f>107171*1000</f>
        <v>107171000</v>
      </c>
      <c r="E24" s="45">
        <f>D24/D5</f>
        <v>1.8690853688099879E-2</v>
      </c>
      <c r="F24" s="44">
        <f>12852*1000</f>
        <v>12852000</v>
      </c>
      <c r="G24" s="45">
        <f>F24/F5</f>
        <v>2.0777517600749618E-3</v>
      </c>
      <c r="H24" s="44">
        <f>1712*1000</f>
        <v>1712000</v>
      </c>
      <c r="I24" s="45">
        <f>H24/H5</f>
        <v>2.867431538397119E-2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483</v>
      </c>
      <c r="D25" s="34">
        <f>38278*1000</f>
        <v>38278000</v>
      </c>
      <c r="E25" s="35">
        <f>D25/D5</f>
        <v>6.6757658085964218E-3</v>
      </c>
      <c r="F25" s="34">
        <f>4590*1000</f>
        <v>4590000</v>
      </c>
      <c r="G25" s="35">
        <f>F25/F5</f>
        <v>7.4205420002677218E-4</v>
      </c>
      <c r="H25" s="34">
        <f>612*1000</f>
        <v>612000</v>
      </c>
      <c r="I25" s="35">
        <f>H25/H5</f>
        <v>1.0250397789129888E-2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570</v>
      </c>
      <c r="D26" s="44">
        <f>43742*1000</f>
        <v>43742000</v>
      </c>
      <c r="E26" s="45">
        <f>D26/D5</f>
        <v>7.628699200575388E-3</v>
      </c>
      <c r="F26" s="44">
        <f>5245*1000</f>
        <v>5245000</v>
      </c>
      <c r="G26" s="45">
        <f>F26/F5</f>
        <v>8.4794646604366452E-4</v>
      </c>
      <c r="H26" s="44">
        <f>699*1000</f>
        <v>699000</v>
      </c>
      <c r="I26" s="45">
        <f>H26/H5</f>
        <v>1.1707562180721883E-2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484</v>
      </c>
      <c r="D27" s="34">
        <f>55423*1000</f>
        <v>55423000</v>
      </c>
      <c r="E27" s="35">
        <f>D27/D5</f>
        <v>9.6658908095992348E-3</v>
      </c>
      <c r="F27" s="34">
        <f>6646*1000</f>
        <v>6646000</v>
      </c>
      <c r="G27" s="35">
        <f>F27/F5</f>
        <v>1.0744427480126205E-3</v>
      </c>
      <c r="H27" s="34">
        <f>886*1000</f>
        <v>886000</v>
      </c>
      <c r="I27" s="35">
        <f>H27/H5</f>
        <v>1.4839628171844903E-2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 t="s">
        <v>356</v>
      </c>
      <c r="D28" s="44">
        <f>30363*1000</f>
        <v>30363000</v>
      </c>
      <c r="E28" s="45">
        <f>D28/D5</f>
        <v>5.2953727270602735E-3</v>
      </c>
      <c r="F28" s="44">
        <f>3641*1000</f>
        <v>3641000</v>
      </c>
      <c r="G28" s="45">
        <f>F28/F5</f>
        <v>5.8863166498855722E-4</v>
      </c>
      <c r="H28" s="44">
        <f>485*1000</f>
        <v>485000</v>
      </c>
      <c r="I28" s="45">
        <f>H28/H5</f>
        <v>8.1232727577254839E-3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 t="s">
        <v>341</v>
      </c>
      <c r="D29" s="34">
        <f>40419*1000</f>
        <v>40419000</v>
      </c>
      <c r="E29" s="35">
        <f>D29/D5</f>
        <v>7.049160829135764E-3</v>
      </c>
      <c r="F29" s="34">
        <f>4847*1000</f>
        <v>4847000</v>
      </c>
      <c r="G29" s="35">
        <f>F29/F5</f>
        <v>7.8360276852500318E-4</v>
      </c>
      <c r="H29" s="34">
        <f>646*1000</f>
        <v>646000</v>
      </c>
      <c r="I29" s="35">
        <f>H29/H5</f>
        <v>1.0819864332970438E-2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 t="s">
        <v>354</v>
      </c>
      <c r="D30" s="44">
        <f>46252*1000</f>
        <v>46252000</v>
      </c>
      <c r="E30" s="45">
        <f>D30/D5</f>
        <v>8.0664486174617713E-3</v>
      </c>
      <c r="F30" s="44">
        <f>5546*1000</f>
        <v>5546000</v>
      </c>
      <c r="G30" s="45">
        <f>F30/F5</f>
        <v>8.9660840813692336E-4</v>
      </c>
      <c r="H30" s="44">
        <f>739*1000</f>
        <v>739000</v>
      </c>
      <c r="I30" s="45">
        <f>H30/H5</f>
        <v>1.2377522820534293E-2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 t="s">
        <v>571</v>
      </c>
      <c r="D31" s="34">
        <f>35981*1000</f>
        <v>35981000</v>
      </c>
      <c r="E31" s="35">
        <f>D31/D5</f>
        <v>6.2751640513900378E-3</v>
      </c>
      <c r="F31" s="34">
        <f>4315*1000</f>
        <v>4315000</v>
      </c>
      <c r="G31" s="35">
        <f>F31/F5</f>
        <v>6.9759561505784793E-4</v>
      </c>
      <c r="H31" s="34">
        <f>575*1000</f>
        <v>575000</v>
      </c>
      <c r="I31" s="35">
        <f>H31/H5</f>
        <v>9.6306841973034085E-3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 t="s">
        <v>401</v>
      </c>
      <c r="D32" s="44">
        <f>27439*1000</f>
        <v>27439000</v>
      </c>
      <c r="E32" s="45">
        <f>D32/D5</f>
        <v>4.7854208167113542E-3</v>
      </c>
      <c r="F32" s="44">
        <f>3290*1000</f>
        <v>3290000</v>
      </c>
      <c r="G32" s="45">
        <f>F32/F5</f>
        <v>5.3188634381003933E-4</v>
      </c>
      <c r="H32" s="44">
        <f>438*1000</f>
        <v>438000</v>
      </c>
      <c r="I32" s="45">
        <f>H32/H5</f>
        <v>7.3360690059459006E-3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>
        <f>H33/H5</f>
        <v>0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>
        <f>H34/H5</f>
        <v>0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2.375" customWidth="1"/>
    <col min="5" max="5" width="6.375" customWidth="1"/>
    <col min="6" max="6" width="12.375" customWidth="1"/>
    <col min="7" max="7" width="6.375" customWidth="1"/>
    <col min="8" max="8" width="13.875" customWidth="1"/>
    <col min="9" max="9" width="6.375" customWidth="1"/>
    <col min="10" max="10" width="12.375" customWidth="1"/>
    <col min="11" max="11" width="6.375" customWidth="1"/>
    <col min="12" max="12" width="7.375" customWidth="1"/>
    <col min="13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25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572</v>
      </c>
      <c r="E3" s="83"/>
      <c r="F3" s="82" t="s">
        <v>573</v>
      </c>
      <c r="G3" s="83"/>
      <c r="H3" s="82" t="s">
        <v>499</v>
      </c>
      <c r="I3" s="83"/>
      <c r="J3" s="82"/>
      <c r="K3" s="83"/>
      <c r="L3" s="85" t="s">
        <v>491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19127083.420000002</v>
      </c>
      <c r="E5" s="32">
        <f>D5/D5</f>
        <v>1</v>
      </c>
      <c r="F5" s="31">
        <v>336484393.68000001</v>
      </c>
      <c r="G5" s="32">
        <f>F5/F5</f>
        <v>1</v>
      </c>
      <c r="H5" s="31">
        <v>1216726982.9000001</v>
      </c>
      <c r="I5" s="32">
        <f>H5/H5</f>
        <v>1</v>
      </c>
      <c r="J5" s="31"/>
      <c r="K5" s="32" t="e">
        <f>J5/J5</f>
        <v>#DIV/0!</v>
      </c>
      <c r="L5" s="3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SUM(D9,D28)</f>
        <v>2489082.66</v>
      </c>
      <c r="E7" s="38">
        <f>D7/D5</f>
        <v>0.130133936541382</v>
      </c>
      <c r="F7" s="37">
        <f>SUM(F9,F28)</f>
        <v>52905266.829999998</v>
      </c>
      <c r="G7" s="38">
        <f>F7/F5</f>
        <v>0.1572294817343399</v>
      </c>
      <c r="H7" s="37">
        <f>SUM(H9,H28)</f>
        <v>135987026.38999999</v>
      </c>
      <c r="I7" s="38">
        <f>H7/H5</f>
        <v>0.11176461794730859</v>
      </c>
      <c r="J7" s="37">
        <f>SUM(J9,J28)</f>
        <v>0</v>
      </c>
      <c r="K7" s="38" t="e">
        <f>J7/J5</f>
        <v>#DIV/0!</v>
      </c>
      <c r="L7" s="32">
        <v>0.2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SUM(D10:D26)</f>
        <v>0</v>
      </c>
      <c r="E9" s="41">
        <f>D9/D5</f>
        <v>0</v>
      </c>
      <c r="F9" s="40">
        <f>SUM(F10:F26)</f>
        <v>14367333.700000005</v>
      </c>
      <c r="G9" s="41">
        <f>F9/F5</f>
        <v>4.2698365718748556E-2</v>
      </c>
      <c r="H9" s="40">
        <f>SUM(H10:H26)</f>
        <v>68596453.659999996</v>
      </c>
      <c r="I9" s="41">
        <f>H9/H5</f>
        <v>5.6377851912599343E-2</v>
      </c>
      <c r="J9" s="40">
        <f>SUM(J10:J19)</f>
        <v>0</v>
      </c>
      <c r="K9" s="41" t="e">
        <f>J9/J5</f>
        <v>#DIV/0!</v>
      </c>
      <c r="L9" s="32">
        <v>0.15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574</v>
      </c>
      <c r="D10" s="44"/>
      <c r="E10" s="45">
        <f>D10/D5</f>
        <v>0</v>
      </c>
      <c r="F10" s="44">
        <v>3257467.67</v>
      </c>
      <c r="G10" s="45">
        <f>F10/F5</f>
        <v>9.6808878247645683E-3</v>
      </c>
      <c r="H10" s="44">
        <v>13227691.800000001</v>
      </c>
      <c r="I10" s="45">
        <f>H10/H5</f>
        <v>1.0871536495781941E-2</v>
      </c>
      <c r="J10" s="44"/>
      <c r="K10" s="45" t="e">
        <f>J10/J5</f>
        <v>#DIV/0!</v>
      </c>
      <c r="L10" s="4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26" si="0">A10+1</f>
        <v>2</v>
      </c>
      <c r="B11" s="3"/>
      <c r="C11" s="3" t="s">
        <v>575</v>
      </c>
      <c r="D11" s="34"/>
      <c r="E11" s="35">
        <f>D11/D5</f>
        <v>0</v>
      </c>
      <c r="F11" s="34">
        <v>3142942.45</v>
      </c>
      <c r="G11" s="35">
        <f>F11/F5</f>
        <v>9.3405296323756694E-3</v>
      </c>
      <c r="H11" s="34">
        <v>12763887.58</v>
      </c>
      <c r="I11" s="35">
        <f>H11/H5</f>
        <v>1.0490346445328265E-2</v>
      </c>
      <c r="J11" s="34"/>
      <c r="K11" s="35" t="e">
        <f>J11/J5</f>
        <v>#DIV/0!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576</v>
      </c>
      <c r="D12" s="44"/>
      <c r="E12" s="45">
        <f>D12/D5</f>
        <v>0</v>
      </c>
      <c r="F12" s="44">
        <v>2757433.52</v>
      </c>
      <c r="G12" s="45">
        <f>F12/F5</f>
        <v>8.1948333170611971E-3</v>
      </c>
      <c r="H12" s="44">
        <v>11197639.77</v>
      </c>
      <c r="I12" s="45">
        <f>H12/H5</f>
        <v>9.2030832942580562E-3</v>
      </c>
      <c r="J12" s="44"/>
      <c r="K12" s="45" t="e">
        <f>J12/J5</f>
        <v>#DIV/0!</v>
      </c>
      <c r="L12" s="4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577</v>
      </c>
      <c r="D13" s="34"/>
      <c r="E13" s="35">
        <f>D13/D5</f>
        <v>0</v>
      </c>
      <c r="F13" s="34">
        <v>1959619.18</v>
      </c>
      <c r="G13" s="35">
        <f>F13/F5</f>
        <v>5.823804065824275E-3</v>
      </c>
      <c r="H13" s="34">
        <v>7957481.96</v>
      </c>
      <c r="I13" s="35">
        <f>H13/H5</f>
        <v>6.5400719075316225E-3</v>
      </c>
      <c r="J13" s="34"/>
      <c r="K13" s="35" t="e">
        <f>J13/J5</f>
        <v>#DIV/0!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578</v>
      </c>
      <c r="D14" s="44"/>
      <c r="E14" s="45">
        <f>D14/D5</f>
        <v>0</v>
      </c>
      <c r="F14" s="44">
        <v>1485872.15</v>
      </c>
      <c r="G14" s="45">
        <f>F14/F5</f>
        <v>4.415872408671289E-3</v>
      </c>
      <c r="H14" s="44">
        <v>6033723.75</v>
      </c>
      <c r="I14" s="45">
        <f>H14/H5</f>
        <v>4.9589791586761396E-3</v>
      </c>
      <c r="J14" s="44"/>
      <c r="K14" s="45" t="e">
        <f>J14/J5</f>
        <v>#DIV/0!</v>
      </c>
      <c r="L14" s="4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579</v>
      </c>
      <c r="D15" s="34"/>
      <c r="E15" s="35">
        <f>D15/D5</f>
        <v>0</v>
      </c>
      <c r="F15" s="34">
        <v>534693.14</v>
      </c>
      <c r="G15" s="35">
        <f>F15/F5</f>
        <v>1.5890577692245023E-3</v>
      </c>
      <c r="H15" s="34">
        <v>2171243.79</v>
      </c>
      <c r="I15" s="35">
        <f>H15/H5</f>
        <v>1.7844954706477891E-3</v>
      </c>
      <c r="J15" s="34"/>
      <c r="K15" s="35" t="e">
        <f>J15/J5</f>
        <v>#DIV/0!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580</v>
      </c>
      <c r="D16" s="44"/>
      <c r="E16" s="45">
        <f>D16/D5</f>
        <v>0</v>
      </c>
      <c r="F16" s="44">
        <v>516762.55</v>
      </c>
      <c r="G16" s="45">
        <f>F16/F5</f>
        <v>1.5357697406062948E-3</v>
      </c>
      <c r="H16" s="44">
        <v>2098432.5299999998</v>
      </c>
      <c r="I16" s="45">
        <f>H16/H5</f>
        <v>1.7246535660765114E-3</v>
      </c>
      <c r="J16" s="44"/>
      <c r="K16" s="45" t="e">
        <f>J16/J5</f>
        <v>#DIV/0!</v>
      </c>
      <c r="L16" s="4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581</v>
      </c>
      <c r="D17" s="34"/>
      <c r="E17" s="35">
        <f>D17/D5</f>
        <v>0</v>
      </c>
      <c r="F17" s="34">
        <v>256170.17</v>
      </c>
      <c r="G17" s="35">
        <f>F17/F5</f>
        <v>7.6131367401134327E-4</v>
      </c>
      <c r="H17" s="34">
        <v>1040237.55</v>
      </c>
      <c r="I17" s="35">
        <f>H17/H5</f>
        <v>8.5494738311848117E-4</v>
      </c>
      <c r="J17" s="34"/>
      <c r="K17" s="35" t="e">
        <f>J17/J5</f>
        <v>#DIV/0!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582</v>
      </c>
      <c r="D18" s="44"/>
      <c r="E18" s="45">
        <f>D18/D5</f>
        <v>0</v>
      </c>
      <c r="F18" s="44">
        <v>182708.21</v>
      </c>
      <c r="G18" s="45">
        <f>F18/F5</f>
        <v>5.4299163180137656E-4</v>
      </c>
      <c r="H18" s="44">
        <v>741928.5</v>
      </c>
      <c r="I18" s="45">
        <f>H18/H5</f>
        <v>6.0977401703680089E-4</v>
      </c>
      <c r="J18" s="44"/>
      <c r="K18" s="45" t="e">
        <f>J18/J5</f>
        <v>#DIV/0!</v>
      </c>
      <c r="L18" s="4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 t="s">
        <v>326</v>
      </c>
      <c r="D19" s="34"/>
      <c r="E19" s="35">
        <f>D19/D5</f>
        <v>0</v>
      </c>
      <c r="F19" s="34">
        <v>127385.3</v>
      </c>
      <c r="G19" s="35">
        <f>F19/F5</f>
        <v>3.7857714174151176E-4</v>
      </c>
      <c r="H19" s="34">
        <v>517277.17</v>
      </c>
      <c r="I19" s="35">
        <f>H19/H5</f>
        <v>4.2513824158571631E-4</v>
      </c>
      <c r="J19" s="34"/>
      <c r="K19" s="35" t="e">
        <f>J19/J5</f>
        <v>#DIV/0!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42">
        <f t="shared" si="0"/>
        <v>11</v>
      </c>
      <c r="B20" s="43"/>
      <c r="C20" s="43" t="s">
        <v>583</v>
      </c>
      <c r="D20" s="44"/>
      <c r="E20" s="45">
        <f>D20/D5</f>
        <v>0</v>
      </c>
      <c r="F20" s="44">
        <v>104071.73</v>
      </c>
      <c r="G20" s="45">
        <f>F20/F5</f>
        <v>3.0929140237919399E-4</v>
      </c>
      <c r="H20" s="44">
        <v>422598.43</v>
      </c>
      <c r="I20" s="45">
        <f>H20/H5</f>
        <v>3.4732395676206711E-4</v>
      </c>
      <c r="J20" s="44"/>
      <c r="K20" s="45" t="e">
        <f>J20/J5</f>
        <v>#DIV/0!</v>
      </c>
      <c r="L20" s="4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3">
        <f t="shared" si="0"/>
        <v>12</v>
      </c>
      <c r="B21" s="3"/>
      <c r="C21" s="3" t="s">
        <v>584</v>
      </c>
      <c r="D21" s="34"/>
      <c r="E21" s="35">
        <f>D21/D5</f>
        <v>0</v>
      </c>
      <c r="F21" s="34">
        <v>39152.81</v>
      </c>
      <c r="G21" s="35">
        <f>F21/F5</f>
        <v>1.163584722958495E-4</v>
      </c>
      <c r="H21" s="34">
        <v>158988.93</v>
      </c>
      <c r="I21" s="35">
        <f>H21/H5</f>
        <v>1.306693549452309E-4</v>
      </c>
      <c r="J21" s="34"/>
      <c r="K21" s="35" t="e">
        <f>J21/J5</f>
        <v>#DIV/0!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f t="shared" si="0"/>
        <v>13</v>
      </c>
      <c r="B22" s="43"/>
      <c r="C22" s="43" t="s">
        <v>585</v>
      </c>
      <c r="D22" s="44"/>
      <c r="E22" s="45">
        <f>D22/D5</f>
        <v>0</v>
      </c>
      <c r="F22" s="44">
        <v>3054.82</v>
      </c>
      <c r="G22" s="45">
        <f>F22/F5</f>
        <v>9.0786379914700127E-6</v>
      </c>
      <c r="H22" s="44">
        <v>12404.8</v>
      </c>
      <c r="I22" s="45">
        <f>H22/H5</f>
        <v>1.01952205994757E-5</v>
      </c>
      <c r="J22" s="44"/>
      <c r="K22" s="45" t="e">
        <f>J22/J5</f>
        <v>#DIV/0!</v>
      </c>
      <c r="L22" s="4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si="0"/>
        <v>14</v>
      </c>
      <c r="B23" s="3"/>
      <c r="C23" s="3" t="s">
        <v>586</v>
      </c>
      <c r="D23" s="34"/>
      <c r="E23" s="35">
        <f>D23/D5</f>
        <v>0</v>
      </c>
      <c r="F23" s="34"/>
      <c r="G23" s="35">
        <f>F23/F5</f>
        <v>0</v>
      </c>
      <c r="H23" s="34">
        <v>5049167.99</v>
      </c>
      <c r="I23" s="35">
        <f>H23/H5</f>
        <v>4.1497953616230271E-3</v>
      </c>
      <c r="J23" s="34"/>
      <c r="K23" s="35" t="e">
        <f>J23/J5</f>
        <v>#DIV/0!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0"/>
        <v>15</v>
      </c>
      <c r="B24" s="43"/>
      <c r="C24" s="43" t="s">
        <v>587</v>
      </c>
      <c r="D24" s="44"/>
      <c r="E24" s="45">
        <f>D24/D5</f>
        <v>0</v>
      </c>
      <c r="F24" s="44"/>
      <c r="G24" s="45">
        <f>F24/F5</f>
        <v>0</v>
      </c>
      <c r="H24" s="44">
        <v>3932823.81</v>
      </c>
      <c r="I24" s="45">
        <f>H24/H5</f>
        <v>3.2322976849139453E-3</v>
      </c>
      <c r="J24" s="44"/>
      <c r="K24" s="45" t="e">
        <f>J24/J5</f>
        <v>#DIV/0!</v>
      </c>
      <c r="L24" s="4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0"/>
        <v>16</v>
      </c>
      <c r="B25" s="3"/>
      <c r="C25" s="3" t="s">
        <v>588</v>
      </c>
      <c r="D25" s="34"/>
      <c r="E25" s="35">
        <f>D25/D5</f>
        <v>0</v>
      </c>
      <c r="F25" s="34"/>
      <c r="G25" s="35">
        <f>F25/F5</f>
        <v>0</v>
      </c>
      <c r="H25" s="34">
        <v>863652.07</v>
      </c>
      <c r="I25" s="35">
        <f>H25/H5</f>
        <v>7.0981582732843973E-4</v>
      </c>
      <c r="J25" s="34"/>
      <c r="K25" s="35" t="e">
        <f>J25/J5</f>
        <v>#DIV/0!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0"/>
        <v>17</v>
      </c>
      <c r="B26" s="43"/>
      <c r="C26" s="43" t="s">
        <v>589</v>
      </c>
      <c r="D26" s="44"/>
      <c r="E26" s="45">
        <f>D26/D5</f>
        <v>0</v>
      </c>
      <c r="F26" s="44"/>
      <c r="G26" s="45">
        <f>F26/F5</f>
        <v>0</v>
      </c>
      <c r="H26" s="44">
        <v>407273.23</v>
      </c>
      <c r="I26" s="45">
        <f>H26/H5</f>
        <v>3.3472852638583489E-4</v>
      </c>
      <c r="J26" s="44"/>
      <c r="K26" s="45" t="e">
        <f>J26/J5</f>
        <v>#DIV/0!</v>
      </c>
      <c r="L26" s="4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3" customHeight="1">
      <c r="A27" s="23"/>
      <c r="B27" s="3"/>
      <c r="C27" s="3"/>
      <c r="D27" s="34"/>
      <c r="E27" s="35"/>
      <c r="F27" s="34"/>
      <c r="G27" s="35"/>
      <c r="H27" s="34"/>
      <c r="I27" s="35"/>
      <c r="J27" s="34"/>
      <c r="K27" s="35"/>
      <c r="L27" s="46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29"/>
      <c r="B28" s="39" t="s">
        <v>495</v>
      </c>
      <c r="C28" s="39"/>
      <c r="D28" s="40">
        <f>SUM(D29:D40)</f>
        <v>2489082.66</v>
      </c>
      <c r="E28" s="41">
        <f>D28/D5</f>
        <v>0.130133936541382</v>
      </c>
      <c r="F28" s="40">
        <f>SUM(F29:F40)</f>
        <v>38537933.129999995</v>
      </c>
      <c r="G28" s="41">
        <f>F28/F5</f>
        <v>0.11453111601559135</v>
      </c>
      <c r="H28" s="40">
        <f>SUM(H29:H40)</f>
        <v>67390572.730000004</v>
      </c>
      <c r="I28" s="41">
        <f>H28/H5</f>
        <v>5.538676603470926E-2</v>
      </c>
      <c r="J28" s="40">
        <f>SUM(J29:J40)</f>
        <v>0</v>
      </c>
      <c r="K28" s="41" t="e">
        <f>J28/J5</f>
        <v>#DIV/0!</v>
      </c>
      <c r="L28" s="32">
        <v>0.15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42">
        <v>1</v>
      </c>
      <c r="B29" s="43"/>
      <c r="C29" s="43" t="s">
        <v>590</v>
      </c>
      <c r="D29" s="44">
        <v>1401764.74</v>
      </c>
      <c r="E29" s="45">
        <f>D29/D5</f>
        <v>7.328690471095356E-2</v>
      </c>
      <c r="F29" s="44">
        <v>13959965.24</v>
      </c>
      <c r="G29" s="45">
        <f>F29/F5</f>
        <v>4.1487704934321752E-2</v>
      </c>
      <c r="H29" s="44">
        <v>27590829.760000002</v>
      </c>
      <c r="I29" s="45">
        <f>H29/H5</f>
        <v>2.2676270147505742E-2</v>
      </c>
      <c r="J29" s="44"/>
      <c r="K29" s="45" t="e">
        <f>J29/J5</f>
        <v>#DIV/0!</v>
      </c>
      <c r="L29" s="4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23">
        <f t="shared" ref="A30:A41" si="1">A29+1</f>
        <v>2</v>
      </c>
      <c r="B30" s="3"/>
      <c r="C30" s="3" t="s">
        <v>591</v>
      </c>
      <c r="D30" s="34">
        <v>986711.11</v>
      </c>
      <c r="E30" s="35">
        <f>D30/D5</f>
        <v>5.1587118032237866E-2</v>
      </c>
      <c r="F30" s="34">
        <v>7173393.3300000001</v>
      </c>
      <c r="G30" s="35">
        <f>F30/F5</f>
        <v>2.1318650923293544E-2</v>
      </c>
      <c r="H30" s="34">
        <v>26152352.989999998</v>
      </c>
      <c r="I30" s="35">
        <f>H30/H5</f>
        <v>2.1494019083613435E-2</v>
      </c>
      <c r="J30" s="34"/>
      <c r="K30" s="35" t="e">
        <f>J30/J5</f>
        <v>#DIV/0!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42">
        <f t="shared" si="1"/>
        <v>3</v>
      </c>
      <c r="B31" s="43"/>
      <c r="C31" s="43" t="s">
        <v>592</v>
      </c>
      <c r="D31" s="44"/>
      <c r="E31" s="45">
        <f>D31/D5</f>
        <v>0</v>
      </c>
      <c r="F31" s="44">
        <v>6063270.7300000004</v>
      </c>
      <c r="G31" s="45">
        <f>F31/F5</f>
        <v>1.8019470869624434E-2</v>
      </c>
      <c r="H31" s="44"/>
      <c r="I31" s="45">
        <f>H31/H5</f>
        <v>0</v>
      </c>
      <c r="J31" s="44"/>
      <c r="K31" s="45" t="e">
        <f>J31/J5</f>
        <v>#DIV/0!</v>
      </c>
      <c r="L31" s="4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3">
        <f t="shared" si="1"/>
        <v>4</v>
      </c>
      <c r="B32" s="3"/>
      <c r="C32" s="3" t="s">
        <v>593</v>
      </c>
      <c r="D32" s="34"/>
      <c r="E32" s="35">
        <f>D32/D5</f>
        <v>0</v>
      </c>
      <c r="F32" s="34">
        <v>5275736.6399999997</v>
      </c>
      <c r="G32" s="35">
        <f>F32/F5</f>
        <v>1.567899355539585E-2</v>
      </c>
      <c r="H32" s="34"/>
      <c r="I32" s="35">
        <f>H32/H5</f>
        <v>0</v>
      </c>
      <c r="J32" s="34"/>
      <c r="K32" s="35" t="e">
        <f>J32/J5</f>
        <v>#DIV/0!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42">
        <f t="shared" si="1"/>
        <v>5</v>
      </c>
      <c r="B33" s="43"/>
      <c r="C33" s="43" t="s">
        <v>594</v>
      </c>
      <c r="D33" s="44"/>
      <c r="E33" s="45">
        <f>D33/D5</f>
        <v>0</v>
      </c>
      <c r="F33" s="44">
        <v>3952824.25</v>
      </c>
      <c r="G33" s="45">
        <f>F33/F5</f>
        <v>1.1747422240804354E-2</v>
      </c>
      <c r="H33" s="44">
        <v>8818263.2599999998</v>
      </c>
      <c r="I33" s="45">
        <f>H33/H5</f>
        <v>7.2475283148419759E-3</v>
      </c>
      <c r="J33" s="44"/>
      <c r="K33" s="45" t="e">
        <f>J33/J5</f>
        <v>#DIV/0!</v>
      </c>
      <c r="L33" s="4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23">
        <f t="shared" si="1"/>
        <v>6</v>
      </c>
      <c r="B34" s="3"/>
      <c r="C34" s="3" t="s">
        <v>595</v>
      </c>
      <c r="D34" s="34">
        <v>100606.81</v>
      </c>
      <c r="E34" s="35">
        <f>D34/D5</f>
        <v>5.2599137981905655E-3</v>
      </c>
      <c r="F34" s="34">
        <v>2112742.94</v>
      </c>
      <c r="G34" s="35">
        <f>F34/F5</f>
        <v>6.278873492151435E-3</v>
      </c>
      <c r="H34" s="34">
        <v>4829126.72</v>
      </c>
      <c r="I34" s="35">
        <f>H34/H5</f>
        <v>3.968948488748107E-3</v>
      </c>
      <c r="J34" s="34"/>
      <c r="K34" s="35" t="e">
        <f>J34/J5</f>
        <v>#DIV/0!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42">
        <f t="shared" si="1"/>
        <v>7</v>
      </c>
      <c r="B35" s="43"/>
      <c r="C35" s="43"/>
      <c r="D35" s="44"/>
      <c r="E35" s="45">
        <f>D35/D5</f>
        <v>0</v>
      </c>
      <c r="F35" s="44"/>
      <c r="G35" s="45">
        <f>F35/F5</f>
        <v>0</v>
      </c>
      <c r="H35" s="44"/>
      <c r="I35" s="45">
        <f>H35/H5</f>
        <v>0</v>
      </c>
      <c r="J35" s="44"/>
      <c r="K35" s="45" t="e">
        <f>J35/J5</f>
        <v>#DIV/0!</v>
      </c>
      <c r="L35" s="4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>
        <f t="shared" si="1"/>
        <v>8</v>
      </c>
      <c r="B36" s="3"/>
      <c r="C36" s="3"/>
      <c r="D36" s="34"/>
      <c r="E36" s="35">
        <f>D36/D5</f>
        <v>0</v>
      </c>
      <c r="F36" s="34"/>
      <c r="G36" s="35">
        <f>F36/F5</f>
        <v>0</v>
      </c>
      <c r="H36" s="34"/>
      <c r="I36" s="35">
        <f>H36/H5</f>
        <v>0</v>
      </c>
      <c r="J36" s="34"/>
      <c r="K36" s="35" t="e">
        <f>J36/J5</f>
        <v>#DIV/0!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42">
        <f t="shared" si="1"/>
        <v>9</v>
      </c>
      <c r="B37" s="43"/>
      <c r="C37" s="43"/>
      <c r="D37" s="44"/>
      <c r="E37" s="45">
        <f>D37/D5</f>
        <v>0</v>
      </c>
      <c r="F37" s="44"/>
      <c r="G37" s="45">
        <f>F37/F5</f>
        <v>0</v>
      </c>
      <c r="H37" s="44"/>
      <c r="I37" s="45">
        <f>H37/H5</f>
        <v>0</v>
      </c>
      <c r="J37" s="44"/>
      <c r="K37" s="45" t="e">
        <f>J37/J5</f>
        <v>#DIV/0!</v>
      </c>
      <c r="L37" s="4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>
        <f t="shared" si="1"/>
        <v>10</v>
      </c>
      <c r="B38" s="3"/>
      <c r="C38" s="3"/>
      <c r="D38" s="34"/>
      <c r="E38" s="35">
        <f>D38/D5</f>
        <v>0</v>
      </c>
      <c r="F38" s="34"/>
      <c r="G38" s="35">
        <f>F38/F5</f>
        <v>0</v>
      </c>
      <c r="H38" s="34"/>
      <c r="I38" s="35">
        <f>H38/H5</f>
        <v>0</v>
      </c>
      <c r="J38" s="34"/>
      <c r="K38" s="35" t="e">
        <f>J38/J5</f>
        <v>#DIV/0!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42">
        <f t="shared" si="1"/>
        <v>11</v>
      </c>
      <c r="B39" s="43"/>
      <c r="C39" s="43"/>
      <c r="D39" s="44"/>
      <c r="E39" s="45">
        <f>D39/D5</f>
        <v>0</v>
      </c>
      <c r="F39" s="44"/>
      <c r="G39" s="45">
        <f>F39/F5</f>
        <v>0</v>
      </c>
      <c r="H39" s="44"/>
      <c r="I39" s="45">
        <f>H39/H5</f>
        <v>0</v>
      </c>
      <c r="J39" s="44"/>
      <c r="K39" s="45" t="e">
        <f>J39/J5</f>
        <v>#DIV/0!</v>
      </c>
      <c r="L39" s="4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>
        <f t="shared" si="1"/>
        <v>12</v>
      </c>
      <c r="B40" s="3"/>
      <c r="C40" s="3"/>
      <c r="D40" s="34"/>
      <c r="E40" s="35">
        <f>D40/D5</f>
        <v>0</v>
      </c>
      <c r="F40" s="34"/>
      <c r="G40" s="35">
        <f>F40/F5</f>
        <v>0</v>
      </c>
      <c r="H40" s="34"/>
      <c r="I40" s="35">
        <f>H40/H5</f>
        <v>0</v>
      </c>
      <c r="J40" s="34"/>
      <c r="K40" s="35" t="e">
        <f>J40/J5</f>
        <v>#DIV/0!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42">
        <f t="shared" si="1"/>
        <v>13</v>
      </c>
      <c r="B41" s="43"/>
      <c r="C41" s="43"/>
      <c r="D41" s="44"/>
      <c r="E41" s="45">
        <f>D41/D5</f>
        <v>0</v>
      </c>
      <c r="F41" s="44"/>
      <c r="G41" s="45">
        <f>F41/F5</f>
        <v>0</v>
      </c>
      <c r="H41" s="44"/>
      <c r="I41" s="45">
        <f>H41/H5</f>
        <v>0</v>
      </c>
      <c r="J41" s="44"/>
      <c r="K41" s="45" t="e">
        <f>J41/J5</f>
        <v>#DIV/0!</v>
      </c>
      <c r="L41" s="4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3" customHeight="1">
      <c r="A42" s="47"/>
      <c r="B42" s="48"/>
      <c r="C42" s="48"/>
      <c r="D42" s="48"/>
      <c r="E42" s="49"/>
      <c r="F42" s="48"/>
      <c r="G42" s="49"/>
      <c r="H42" s="48"/>
      <c r="I42" s="49"/>
      <c r="J42" s="49"/>
      <c r="K42" s="49"/>
      <c r="L42" s="4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5"/>
      <c r="F43" s="3"/>
      <c r="G43" s="35"/>
      <c r="H43" s="3"/>
      <c r="I43" s="35"/>
      <c r="J43" s="35"/>
      <c r="K43" s="35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D2:E2"/>
    <mergeCell ref="F2:G2"/>
    <mergeCell ref="H2:I2"/>
    <mergeCell ref="J2:K2"/>
    <mergeCell ref="D3:E3"/>
    <mergeCell ref="F3:G3"/>
    <mergeCell ref="H3:I3"/>
    <mergeCell ref="J3:K3"/>
  </mergeCells>
  <pageMargins left="0.511811024" right="0.511811024" top="0.78740157499999996" bottom="0.78740157499999996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3.875" customWidth="1"/>
    <col min="5" max="5" width="6.375" customWidth="1"/>
    <col min="6" max="6" width="13.875" customWidth="1"/>
    <col min="7" max="7" width="6.375" customWidth="1"/>
    <col min="8" max="8" width="12.375" customWidth="1"/>
    <col min="9" max="9" width="6.375" customWidth="1"/>
    <col min="10" max="10" width="0.625" customWidth="1"/>
    <col min="11" max="11" width="7.375" customWidth="1"/>
    <col min="12" max="12" width="0.625" customWidth="1"/>
    <col min="13" max="13" width="8.625" customWidth="1"/>
    <col min="14" max="14" width="7.5" customWidth="1"/>
    <col min="15" max="15" width="10.5" customWidth="1"/>
    <col min="16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44196</v>
      </c>
      <c r="D3" s="82" t="s">
        <v>268</v>
      </c>
      <c r="E3" s="83"/>
      <c r="F3" s="82" t="s">
        <v>271</v>
      </c>
      <c r="G3" s="83"/>
      <c r="H3" s="82" t="s">
        <v>272</v>
      </c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902256*1000</f>
        <v>902256000</v>
      </c>
      <c r="E5" s="32">
        <f>D5/D5</f>
        <v>1</v>
      </c>
      <c r="F5" s="31">
        <f>1362345*1000</f>
        <v>1362345000</v>
      </c>
      <c r="G5" s="32">
        <f>F5/F5</f>
        <v>1</v>
      </c>
      <c r="H5" s="31">
        <f>1000*(219879+125873+398808+81115+79094)</f>
        <v>904769000</v>
      </c>
      <c r="I5" s="32">
        <f>H5/H5</f>
        <v>1</v>
      </c>
      <c r="J5" s="32"/>
      <c r="K5" s="33"/>
      <c r="L5" s="3"/>
      <c r="M5" s="3"/>
      <c r="N5" s="3"/>
      <c r="O5" s="20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42942000</v>
      </c>
      <c r="E7" s="38">
        <f>D7/D5</f>
        <v>4.7594030962387616E-2</v>
      </c>
      <c r="F7" s="37">
        <f>SUM(F9,F21)</f>
        <v>35524000</v>
      </c>
      <c r="G7" s="38">
        <f>F7/F5</f>
        <v>2.6075626952056931E-2</v>
      </c>
      <c r="H7" s="37">
        <f>SUM(H9,H21)</f>
        <v>13740000</v>
      </c>
      <c r="I7" s="38">
        <f>H7/H5</f>
        <v>1.5186196697720634E-2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3334000</v>
      </c>
      <c r="E9" s="41">
        <f>D9/D5</f>
        <v>3.6951818552605912E-3</v>
      </c>
      <c r="F9" s="40">
        <f>SUM(F10:F19)</f>
        <v>3835000</v>
      </c>
      <c r="G9" s="41">
        <f>F9/F5</f>
        <v>2.8149991375165614E-3</v>
      </c>
      <c r="H9" s="40">
        <f>SUM(H10:H19)</f>
        <v>2016000</v>
      </c>
      <c r="I9" s="41">
        <f>H9/H5</f>
        <v>2.2281930525913244E-3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375</v>
      </c>
      <c r="D10" s="44">
        <f>3334*1000</f>
        <v>3334000</v>
      </c>
      <c r="E10" s="45">
        <f>D10/D5</f>
        <v>3.6951818552605912E-3</v>
      </c>
      <c r="F10" s="44">
        <f>2325*1000</f>
        <v>2325000</v>
      </c>
      <c r="G10" s="45">
        <f>F10/F5</f>
        <v>1.7066161655087367E-3</v>
      </c>
      <c r="H10" s="44">
        <f>1000*(152+154+484+95)</f>
        <v>885000</v>
      </c>
      <c r="I10" s="45">
        <f>H10/H5</f>
        <v>9.7815022397982243E-4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464</v>
      </c>
      <c r="D11" s="34"/>
      <c r="E11" s="35">
        <f>D11/D5</f>
        <v>0</v>
      </c>
      <c r="F11" s="34">
        <f>1510*1000</f>
        <v>1510000</v>
      </c>
      <c r="G11" s="35">
        <f>F11/F5</f>
        <v>1.1083829720078247E-3</v>
      </c>
      <c r="H11" s="34">
        <f>1000*(173+175+551+108+124)</f>
        <v>1131000</v>
      </c>
      <c r="I11" s="35">
        <f>H11/H5</f>
        <v>1.2500428286115019E-3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/>
      <c r="D12" s="44"/>
      <c r="E12" s="45">
        <f>D12/D5</f>
        <v>0</v>
      </c>
      <c r="F12" s="44"/>
      <c r="G12" s="45">
        <f>F12/F5</f>
        <v>0</v>
      </c>
      <c r="H12" s="44"/>
      <c r="I12" s="45">
        <f>H12/H5</f>
        <v>0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4"/>
      <c r="G13" s="35">
        <f>F13/F5</f>
        <v>0</v>
      </c>
      <c r="H13" s="34"/>
      <c r="I13" s="35">
        <f>H13/H5</f>
        <v>0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>
        <f>F14/F5</f>
        <v>0</v>
      </c>
      <c r="H14" s="44"/>
      <c r="I14" s="45">
        <f>H14/H5</f>
        <v>0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>
        <f>F15/F5</f>
        <v>0</v>
      </c>
      <c r="H15" s="34"/>
      <c r="I15" s="35">
        <f>H15/H5</f>
        <v>0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>
        <f>F16/F5</f>
        <v>0</v>
      </c>
      <c r="H16" s="44"/>
      <c r="I16" s="45">
        <f>H16/H5</f>
        <v>0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4"/>
      <c r="I17" s="35">
        <f>H17/H5</f>
        <v>0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4"/>
      <c r="I18" s="45">
        <f>H18/H5</f>
        <v>0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39608000</v>
      </c>
      <c r="E21" s="41">
        <f>D21/D5</f>
        <v>4.3898849107127026E-2</v>
      </c>
      <c r="F21" s="40">
        <f>SUM(F22:F33)</f>
        <v>31689000</v>
      </c>
      <c r="G21" s="41">
        <f>F21/F5</f>
        <v>2.3260627814540368E-2</v>
      </c>
      <c r="H21" s="40">
        <f>SUM(H22:H33)</f>
        <v>11724000</v>
      </c>
      <c r="I21" s="41">
        <f>H21/H5</f>
        <v>1.2958003645129309E-2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284</v>
      </c>
      <c r="D22" s="44">
        <f>10887*1000</f>
        <v>10887000</v>
      </c>
      <c r="E22" s="45">
        <f>D22/D5</f>
        <v>1.206642017343193E-2</v>
      </c>
      <c r="F22" s="44">
        <f>7888*1000</f>
        <v>7888000</v>
      </c>
      <c r="G22" s="45">
        <f>F22/F5</f>
        <v>5.7900164789388888E-3</v>
      </c>
      <c r="H22" s="44">
        <f>1000*(506+512+1611+314)</f>
        <v>2943000</v>
      </c>
      <c r="I22" s="45">
        <f>H22/H5</f>
        <v>3.2527639651667994E-3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426</v>
      </c>
      <c r="D23" s="34">
        <f>10988*1000</f>
        <v>10988000</v>
      </c>
      <c r="E23" s="35">
        <f>D23/D5</f>
        <v>1.2178361795321949E-2</v>
      </c>
      <c r="F23" s="34">
        <f>8341*1000</f>
        <v>8341000</v>
      </c>
      <c r="G23" s="35">
        <f>F23/F5</f>
        <v>6.1225313705412362E-3</v>
      </c>
      <c r="H23" s="34">
        <f>1000*(536+542+1706+333)</f>
        <v>3117000</v>
      </c>
      <c r="I23" s="35">
        <f>H23/H5</f>
        <v>3.445078246491646E-3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269</v>
      </c>
      <c r="D24" s="44">
        <f>17733*1000</f>
        <v>17733000</v>
      </c>
      <c r="E24" s="45">
        <f>D24/D5</f>
        <v>1.9654067138373144E-2</v>
      </c>
      <c r="F24" s="44">
        <f>(14622+838)*1000</f>
        <v>15460000</v>
      </c>
      <c r="G24" s="45">
        <f>F24/F5</f>
        <v>1.1348079965060246E-2</v>
      </c>
      <c r="H24" s="44">
        <f>1000*(934+40+945+40+2973+127+580+25)</f>
        <v>5664000</v>
      </c>
      <c r="I24" s="45">
        <f>H24/H5</f>
        <v>6.2601614334708636E-3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/>
      <c r="D25" s="34"/>
      <c r="E25" s="35">
        <f>D25/D5</f>
        <v>0</v>
      </c>
      <c r="F25" s="34"/>
      <c r="G25" s="35">
        <f>F25/F5</f>
        <v>0</v>
      </c>
      <c r="H25" s="34"/>
      <c r="I25" s="35">
        <f>H25/H5</f>
        <v>0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/>
      <c r="D26" s="44"/>
      <c r="E26" s="45">
        <f>D26/D5</f>
        <v>0</v>
      </c>
      <c r="F26" s="44"/>
      <c r="G26" s="45">
        <f>F26/F5</f>
        <v>0</v>
      </c>
      <c r="H26" s="44"/>
      <c r="I26" s="45">
        <f>H26/H5</f>
        <v>0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/>
      <c r="D27" s="34"/>
      <c r="E27" s="35">
        <f>D27/D5</f>
        <v>0</v>
      </c>
      <c r="F27" s="34"/>
      <c r="G27" s="35">
        <f>F27/F5</f>
        <v>0</v>
      </c>
      <c r="H27" s="34"/>
      <c r="I27" s="35">
        <f>H27/H5</f>
        <v>0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>
        <f>F28/F5</f>
        <v>0</v>
      </c>
      <c r="H28" s="44"/>
      <c r="I28" s="45">
        <f>H28/H5</f>
        <v>0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>
        <f>F29/F5</f>
        <v>0</v>
      </c>
      <c r="H29" s="34"/>
      <c r="I29" s="35">
        <f>H29/H5</f>
        <v>0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>
        <f>F30/F5</f>
        <v>0</v>
      </c>
      <c r="H30" s="44"/>
      <c r="I30" s="45">
        <f>H30/H5</f>
        <v>0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>
        <f>F31/F5</f>
        <v>0</v>
      </c>
      <c r="H31" s="34"/>
      <c r="I31" s="35">
        <f>H31/H5</f>
        <v>0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>
        <f>F32/F5</f>
        <v>0</v>
      </c>
      <c r="H32" s="44"/>
      <c r="I32" s="45">
        <f>H32/H5</f>
        <v>0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>
        <f>H33/H5</f>
        <v>0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>
        <f>H34/H5</f>
        <v>0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5" customWidth="1"/>
    <col min="7" max="7" width="6.375" customWidth="1"/>
    <col min="8" max="8" width="15" customWidth="1"/>
    <col min="9" max="9" width="6.375" customWidth="1"/>
    <col min="10" max="10" width="15" customWidth="1"/>
    <col min="11" max="11" width="6.625" customWidth="1"/>
    <col min="12" max="12" width="0.625" customWidth="1"/>
    <col min="13" max="13" width="7.5" customWidth="1"/>
    <col min="14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25"/>
      <c r="M2" s="2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390</v>
      </c>
      <c r="E3" s="83"/>
      <c r="F3" s="82" t="s">
        <v>329</v>
      </c>
      <c r="G3" s="83"/>
      <c r="H3" s="82" t="s">
        <v>331</v>
      </c>
      <c r="I3" s="83"/>
      <c r="J3" s="82"/>
      <c r="K3" s="83"/>
      <c r="L3" s="84"/>
      <c r="M3" s="85" t="s">
        <v>491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3564987278.6799998</v>
      </c>
      <c r="E5" s="32">
        <f>D5/D5</f>
        <v>1</v>
      </c>
      <c r="F5" s="31">
        <v>2366461630.1999998</v>
      </c>
      <c r="G5" s="32">
        <f>F5/F5</f>
        <v>1</v>
      </c>
      <c r="H5" s="31">
        <v>1511101417.98</v>
      </c>
      <c r="I5" s="32">
        <f>H5/H5</f>
        <v>1</v>
      </c>
      <c r="J5" s="31"/>
      <c r="K5" s="32" t="e">
        <f>J5/J5</f>
        <v>#DIV/0!</v>
      </c>
      <c r="L5" s="32"/>
      <c r="M5" s="3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5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SUM(D9,D22)</f>
        <v>24435146.18</v>
      </c>
      <c r="E7" s="38">
        <f>D7/D5</f>
        <v>6.8542029101005793E-3</v>
      </c>
      <c r="F7" s="37">
        <f>SUM(F9,F22)</f>
        <v>82574884.730000019</v>
      </c>
      <c r="G7" s="38">
        <f>F7/F5</f>
        <v>3.489381939525521E-2</v>
      </c>
      <c r="H7" s="37">
        <f>SUM(H9,H22)</f>
        <v>32862836.460000005</v>
      </c>
      <c r="I7" s="38">
        <f>H7/H5</f>
        <v>2.1747604805989904E-2</v>
      </c>
      <c r="J7" s="37">
        <f>SUM(J9,J22)</f>
        <v>0</v>
      </c>
      <c r="K7" s="38" t="e">
        <f>J7/J5</f>
        <v>#DIV/0!</v>
      </c>
      <c r="L7" s="38"/>
      <c r="M7" s="32">
        <v>0.2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5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SUM(D10:D20)</f>
        <v>24435146.18</v>
      </c>
      <c r="E9" s="41">
        <f>D9/D5</f>
        <v>6.8542029101005793E-3</v>
      </c>
      <c r="F9" s="40">
        <f>SUM(F10:F20)</f>
        <v>82574884.730000019</v>
      </c>
      <c r="G9" s="41">
        <f>F9/F5</f>
        <v>3.489381939525521E-2</v>
      </c>
      <c r="H9" s="40">
        <f>SUM(H10:H20)</f>
        <v>32862836.460000005</v>
      </c>
      <c r="I9" s="41">
        <f>H9/H5</f>
        <v>2.1747604805989904E-2</v>
      </c>
      <c r="J9" s="40">
        <f>SUM(J10:J20)</f>
        <v>0</v>
      </c>
      <c r="K9" s="41" t="e">
        <f>J9/J5</f>
        <v>#DIV/0!</v>
      </c>
      <c r="L9" s="41"/>
      <c r="M9" s="32">
        <v>0.15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389</v>
      </c>
      <c r="D10" s="44">
        <v>4409573.3600000003</v>
      </c>
      <c r="E10" s="45">
        <f>D10/D5</f>
        <v>1.2369113871376067E-3</v>
      </c>
      <c r="F10" s="44">
        <v>2351772.44</v>
      </c>
      <c r="G10" s="45">
        <f>F10/F5</f>
        <v>9.9379276215065516E-4</v>
      </c>
      <c r="H10" s="44">
        <v>2057800.89</v>
      </c>
      <c r="I10" s="45">
        <f>H10/H5</f>
        <v>1.3617887360272702E-3</v>
      </c>
      <c r="J10" s="44"/>
      <c r="K10" s="45" t="e">
        <f>J10/J5</f>
        <v>#DIV/0!</v>
      </c>
      <c r="L10" s="45"/>
      <c r="M10" s="4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20" si="0">A10+1</f>
        <v>2</v>
      </c>
      <c r="B11" s="3"/>
      <c r="C11" s="3" t="s">
        <v>397</v>
      </c>
      <c r="D11" s="34">
        <v>44165.84</v>
      </c>
      <c r="E11" s="35">
        <f>D11/D5</f>
        <v>1.2388779130890248E-5</v>
      </c>
      <c r="F11" s="34">
        <v>311983.64</v>
      </c>
      <c r="G11" s="35">
        <f>F11/F5</f>
        <v>1.3183549482424228E-4</v>
      </c>
      <c r="H11" s="34">
        <v>140342.71</v>
      </c>
      <c r="I11" s="35">
        <f>H11/H5</f>
        <v>9.2874447955721188E-5</v>
      </c>
      <c r="J11" s="34"/>
      <c r="K11" s="35" t="e">
        <f>J11/J5</f>
        <v>#DIV/0!</v>
      </c>
      <c r="L11" s="35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419</v>
      </c>
      <c r="D12" s="44">
        <v>9733317.75</v>
      </c>
      <c r="E12" s="45">
        <f>D12/D5</f>
        <v>2.7302531507500736E-3</v>
      </c>
      <c r="F12" s="44">
        <v>7299988.29</v>
      </c>
      <c r="G12" s="45">
        <f>F12/F5</f>
        <v>3.0847693437493205E-3</v>
      </c>
      <c r="H12" s="44">
        <v>7299988.29</v>
      </c>
      <c r="I12" s="45">
        <f>H12/H5</f>
        <v>4.8309055918684986E-3</v>
      </c>
      <c r="J12" s="44"/>
      <c r="K12" s="45" t="e">
        <f>J12/J5</f>
        <v>#DIV/0!</v>
      </c>
      <c r="L12" s="45"/>
      <c r="M12" s="4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456</v>
      </c>
      <c r="D13" s="34">
        <v>10248089.23</v>
      </c>
      <c r="E13" s="35">
        <f>D13/D5</f>
        <v>2.8746495930820092E-3</v>
      </c>
      <c r="F13" s="34"/>
      <c r="G13" s="35">
        <f>F13/F5</f>
        <v>0</v>
      </c>
      <c r="H13" s="34"/>
      <c r="I13" s="35">
        <f>H13/H5</f>
        <v>0</v>
      </c>
      <c r="J13" s="34"/>
      <c r="K13" s="35" t="e">
        <f>J13/J5</f>
        <v>#DIV/0!</v>
      </c>
      <c r="L13" s="3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327</v>
      </c>
      <c r="D14" s="44"/>
      <c r="E14" s="45">
        <f>D14/D5</f>
        <v>0</v>
      </c>
      <c r="F14" s="44">
        <v>26881237.710000001</v>
      </c>
      <c r="G14" s="45">
        <f>F14/F5</f>
        <v>1.1359253565302114E-2</v>
      </c>
      <c r="H14" s="44">
        <v>8404008.0700000003</v>
      </c>
      <c r="I14" s="45">
        <f>H14/H5</f>
        <v>5.5615116033934063E-3</v>
      </c>
      <c r="J14" s="44"/>
      <c r="K14" s="45" t="e">
        <f>J14/J5</f>
        <v>#DIV/0!</v>
      </c>
      <c r="L14" s="45"/>
      <c r="M14" s="4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339</v>
      </c>
      <c r="D15" s="34"/>
      <c r="E15" s="35">
        <f>D15/D5</f>
        <v>0</v>
      </c>
      <c r="F15" s="34">
        <v>11897433.380000001</v>
      </c>
      <c r="G15" s="35">
        <f>F15/F5</f>
        <v>5.0275200866005581E-3</v>
      </c>
      <c r="H15" s="34">
        <v>6249963.4900000002</v>
      </c>
      <c r="I15" s="35">
        <f>H15/H5</f>
        <v>4.136031781609195E-3</v>
      </c>
      <c r="J15" s="34"/>
      <c r="K15" s="35" t="e">
        <f>J15/J5</f>
        <v>#DIV/0!</v>
      </c>
      <c r="L15" s="35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377</v>
      </c>
      <c r="D16" s="44"/>
      <c r="E16" s="45">
        <f>D16/D5</f>
        <v>0</v>
      </c>
      <c r="F16" s="44">
        <v>4180598.24</v>
      </c>
      <c r="G16" s="45">
        <f>F16/F5</f>
        <v>1.7666030104391255E-3</v>
      </c>
      <c r="H16" s="44">
        <v>2194261.87</v>
      </c>
      <c r="I16" s="45">
        <f>H16/H5</f>
        <v>1.4520943755934202E-3</v>
      </c>
      <c r="J16" s="44"/>
      <c r="K16" s="45" t="e">
        <f>J16/J5</f>
        <v>#DIV/0!</v>
      </c>
      <c r="L16" s="45"/>
      <c r="M16" s="4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433</v>
      </c>
      <c r="D17" s="34"/>
      <c r="E17" s="35">
        <f>D17/D5</f>
        <v>0</v>
      </c>
      <c r="F17" s="34">
        <v>60059.21</v>
      </c>
      <c r="G17" s="35">
        <f>F17/F5</f>
        <v>2.5379329727363521E-5</v>
      </c>
      <c r="H17" s="34">
        <v>31370.7</v>
      </c>
      <c r="I17" s="35">
        <f>H17/H5</f>
        <v>2.0760155226335181E-5</v>
      </c>
      <c r="J17" s="34"/>
      <c r="K17" s="35" t="e">
        <f>J17/J5</f>
        <v>#DIV/0!</v>
      </c>
      <c r="L17" s="35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434</v>
      </c>
      <c r="D18" s="44"/>
      <c r="E18" s="45">
        <f>D18/D5</f>
        <v>0</v>
      </c>
      <c r="F18" s="44">
        <v>17246668.690000001</v>
      </c>
      <c r="G18" s="45">
        <f>F18/F5</f>
        <v>7.2879561916000353E-3</v>
      </c>
      <c r="H18" s="44"/>
      <c r="I18" s="45">
        <f>H18/H5</f>
        <v>0</v>
      </c>
      <c r="J18" s="44"/>
      <c r="K18" s="45" t="e">
        <f>J18/J5</f>
        <v>#DIV/0!</v>
      </c>
      <c r="L18" s="45"/>
      <c r="M18" s="4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 t="s">
        <v>443</v>
      </c>
      <c r="D19" s="34"/>
      <c r="E19" s="35">
        <f>D19/D5</f>
        <v>0</v>
      </c>
      <c r="F19" s="34">
        <v>484933.84</v>
      </c>
      <c r="G19" s="35">
        <f>F19/F5</f>
        <v>2.049193757513052E-4</v>
      </c>
      <c r="H19" s="34">
        <v>254691.41</v>
      </c>
      <c r="I19" s="35">
        <f>H19/H5</f>
        <v>1.6854686718543663E-4</v>
      </c>
      <c r="J19" s="34"/>
      <c r="K19" s="35" t="e">
        <f>J19/J5</f>
        <v>#DIV/0!</v>
      </c>
      <c r="L19" s="3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42">
        <f t="shared" si="0"/>
        <v>11</v>
      </c>
      <c r="B20" s="43"/>
      <c r="C20" s="43" t="s">
        <v>444</v>
      </c>
      <c r="D20" s="44"/>
      <c r="E20" s="45">
        <f>D20/D5</f>
        <v>0</v>
      </c>
      <c r="F20" s="44">
        <v>11860209.289999999</v>
      </c>
      <c r="G20" s="45">
        <f>F20/F5</f>
        <v>5.0117902351104852E-3</v>
      </c>
      <c r="H20" s="44">
        <v>6230409.0300000003</v>
      </c>
      <c r="I20" s="45">
        <f>H20/H5</f>
        <v>4.1230912471306161E-3</v>
      </c>
      <c r="J20" s="44"/>
      <c r="K20" s="45" t="e">
        <f>J20/J5</f>
        <v>#DIV/0!</v>
      </c>
      <c r="L20" s="45"/>
      <c r="M20" s="4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3" customHeight="1">
      <c r="A21" s="23"/>
      <c r="B21" s="3"/>
      <c r="C21" s="3"/>
      <c r="D21" s="34"/>
      <c r="E21" s="35"/>
      <c r="F21" s="34"/>
      <c r="G21" s="35"/>
      <c r="H21" s="34"/>
      <c r="I21" s="35"/>
      <c r="J21" s="34"/>
      <c r="K21" s="35"/>
      <c r="L21" s="35"/>
      <c r="M21" s="46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29"/>
      <c r="B22" s="39" t="s">
        <v>495</v>
      </c>
      <c r="C22" s="39"/>
      <c r="D22" s="40">
        <f>SUM(D23:D36)</f>
        <v>0</v>
      </c>
      <c r="E22" s="41">
        <f>D22/D5</f>
        <v>0</v>
      </c>
      <c r="F22" s="40">
        <f>SUM(F23:F36)</f>
        <v>0</v>
      </c>
      <c r="G22" s="41">
        <f>F22/F5</f>
        <v>0</v>
      </c>
      <c r="H22" s="40">
        <f>SUM(H23:H36)</f>
        <v>0</v>
      </c>
      <c r="I22" s="41">
        <f>H22/H5</f>
        <v>0</v>
      </c>
      <c r="J22" s="40">
        <f>SUM(J23:J36)</f>
        <v>0</v>
      </c>
      <c r="K22" s="41" t="e">
        <f>J22/J5</f>
        <v>#DIV/0!</v>
      </c>
      <c r="L22" s="41"/>
      <c r="M22" s="32">
        <v>0.15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42">
        <v>1</v>
      </c>
      <c r="B23" s="43"/>
      <c r="C23" s="43"/>
      <c r="D23" s="44"/>
      <c r="E23" s="45">
        <f>D23/D5</f>
        <v>0</v>
      </c>
      <c r="F23" s="44"/>
      <c r="G23" s="45">
        <f>F23/F5</f>
        <v>0</v>
      </c>
      <c r="H23" s="44"/>
      <c r="I23" s="45">
        <f>H23/H5</f>
        <v>0</v>
      </c>
      <c r="J23" s="44"/>
      <c r="K23" s="45" t="e">
        <f>J23/J5</f>
        <v>#DIV/0!</v>
      </c>
      <c r="L23" s="45"/>
      <c r="M23" s="4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23">
        <f t="shared" ref="A24:A36" si="1">A23+1</f>
        <v>2</v>
      </c>
      <c r="B24" s="3"/>
      <c r="C24" s="3"/>
      <c r="D24" s="34"/>
      <c r="E24" s="35">
        <f>D24/D5</f>
        <v>0</v>
      </c>
      <c r="F24" s="34"/>
      <c r="G24" s="35">
        <f>F24/F5</f>
        <v>0</v>
      </c>
      <c r="H24" s="34"/>
      <c r="I24" s="35">
        <f>H24/H5</f>
        <v>0</v>
      </c>
      <c r="J24" s="34"/>
      <c r="K24" s="35" t="e">
        <f>J24/J5</f>
        <v>#DIV/0!</v>
      </c>
      <c r="L24" s="35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42">
        <f t="shared" si="1"/>
        <v>3</v>
      </c>
      <c r="B25" s="43"/>
      <c r="C25" s="43"/>
      <c r="D25" s="44"/>
      <c r="E25" s="45">
        <f>D25/D5</f>
        <v>0</v>
      </c>
      <c r="F25" s="44"/>
      <c r="G25" s="45">
        <f>F25/F5</f>
        <v>0</v>
      </c>
      <c r="H25" s="44"/>
      <c r="I25" s="45">
        <f>H25/H5</f>
        <v>0</v>
      </c>
      <c r="J25" s="44"/>
      <c r="K25" s="45" t="e">
        <f>J25/J5</f>
        <v>#DIV/0!</v>
      </c>
      <c r="L25" s="45"/>
      <c r="M25" s="4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23">
        <f t="shared" si="1"/>
        <v>4</v>
      </c>
      <c r="B26" s="3"/>
      <c r="C26" s="3"/>
      <c r="D26" s="34"/>
      <c r="E26" s="35">
        <f>D26/D5</f>
        <v>0</v>
      </c>
      <c r="F26" s="34"/>
      <c r="G26" s="35">
        <f>F26/F5</f>
        <v>0</v>
      </c>
      <c r="H26" s="34"/>
      <c r="I26" s="35">
        <f>H26/H5</f>
        <v>0</v>
      </c>
      <c r="J26" s="34"/>
      <c r="K26" s="35" t="e">
        <f>J26/J5</f>
        <v>#DIV/0!</v>
      </c>
      <c r="L26" s="3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42">
        <f t="shared" si="1"/>
        <v>5</v>
      </c>
      <c r="B27" s="43"/>
      <c r="C27" s="43"/>
      <c r="D27" s="44"/>
      <c r="E27" s="45">
        <f>D27/D5</f>
        <v>0</v>
      </c>
      <c r="F27" s="44"/>
      <c r="G27" s="45">
        <f>F27/F5</f>
        <v>0</v>
      </c>
      <c r="H27" s="44"/>
      <c r="I27" s="45">
        <f>H27/H5</f>
        <v>0</v>
      </c>
      <c r="J27" s="44"/>
      <c r="K27" s="45" t="e">
        <f>J27/J5</f>
        <v>#DIV/0!</v>
      </c>
      <c r="L27" s="45"/>
      <c r="M27" s="4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23">
        <f t="shared" si="1"/>
        <v>6</v>
      </c>
      <c r="B28" s="3"/>
      <c r="C28" s="3"/>
      <c r="D28" s="34"/>
      <c r="E28" s="35">
        <f>D28/D5</f>
        <v>0</v>
      </c>
      <c r="F28" s="34"/>
      <c r="G28" s="35">
        <f>F28/F5</f>
        <v>0</v>
      </c>
      <c r="H28" s="34"/>
      <c r="I28" s="35">
        <f>H28/H5</f>
        <v>0</v>
      </c>
      <c r="J28" s="34"/>
      <c r="K28" s="35" t="e">
        <f>J28/J5</f>
        <v>#DIV/0!</v>
      </c>
      <c r="L28" s="35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42">
        <f t="shared" si="1"/>
        <v>7</v>
      </c>
      <c r="B29" s="43"/>
      <c r="C29" s="43"/>
      <c r="D29" s="44"/>
      <c r="E29" s="45">
        <f>D29/D5</f>
        <v>0</v>
      </c>
      <c r="F29" s="44"/>
      <c r="G29" s="45">
        <f>F29/F5</f>
        <v>0</v>
      </c>
      <c r="H29" s="44"/>
      <c r="I29" s="45">
        <f>H29/H5</f>
        <v>0</v>
      </c>
      <c r="J29" s="44"/>
      <c r="K29" s="45" t="e">
        <f>J29/J5</f>
        <v>#DIV/0!</v>
      </c>
      <c r="L29" s="45"/>
      <c r="M29" s="4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23">
        <f t="shared" si="1"/>
        <v>8</v>
      </c>
      <c r="B30" s="3"/>
      <c r="C30" s="3"/>
      <c r="D30" s="34"/>
      <c r="E30" s="35">
        <f>D30/D5</f>
        <v>0</v>
      </c>
      <c r="F30" s="34"/>
      <c r="G30" s="35">
        <f>F30/F5</f>
        <v>0</v>
      </c>
      <c r="H30" s="34"/>
      <c r="I30" s="35">
        <f>H30/H5</f>
        <v>0</v>
      </c>
      <c r="J30" s="34"/>
      <c r="K30" s="35" t="e">
        <f>J30/J5</f>
        <v>#DIV/0!</v>
      </c>
      <c r="L30" s="35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42">
        <f t="shared" si="1"/>
        <v>9</v>
      </c>
      <c r="B31" s="43"/>
      <c r="C31" s="43"/>
      <c r="D31" s="44"/>
      <c r="E31" s="45">
        <f>D31/D5</f>
        <v>0</v>
      </c>
      <c r="F31" s="44"/>
      <c r="G31" s="45">
        <f>F31/F5</f>
        <v>0</v>
      </c>
      <c r="H31" s="44"/>
      <c r="I31" s="45">
        <f>H31/H5</f>
        <v>0</v>
      </c>
      <c r="J31" s="44"/>
      <c r="K31" s="45" t="e">
        <f>J31/J5</f>
        <v>#DIV/0!</v>
      </c>
      <c r="L31" s="45"/>
      <c r="M31" s="4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3">
        <f t="shared" si="1"/>
        <v>10</v>
      </c>
      <c r="B32" s="3"/>
      <c r="C32" s="3"/>
      <c r="D32" s="34"/>
      <c r="E32" s="35">
        <f>D32/D5</f>
        <v>0</v>
      </c>
      <c r="F32" s="34"/>
      <c r="G32" s="35">
        <f>F32/F5</f>
        <v>0</v>
      </c>
      <c r="H32" s="34"/>
      <c r="I32" s="35">
        <f>H32/H5</f>
        <v>0</v>
      </c>
      <c r="J32" s="34"/>
      <c r="K32" s="35" t="e">
        <f>J32/J5</f>
        <v>#DIV/0!</v>
      </c>
      <c r="L32" s="35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42">
        <f t="shared" si="1"/>
        <v>11</v>
      </c>
      <c r="B33" s="43"/>
      <c r="C33" s="43"/>
      <c r="D33" s="44"/>
      <c r="E33" s="45">
        <f>D33/D5</f>
        <v>0</v>
      </c>
      <c r="F33" s="44"/>
      <c r="G33" s="45">
        <f>F33/F5</f>
        <v>0</v>
      </c>
      <c r="H33" s="44"/>
      <c r="I33" s="45">
        <f>H33/H5</f>
        <v>0</v>
      </c>
      <c r="J33" s="44"/>
      <c r="K33" s="45" t="e">
        <f>J33/J5</f>
        <v>#DIV/0!</v>
      </c>
      <c r="L33" s="45"/>
      <c r="M33" s="4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23">
        <f t="shared" si="1"/>
        <v>12</v>
      </c>
      <c r="B34" s="3"/>
      <c r="C34" s="3"/>
      <c r="D34" s="34"/>
      <c r="E34" s="35">
        <f>D34/D5</f>
        <v>0</v>
      </c>
      <c r="F34" s="34"/>
      <c r="G34" s="35">
        <f>F34/F5</f>
        <v>0</v>
      </c>
      <c r="H34" s="34"/>
      <c r="I34" s="35">
        <f>H34/H5</f>
        <v>0</v>
      </c>
      <c r="J34" s="34"/>
      <c r="K34" s="35" t="e">
        <f>J34/J5</f>
        <v>#DIV/0!</v>
      </c>
      <c r="L34" s="35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42">
        <f t="shared" si="1"/>
        <v>13</v>
      </c>
      <c r="B35" s="43"/>
      <c r="C35" s="43"/>
      <c r="D35" s="44"/>
      <c r="E35" s="45">
        <f>D35/D5</f>
        <v>0</v>
      </c>
      <c r="F35" s="44"/>
      <c r="G35" s="45">
        <f>F35/F5</f>
        <v>0</v>
      </c>
      <c r="H35" s="44"/>
      <c r="I35" s="45">
        <f>H35/H5</f>
        <v>0</v>
      </c>
      <c r="J35" s="44"/>
      <c r="K35" s="45" t="e">
        <f>J35/J5</f>
        <v>#DIV/0!</v>
      </c>
      <c r="L35" s="45"/>
      <c r="M35" s="4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>
        <f t="shared" si="1"/>
        <v>14</v>
      </c>
      <c r="B36" s="3"/>
      <c r="C36" s="3"/>
      <c r="D36" s="34"/>
      <c r="E36" s="35">
        <f>D36/D5</f>
        <v>0</v>
      </c>
      <c r="F36" s="34"/>
      <c r="G36" s="35">
        <f>F36/F5</f>
        <v>0</v>
      </c>
      <c r="H36" s="34"/>
      <c r="I36" s="35">
        <f>H36/H5</f>
        <v>0</v>
      </c>
      <c r="J36" s="34"/>
      <c r="K36" s="35" t="e">
        <f>J36/J5</f>
        <v>#DIV/0!</v>
      </c>
      <c r="L36" s="35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3" customHeight="1">
      <c r="A37" s="47"/>
      <c r="B37" s="48"/>
      <c r="C37" s="48"/>
      <c r="D37" s="48"/>
      <c r="E37" s="49"/>
      <c r="F37" s="48"/>
      <c r="G37" s="49"/>
      <c r="H37" s="48"/>
      <c r="I37" s="49"/>
      <c r="J37" s="48"/>
      <c r="K37" s="49"/>
      <c r="L37" s="48"/>
      <c r="M37" s="48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5"/>
      <c r="F38" s="3"/>
      <c r="G38" s="35"/>
      <c r="H38" s="3"/>
      <c r="I38" s="35"/>
      <c r="J38" s="3"/>
      <c r="K38" s="35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D2:E2"/>
    <mergeCell ref="F2:G2"/>
    <mergeCell ref="H2:I2"/>
    <mergeCell ref="J2:K2"/>
    <mergeCell ref="D3:E3"/>
    <mergeCell ref="F3:G3"/>
    <mergeCell ref="H3:I3"/>
    <mergeCell ref="J3:K3"/>
  </mergeCells>
  <pageMargins left="0.511811024" right="0.511811024" top="0.78740157499999996" bottom="0.78740157499999996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2.375" customWidth="1"/>
    <col min="7" max="7" width="6.375" customWidth="1"/>
    <col min="8" max="8" width="12.375" customWidth="1"/>
    <col min="9" max="9" width="6.375" customWidth="1"/>
    <col min="10" max="10" width="14" customWidth="1"/>
    <col min="11" max="11" width="6.375" customWidth="1"/>
    <col min="12" max="12" width="12.375" customWidth="1"/>
    <col min="13" max="13" width="6.375" customWidth="1"/>
    <col min="14" max="14" width="15" customWidth="1"/>
    <col min="15" max="15" width="6.625" customWidth="1"/>
    <col min="16" max="16" width="15" customWidth="1"/>
    <col min="17" max="17" width="6.625" customWidth="1"/>
    <col min="18" max="18" width="0.625" customWidth="1"/>
    <col min="19" max="19" width="7.5" customWidth="1"/>
    <col min="20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78" t="s">
        <v>506</v>
      </c>
      <c r="M2" s="79"/>
      <c r="N2" s="78" t="s">
        <v>507</v>
      </c>
      <c r="O2" s="79"/>
      <c r="P2" s="78" t="s">
        <v>508</v>
      </c>
      <c r="Q2" s="79"/>
      <c r="R2" s="25"/>
      <c r="S2" s="25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320</v>
      </c>
      <c r="E3" s="83"/>
      <c r="F3" s="82" t="s">
        <v>596</v>
      </c>
      <c r="G3" s="83"/>
      <c r="H3" s="82" t="s">
        <v>597</v>
      </c>
      <c r="I3" s="83"/>
      <c r="J3" s="82" t="s">
        <v>598</v>
      </c>
      <c r="K3" s="83"/>
      <c r="L3" s="82" t="s">
        <v>599</v>
      </c>
      <c r="M3" s="83"/>
      <c r="N3" s="82"/>
      <c r="O3" s="83"/>
      <c r="P3" s="82"/>
      <c r="Q3" s="83"/>
      <c r="R3" s="84"/>
      <c r="S3" s="85" t="s">
        <v>491</v>
      </c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3210436032</v>
      </c>
      <c r="E5" s="32">
        <f>D5/D5</f>
        <v>1</v>
      </c>
      <c r="F5" s="31">
        <f>445615081</f>
        <v>445615081</v>
      </c>
      <c r="G5" s="32">
        <f>F5/F5</f>
        <v>1</v>
      </c>
      <c r="H5" s="31">
        <f>332962481</f>
        <v>332962481</v>
      </c>
      <c r="I5" s="32">
        <f>H5/H5</f>
        <v>1</v>
      </c>
      <c r="J5" s="31">
        <v>1963404625</v>
      </c>
      <c r="K5" s="32">
        <f>J5/J5</f>
        <v>1</v>
      </c>
      <c r="L5" s="31">
        <v>482222782</v>
      </c>
      <c r="M5" s="32">
        <f>L5/L5</f>
        <v>1</v>
      </c>
      <c r="N5" s="31"/>
      <c r="O5" s="32" t="e">
        <f>N5/N5</f>
        <v>#DIV/0!</v>
      </c>
      <c r="P5" s="31"/>
      <c r="Q5" s="32" t="e">
        <f>P5/P5</f>
        <v>#DIV/0!</v>
      </c>
      <c r="R5" s="32"/>
      <c r="S5" s="3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4"/>
      <c r="M6" s="35"/>
      <c r="N6" s="34"/>
      <c r="O6" s="35"/>
      <c r="P6" s="34"/>
      <c r="Q6" s="35"/>
      <c r="R6" s="35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SUM(D9,D22)</f>
        <v>11938216</v>
      </c>
      <c r="E7" s="38">
        <f>D7/D5</f>
        <v>3.7185652917566059E-3</v>
      </c>
      <c r="F7" s="37">
        <f>SUM(F9,F22)</f>
        <v>1696651</v>
      </c>
      <c r="G7" s="38">
        <f>F7/F5</f>
        <v>3.8074362209478273E-3</v>
      </c>
      <c r="H7" s="37">
        <f>SUM(H9,H22)</f>
        <v>1372605</v>
      </c>
      <c r="I7" s="38">
        <f>H7/H5</f>
        <v>4.1224014065416575E-3</v>
      </c>
      <c r="J7" s="37">
        <f>SUM(J9,J22)</f>
        <v>9308173</v>
      </c>
      <c r="K7" s="38">
        <f>J7/J5</f>
        <v>4.7408327766366547E-3</v>
      </c>
      <c r="L7" s="37">
        <f>SUM(L9,L22)</f>
        <v>2069876</v>
      </c>
      <c r="M7" s="38">
        <f>L7/L5</f>
        <v>4.2923646025500306E-3</v>
      </c>
      <c r="N7" s="37">
        <f>SUM(N9,N22)</f>
        <v>0</v>
      </c>
      <c r="O7" s="38" t="e">
        <f>N7/N5</f>
        <v>#DIV/0!</v>
      </c>
      <c r="P7" s="37">
        <f>SUM(P9,P22)</f>
        <v>0</v>
      </c>
      <c r="Q7" s="38" t="e">
        <f>P7/P5</f>
        <v>#DIV/0!</v>
      </c>
      <c r="R7" s="38"/>
      <c r="S7" s="32">
        <v>0.2</v>
      </c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4"/>
      <c r="M8" s="35"/>
      <c r="N8" s="34"/>
      <c r="O8" s="35"/>
      <c r="P8" s="34"/>
      <c r="Q8" s="35"/>
      <c r="R8" s="35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SUM(D10:D20)</f>
        <v>11936755</v>
      </c>
      <c r="E9" s="41">
        <f>D9/D5</f>
        <v>3.7181102133854943E-3</v>
      </c>
      <c r="F9" s="40">
        <f>SUM(F10:F20)</f>
        <v>1696648</v>
      </c>
      <c r="G9" s="41">
        <f>F9/F5</f>
        <v>3.8074294886801642E-3</v>
      </c>
      <c r="H9" s="40">
        <f>SUM(H10:H20)</f>
        <v>1372437</v>
      </c>
      <c r="I9" s="41">
        <f>H9/H5</f>
        <v>4.1218968451883923E-3</v>
      </c>
      <c r="J9" s="40">
        <f>SUM(J10:J20)</f>
        <v>9307034</v>
      </c>
      <c r="K9" s="41">
        <f>J9/J5</f>
        <v>4.7402526618780883E-3</v>
      </c>
      <c r="L9" s="40">
        <f>SUM(L10:L20)</f>
        <v>2069623</v>
      </c>
      <c r="M9" s="41">
        <f>L9/L5</f>
        <v>4.2918399487811842E-3</v>
      </c>
      <c r="N9" s="40">
        <f>SUM(N10:N20)</f>
        <v>0</v>
      </c>
      <c r="O9" s="41" t="e">
        <f>N9/N5</f>
        <v>#DIV/0!</v>
      </c>
      <c r="P9" s="40">
        <f>SUM(P10:P20)</f>
        <v>0</v>
      </c>
      <c r="Q9" s="41" t="e">
        <f>P9/P5</f>
        <v>#DIV/0!</v>
      </c>
      <c r="R9" s="41"/>
      <c r="S9" s="32">
        <v>0.15</v>
      </c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332</v>
      </c>
      <c r="D10" s="44">
        <v>3267696</v>
      </c>
      <c r="E10" s="45">
        <f>D10/D5</f>
        <v>1.0178355735573803E-3</v>
      </c>
      <c r="F10" s="44">
        <v>464459</v>
      </c>
      <c r="G10" s="45">
        <f>F10/F5</f>
        <v>1.0422874355098409E-3</v>
      </c>
      <c r="H10" s="44">
        <v>375706</v>
      </c>
      <c r="I10" s="45">
        <f>H10/H5</f>
        <v>1.1283733797022013E-3</v>
      </c>
      <c r="J10" s="44">
        <v>2547808</v>
      </c>
      <c r="K10" s="45">
        <f>J10/J5</f>
        <v>1.2976479567985127E-3</v>
      </c>
      <c r="L10" s="44">
        <v>566561</v>
      </c>
      <c r="M10" s="45">
        <f>L10/L5</f>
        <v>1.1748947190968675E-3</v>
      </c>
      <c r="N10" s="44"/>
      <c r="O10" s="45" t="e">
        <f>N10/N5</f>
        <v>#DIV/0!</v>
      </c>
      <c r="P10" s="44"/>
      <c r="Q10" s="45" t="e">
        <f>P10/P5</f>
        <v>#DIV/0!</v>
      </c>
      <c r="R10" s="45"/>
      <c r="S10" s="4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20" si="0">A10+1</f>
        <v>2</v>
      </c>
      <c r="B11" s="3"/>
      <c r="C11" s="3" t="s">
        <v>442</v>
      </c>
      <c r="D11" s="34">
        <v>1199963</v>
      </c>
      <c r="E11" s="35">
        <f>D11/D5</f>
        <v>3.7376947805200811E-4</v>
      </c>
      <c r="F11" s="34">
        <v>170558</v>
      </c>
      <c r="G11" s="35">
        <f>F11/F5</f>
        <v>3.827473693602394E-4</v>
      </c>
      <c r="H11" s="34">
        <v>137967</v>
      </c>
      <c r="I11" s="35">
        <f>H11/H5</f>
        <v>4.1436200134513054E-4</v>
      </c>
      <c r="J11" s="34">
        <v>935605</v>
      </c>
      <c r="K11" s="35">
        <f>J11/J5</f>
        <v>4.765217459951741E-4</v>
      </c>
      <c r="L11" s="34">
        <v>208052</v>
      </c>
      <c r="M11" s="35">
        <f>L11/L5</f>
        <v>4.3144373879871979E-4</v>
      </c>
      <c r="N11" s="34"/>
      <c r="O11" s="35" t="e">
        <f>N11/N5</f>
        <v>#DIV/0!</v>
      </c>
      <c r="P11" s="34"/>
      <c r="Q11" s="35" t="e">
        <f>P11/P5</f>
        <v>#DIV/0!</v>
      </c>
      <c r="R11" s="35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326</v>
      </c>
      <c r="D12" s="44">
        <v>7428433</v>
      </c>
      <c r="E12" s="45">
        <f>D12/D5</f>
        <v>2.313839281006425E-3</v>
      </c>
      <c r="F12" s="44">
        <v>1055851</v>
      </c>
      <c r="G12" s="45">
        <f>F12/F5</f>
        <v>2.3694238481125371E-3</v>
      </c>
      <c r="H12" s="44">
        <v>854089</v>
      </c>
      <c r="I12" s="45">
        <f>H12/H5</f>
        <v>2.5651208431498925E-3</v>
      </c>
      <c r="J12" s="44">
        <v>5791916</v>
      </c>
      <c r="K12" s="45">
        <f>J12/J5</f>
        <v>2.9499349885660987E-3</v>
      </c>
      <c r="L12" s="44">
        <v>1287960</v>
      </c>
      <c r="M12" s="45">
        <f>L12/L5</f>
        <v>2.6708816921884875E-3</v>
      </c>
      <c r="N12" s="44"/>
      <c r="O12" s="45" t="e">
        <f>N12/N5</f>
        <v>#DIV/0!</v>
      </c>
      <c r="P12" s="44"/>
      <c r="Q12" s="45" t="e">
        <f>P12/P5</f>
        <v>#DIV/0!</v>
      </c>
      <c r="R12" s="45"/>
      <c r="S12" s="4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398</v>
      </c>
      <c r="D13" s="34">
        <v>40663</v>
      </c>
      <c r="E13" s="35">
        <f>D13/D5</f>
        <v>1.2665880769681071E-5</v>
      </c>
      <c r="F13" s="34">
        <v>5780</v>
      </c>
      <c r="G13" s="35">
        <f>F13/F5</f>
        <v>1.2970835697546781E-5</v>
      </c>
      <c r="H13" s="34">
        <v>4675</v>
      </c>
      <c r="I13" s="35">
        <f>H13/H5</f>
        <v>1.404062099116807E-5</v>
      </c>
      <c r="J13" s="34">
        <v>31705</v>
      </c>
      <c r="K13" s="35">
        <f>J13/J5</f>
        <v>1.6147970518303123E-5</v>
      </c>
      <c r="L13" s="34">
        <v>7050</v>
      </c>
      <c r="M13" s="35">
        <f>L13/L5</f>
        <v>1.4619798697109254E-5</v>
      </c>
      <c r="N13" s="34"/>
      <c r="O13" s="35" t="e">
        <f>N13/N5</f>
        <v>#DIV/0!</v>
      </c>
      <c r="P13" s="34"/>
      <c r="Q13" s="35" t="e">
        <f>P13/P5</f>
        <v>#DIV/0!</v>
      </c>
      <c r="R13" s="35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>
        <f>F14/F5</f>
        <v>0</v>
      </c>
      <c r="H14" s="44"/>
      <c r="I14" s="45">
        <f>H14/H5</f>
        <v>0</v>
      </c>
      <c r="J14" s="44"/>
      <c r="K14" s="45">
        <f>J14/J5</f>
        <v>0</v>
      </c>
      <c r="L14" s="44"/>
      <c r="M14" s="45">
        <f>L14/L5</f>
        <v>0</v>
      </c>
      <c r="N14" s="44"/>
      <c r="O14" s="45" t="e">
        <f>N14/N5</f>
        <v>#DIV/0!</v>
      </c>
      <c r="P14" s="44"/>
      <c r="Q14" s="45" t="e">
        <f>P14/P5</f>
        <v>#DIV/0!</v>
      </c>
      <c r="R14" s="45"/>
      <c r="S14" s="4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>
        <f>F15/F5</f>
        <v>0</v>
      </c>
      <c r="H15" s="34"/>
      <c r="I15" s="35">
        <f>H15/H5</f>
        <v>0</v>
      </c>
      <c r="J15" s="34"/>
      <c r="K15" s="35">
        <f>J15/J5</f>
        <v>0</v>
      </c>
      <c r="L15" s="34"/>
      <c r="M15" s="35">
        <f>L15/L5</f>
        <v>0</v>
      </c>
      <c r="N15" s="34"/>
      <c r="O15" s="35" t="e">
        <f>N15/N5</f>
        <v>#DIV/0!</v>
      </c>
      <c r="P15" s="34"/>
      <c r="Q15" s="35" t="e">
        <f>P15/P5</f>
        <v>#DIV/0!</v>
      </c>
      <c r="R15" s="35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>
        <f>F16/F5</f>
        <v>0</v>
      </c>
      <c r="H16" s="44"/>
      <c r="I16" s="45">
        <f>H16/H5</f>
        <v>0</v>
      </c>
      <c r="J16" s="44"/>
      <c r="K16" s="45">
        <f>J16/J5</f>
        <v>0</v>
      </c>
      <c r="L16" s="44"/>
      <c r="M16" s="45">
        <f>L16/L5</f>
        <v>0</v>
      </c>
      <c r="N16" s="44"/>
      <c r="O16" s="45" t="e">
        <f>N16/N5</f>
        <v>#DIV/0!</v>
      </c>
      <c r="P16" s="44"/>
      <c r="Q16" s="45" t="e">
        <f>P16/P5</f>
        <v>#DIV/0!</v>
      </c>
      <c r="R16" s="45"/>
      <c r="S16" s="4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4"/>
      <c r="I17" s="35">
        <f>H17/H5</f>
        <v>0</v>
      </c>
      <c r="J17" s="34"/>
      <c r="K17" s="35">
        <f>J17/J5</f>
        <v>0</v>
      </c>
      <c r="L17" s="34"/>
      <c r="M17" s="35">
        <f>L17/L5</f>
        <v>0</v>
      </c>
      <c r="N17" s="34"/>
      <c r="O17" s="35" t="e">
        <f>N17/N5</f>
        <v>#DIV/0!</v>
      </c>
      <c r="P17" s="34"/>
      <c r="Q17" s="35" t="e">
        <f>P17/P5</f>
        <v>#DIV/0!</v>
      </c>
      <c r="R17" s="35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4"/>
      <c r="I18" s="45">
        <f>H18/H5</f>
        <v>0</v>
      </c>
      <c r="J18" s="44"/>
      <c r="K18" s="45">
        <f>J18/J5</f>
        <v>0</v>
      </c>
      <c r="L18" s="44"/>
      <c r="M18" s="45">
        <f>L18/L5</f>
        <v>0</v>
      </c>
      <c r="N18" s="44"/>
      <c r="O18" s="45" t="e">
        <f>N18/N5</f>
        <v>#DIV/0!</v>
      </c>
      <c r="P18" s="44"/>
      <c r="Q18" s="45" t="e">
        <f>P18/P5</f>
        <v>#DIV/0!</v>
      </c>
      <c r="R18" s="45"/>
      <c r="S18" s="4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4"/>
      <c r="K19" s="35">
        <f>J19/J5</f>
        <v>0</v>
      </c>
      <c r="L19" s="34"/>
      <c r="M19" s="35">
        <f>L19/L5</f>
        <v>0</v>
      </c>
      <c r="N19" s="34"/>
      <c r="O19" s="35" t="e">
        <f>N19/N5</f>
        <v>#DIV/0!</v>
      </c>
      <c r="P19" s="34"/>
      <c r="Q19" s="35" t="e">
        <f>P19/P5</f>
        <v>#DIV/0!</v>
      </c>
      <c r="R19" s="35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42">
        <f t="shared" si="0"/>
        <v>11</v>
      </c>
      <c r="B20" s="43"/>
      <c r="C20" s="43"/>
      <c r="D20" s="44"/>
      <c r="E20" s="45">
        <f>D20/D5</f>
        <v>0</v>
      </c>
      <c r="F20" s="44"/>
      <c r="G20" s="45">
        <f>F20/F5</f>
        <v>0</v>
      </c>
      <c r="H20" s="44"/>
      <c r="I20" s="45">
        <f>H20/H5</f>
        <v>0</v>
      </c>
      <c r="J20" s="44"/>
      <c r="K20" s="45">
        <f>J20/J5</f>
        <v>0</v>
      </c>
      <c r="L20" s="44"/>
      <c r="M20" s="45">
        <f>L20/L5</f>
        <v>0</v>
      </c>
      <c r="N20" s="44"/>
      <c r="O20" s="45" t="e">
        <f>N20/N5</f>
        <v>#DIV/0!</v>
      </c>
      <c r="P20" s="44"/>
      <c r="Q20" s="45" t="e">
        <f>P20/P5</f>
        <v>#DIV/0!</v>
      </c>
      <c r="R20" s="45"/>
      <c r="S20" s="43"/>
      <c r="T20" s="3"/>
      <c r="U20" s="3"/>
      <c r="V20" s="3"/>
      <c r="W20" s="3"/>
      <c r="X20" s="3"/>
      <c r="Y20" s="3"/>
      <c r="Z20" s="3"/>
    </row>
    <row r="21" spans="1:26" ht="3" customHeight="1">
      <c r="A21" s="23"/>
      <c r="B21" s="3"/>
      <c r="C21" s="3"/>
      <c r="D21" s="34"/>
      <c r="E21" s="35"/>
      <c r="F21" s="34"/>
      <c r="G21" s="35"/>
      <c r="H21" s="34"/>
      <c r="I21" s="35"/>
      <c r="J21" s="34"/>
      <c r="K21" s="35"/>
      <c r="L21" s="34"/>
      <c r="M21" s="35"/>
      <c r="N21" s="34"/>
      <c r="O21" s="35"/>
      <c r="P21" s="34"/>
      <c r="Q21" s="35"/>
      <c r="R21" s="35"/>
      <c r="S21" s="46"/>
      <c r="T21" s="3"/>
      <c r="U21" s="3"/>
      <c r="V21" s="3"/>
      <c r="W21" s="3"/>
      <c r="X21" s="3"/>
      <c r="Y21" s="3"/>
      <c r="Z21" s="3"/>
    </row>
    <row r="22" spans="1:26" ht="12.75" customHeight="1">
      <c r="A22" s="29"/>
      <c r="B22" s="39" t="s">
        <v>495</v>
      </c>
      <c r="C22" s="39"/>
      <c r="D22" s="40">
        <f>SUM(D23:D36)</f>
        <v>1461</v>
      </c>
      <c r="E22" s="41">
        <f>D22/D5</f>
        <v>4.5507837111142913E-7</v>
      </c>
      <c r="F22" s="40">
        <f>SUM(F23:F36)</f>
        <v>3</v>
      </c>
      <c r="G22" s="41">
        <f>F22/F5</f>
        <v>6.7322676630865644E-9</v>
      </c>
      <c r="H22" s="40">
        <f>SUM(H23:H36)</f>
        <v>168</v>
      </c>
      <c r="I22" s="41">
        <f>H22/H5</f>
        <v>5.0456135326550502E-7</v>
      </c>
      <c r="J22" s="40">
        <f>SUM(J23:J36)</f>
        <v>1139</v>
      </c>
      <c r="K22" s="41">
        <f>J22/J5</f>
        <v>5.8011475856638565E-7</v>
      </c>
      <c r="L22" s="40">
        <f>SUM(L23:L36)</f>
        <v>253</v>
      </c>
      <c r="M22" s="41">
        <f>L22/L5</f>
        <v>5.2465376884661582E-7</v>
      </c>
      <c r="N22" s="40">
        <f>SUM(N23:N36)</f>
        <v>0</v>
      </c>
      <c r="O22" s="41" t="e">
        <f>N22/N5</f>
        <v>#DIV/0!</v>
      </c>
      <c r="P22" s="40">
        <f>SUM(P23:P36)</f>
        <v>0</v>
      </c>
      <c r="Q22" s="41" t="e">
        <f>P22/P5</f>
        <v>#DIV/0!</v>
      </c>
      <c r="R22" s="41"/>
      <c r="S22" s="32">
        <v>0.15</v>
      </c>
      <c r="T22" s="3"/>
      <c r="U22" s="3"/>
      <c r="V22" s="3"/>
      <c r="W22" s="3"/>
      <c r="X22" s="3"/>
      <c r="Y22" s="3"/>
      <c r="Z22" s="3"/>
    </row>
    <row r="23" spans="1:26" ht="12.75" customHeight="1">
      <c r="A23" s="42">
        <v>1</v>
      </c>
      <c r="B23" s="43"/>
      <c r="C23" s="43" t="s">
        <v>321</v>
      </c>
      <c r="D23" s="44">
        <v>1461</v>
      </c>
      <c r="E23" s="45">
        <f>D23/D5</f>
        <v>4.5507837111142913E-7</v>
      </c>
      <c r="F23" s="44">
        <v>3</v>
      </c>
      <c r="G23" s="45">
        <f>F23/F5</f>
        <v>6.7322676630865644E-9</v>
      </c>
      <c r="H23" s="44">
        <v>168</v>
      </c>
      <c r="I23" s="45">
        <f>H23/H5</f>
        <v>5.0456135326550502E-7</v>
      </c>
      <c r="J23" s="44">
        <v>1139</v>
      </c>
      <c r="K23" s="45">
        <f>J23/J5</f>
        <v>5.8011475856638565E-7</v>
      </c>
      <c r="L23" s="44">
        <v>253</v>
      </c>
      <c r="M23" s="45">
        <f>L23/L5</f>
        <v>5.2465376884661582E-7</v>
      </c>
      <c r="N23" s="44"/>
      <c r="O23" s="45" t="e">
        <f>N23/N5</f>
        <v>#DIV/0!</v>
      </c>
      <c r="P23" s="44"/>
      <c r="Q23" s="45" t="e">
        <f>P23/P5</f>
        <v>#DIV/0!</v>
      </c>
      <c r="R23" s="45"/>
      <c r="S23" s="43"/>
      <c r="T23" s="3"/>
      <c r="U23" s="3"/>
      <c r="V23" s="3"/>
      <c r="W23" s="3"/>
      <c r="X23" s="3"/>
      <c r="Y23" s="3"/>
      <c r="Z23" s="3"/>
    </row>
    <row r="24" spans="1:26" ht="12.75" customHeight="1">
      <c r="A24" s="23">
        <f t="shared" ref="A24:A36" si="1">A23+1</f>
        <v>2</v>
      </c>
      <c r="B24" s="3"/>
      <c r="C24" s="3"/>
      <c r="D24" s="34"/>
      <c r="E24" s="35">
        <f>D24/D5</f>
        <v>0</v>
      </c>
      <c r="F24" s="34"/>
      <c r="G24" s="35">
        <f>F24/F5</f>
        <v>0</v>
      </c>
      <c r="H24" s="34"/>
      <c r="I24" s="35">
        <f>H24/H5</f>
        <v>0</v>
      </c>
      <c r="J24" s="34"/>
      <c r="K24" s="35">
        <f>J24/J5</f>
        <v>0</v>
      </c>
      <c r="L24" s="34"/>
      <c r="M24" s="35">
        <f>L24/L5</f>
        <v>0</v>
      </c>
      <c r="N24" s="34"/>
      <c r="O24" s="35" t="e">
        <f>N24/N5</f>
        <v>#DIV/0!</v>
      </c>
      <c r="P24" s="34"/>
      <c r="Q24" s="35" t="e">
        <f>P24/P5</f>
        <v>#DIV/0!</v>
      </c>
      <c r="R24" s="35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42">
        <f t="shared" si="1"/>
        <v>3</v>
      </c>
      <c r="B25" s="43"/>
      <c r="C25" s="43"/>
      <c r="D25" s="44"/>
      <c r="E25" s="45">
        <f>D25/D5</f>
        <v>0</v>
      </c>
      <c r="F25" s="44"/>
      <c r="G25" s="45">
        <f>F25/F5</f>
        <v>0</v>
      </c>
      <c r="H25" s="44"/>
      <c r="I25" s="45">
        <f>H25/H5</f>
        <v>0</v>
      </c>
      <c r="J25" s="44"/>
      <c r="K25" s="45">
        <f>J25/J5</f>
        <v>0</v>
      </c>
      <c r="L25" s="44"/>
      <c r="M25" s="45">
        <f>L25/L5</f>
        <v>0</v>
      </c>
      <c r="N25" s="44"/>
      <c r="O25" s="45" t="e">
        <f>N25/N5</f>
        <v>#DIV/0!</v>
      </c>
      <c r="P25" s="44"/>
      <c r="Q25" s="45" t="e">
        <f>P25/P5</f>
        <v>#DIV/0!</v>
      </c>
      <c r="R25" s="45"/>
      <c r="S25" s="43"/>
      <c r="T25" s="3"/>
      <c r="U25" s="3"/>
      <c r="V25" s="3"/>
      <c r="W25" s="3"/>
      <c r="X25" s="3"/>
      <c r="Y25" s="3"/>
      <c r="Z25" s="3"/>
    </row>
    <row r="26" spans="1:26" ht="12.75" customHeight="1">
      <c r="A26" s="23">
        <f t="shared" si="1"/>
        <v>4</v>
      </c>
      <c r="B26" s="3"/>
      <c r="C26" s="3"/>
      <c r="D26" s="34"/>
      <c r="E26" s="35">
        <f>D26/D5</f>
        <v>0</v>
      </c>
      <c r="F26" s="34"/>
      <c r="G26" s="35">
        <f>F26/F5</f>
        <v>0</v>
      </c>
      <c r="H26" s="34"/>
      <c r="I26" s="35">
        <f>H26/H5</f>
        <v>0</v>
      </c>
      <c r="J26" s="34"/>
      <c r="K26" s="35">
        <f>J26/J5</f>
        <v>0</v>
      </c>
      <c r="L26" s="34"/>
      <c r="M26" s="35">
        <f>L26/L5</f>
        <v>0</v>
      </c>
      <c r="N26" s="34"/>
      <c r="O26" s="35" t="e">
        <f>N26/N5</f>
        <v>#DIV/0!</v>
      </c>
      <c r="P26" s="34"/>
      <c r="Q26" s="35" t="e">
        <f>P26/P5</f>
        <v>#DIV/0!</v>
      </c>
      <c r="R26" s="35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42">
        <f t="shared" si="1"/>
        <v>5</v>
      </c>
      <c r="B27" s="43"/>
      <c r="C27" s="43"/>
      <c r="D27" s="44"/>
      <c r="E27" s="45">
        <f>D27/D5</f>
        <v>0</v>
      </c>
      <c r="F27" s="44"/>
      <c r="G27" s="45">
        <f>F27/F5</f>
        <v>0</v>
      </c>
      <c r="H27" s="44"/>
      <c r="I27" s="45">
        <f>H27/H5</f>
        <v>0</v>
      </c>
      <c r="J27" s="44"/>
      <c r="K27" s="45">
        <f>J27/J5</f>
        <v>0</v>
      </c>
      <c r="L27" s="44"/>
      <c r="M27" s="45">
        <f>L27/L5</f>
        <v>0</v>
      </c>
      <c r="N27" s="44"/>
      <c r="O27" s="45" t="e">
        <f>N27/N5</f>
        <v>#DIV/0!</v>
      </c>
      <c r="P27" s="44"/>
      <c r="Q27" s="45" t="e">
        <f>P27/P5</f>
        <v>#DIV/0!</v>
      </c>
      <c r="R27" s="45"/>
      <c r="S27" s="43"/>
      <c r="T27" s="3"/>
      <c r="U27" s="3"/>
      <c r="V27" s="3"/>
      <c r="W27" s="3"/>
      <c r="X27" s="3"/>
      <c r="Y27" s="3"/>
      <c r="Z27" s="3"/>
    </row>
    <row r="28" spans="1:26" ht="12.75" customHeight="1">
      <c r="A28" s="23">
        <f t="shared" si="1"/>
        <v>6</v>
      </c>
      <c r="B28" s="3"/>
      <c r="C28" s="3"/>
      <c r="D28" s="34"/>
      <c r="E28" s="35">
        <f>D28/D5</f>
        <v>0</v>
      </c>
      <c r="F28" s="34"/>
      <c r="G28" s="35">
        <f>F28/F5</f>
        <v>0</v>
      </c>
      <c r="H28" s="34"/>
      <c r="I28" s="35">
        <f>H28/H5</f>
        <v>0</v>
      </c>
      <c r="J28" s="34"/>
      <c r="K28" s="35">
        <f>J28/J5</f>
        <v>0</v>
      </c>
      <c r="L28" s="34"/>
      <c r="M28" s="35">
        <f>L28/L5</f>
        <v>0</v>
      </c>
      <c r="N28" s="34"/>
      <c r="O28" s="35" t="e">
        <f>N28/N5</f>
        <v>#DIV/0!</v>
      </c>
      <c r="P28" s="34"/>
      <c r="Q28" s="35" t="e">
        <f>P28/P5</f>
        <v>#DIV/0!</v>
      </c>
      <c r="R28" s="35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42">
        <f t="shared" si="1"/>
        <v>7</v>
      </c>
      <c r="B29" s="43"/>
      <c r="C29" s="43"/>
      <c r="D29" s="44"/>
      <c r="E29" s="45">
        <f>D29/D5</f>
        <v>0</v>
      </c>
      <c r="F29" s="44"/>
      <c r="G29" s="45">
        <f>F29/F5</f>
        <v>0</v>
      </c>
      <c r="H29" s="44"/>
      <c r="I29" s="45">
        <f>H29/H5</f>
        <v>0</v>
      </c>
      <c r="J29" s="44"/>
      <c r="K29" s="45">
        <f>J29/J5</f>
        <v>0</v>
      </c>
      <c r="L29" s="44"/>
      <c r="M29" s="45">
        <f>L29/L5</f>
        <v>0</v>
      </c>
      <c r="N29" s="44"/>
      <c r="O29" s="45" t="e">
        <f>N29/N5</f>
        <v>#DIV/0!</v>
      </c>
      <c r="P29" s="44"/>
      <c r="Q29" s="45" t="e">
        <f>P29/P5</f>
        <v>#DIV/0!</v>
      </c>
      <c r="R29" s="45"/>
      <c r="S29" s="43"/>
      <c r="T29" s="3"/>
      <c r="U29" s="3"/>
      <c r="V29" s="3"/>
      <c r="W29" s="3"/>
      <c r="X29" s="3"/>
      <c r="Y29" s="3"/>
      <c r="Z29" s="3"/>
    </row>
    <row r="30" spans="1:26" ht="12.75" customHeight="1">
      <c r="A30" s="23">
        <f t="shared" si="1"/>
        <v>8</v>
      </c>
      <c r="B30" s="3"/>
      <c r="C30" s="3"/>
      <c r="D30" s="34"/>
      <c r="E30" s="35">
        <f>D30/D5</f>
        <v>0</v>
      </c>
      <c r="F30" s="34"/>
      <c r="G30" s="35">
        <f>F30/F5</f>
        <v>0</v>
      </c>
      <c r="H30" s="34"/>
      <c r="I30" s="35">
        <f>H30/H5</f>
        <v>0</v>
      </c>
      <c r="J30" s="34"/>
      <c r="K30" s="35">
        <f>J30/J5</f>
        <v>0</v>
      </c>
      <c r="L30" s="34"/>
      <c r="M30" s="35">
        <f>L30/L5</f>
        <v>0</v>
      </c>
      <c r="N30" s="34"/>
      <c r="O30" s="35" t="e">
        <f>N30/N5</f>
        <v>#DIV/0!</v>
      </c>
      <c r="P30" s="34"/>
      <c r="Q30" s="35" t="e">
        <f>P30/P5</f>
        <v>#DIV/0!</v>
      </c>
      <c r="R30" s="35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42">
        <f t="shared" si="1"/>
        <v>9</v>
      </c>
      <c r="B31" s="43"/>
      <c r="C31" s="43"/>
      <c r="D31" s="44"/>
      <c r="E31" s="45">
        <f>D31/D5</f>
        <v>0</v>
      </c>
      <c r="F31" s="44"/>
      <c r="G31" s="45">
        <f>F31/F5</f>
        <v>0</v>
      </c>
      <c r="H31" s="44"/>
      <c r="I31" s="45">
        <f>H31/H5</f>
        <v>0</v>
      </c>
      <c r="J31" s="44"/>
      <c r="K31" s="45">
        <f>J31/J5</f>
        <v>0</v>
      </c>
      <c r="L31" s="44"/>
      <c r="M31" s="45">
        <f>L31/L5</f>
        <v>0</v>
      </c>
      <c r="N31" s="44"/>
      <c r="O31" s="45" t="e">
        <f>N31/N5</f>
        <v>#DIV/0!</v>
      </c>
      <c r="P31" s="44"/>
      <c r="Q31" s="45" t="e">
        <f>P31/P5</f>
        <v>#DIV/0!</v>
      </c>
      <c r="R31" s="45"/>
      <c r="S31" s="43"/>
      <c r="T31" s="3"/>
      <c r="U31" s="3"/>
      <c r="V31" s="3"/>
      <c r="W31" s="3"/>
      <c r="X31" s="3"/>
      <c r="Y31" s="3"/>
      <c r="Z31" s="3"/>
    </row>
    <row r="32" spans="1:26" ht="12.75" customHeight="1">
      <c r="A32" s="23">
        <f t="shared" si="1"/>
        <v>10</v>
      </c>
      <c r="B32" s="3"/>
      <c r="C32" s="3"/>
      <c r="D32" s="34"/>
      <c r="E32" s="35">
        <f>D32/D5</f>
        <v>0</v>
      </c>
      <c r="F32" s="34"/>
      <c r="G32" s="35">
        <f>F32/F5</f>
        <v>0</v>
      </c>
      <c r="H32" s="34"/>
      <c r="I32" s="35">
        <f>H32/H5</f>
        <v>0</v>
      </c>
      <c r="J32" s="34"/>
      <c r="K32" s="35">
        <f>J32/J5</f>
        <v>0</v>
      </c>
      <c r="L32" s="34"/>
      <c r="M32" s="35">
        <f>L32/L5</f>
        <v>0</v>
      </c>
      <c r="N32" s="34"/>
      <c r="O32" s="35" t="e">
        <f>N32/N5</f>
        <v>#DIV/0!</v>
      </c>
      <c r="P32" s="34"/>
      <c r="Q32" s="35" t="e">
        <f>P32/P5</f>
        <v>#DIV/0!</v>
      </c>
      <c r="R32" s="35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42">
        <f t="shared" si="1"/>
        <v>11</v>
      </c>
      <c r="B33" s="43"/>
      <c r="C33" s="43"/>
      <c r="D33" s="44"/>
      <c r="E33" s="45">
        <f>D33/D5</f>
        <v>0</v>
      </c>
      <c r="F33" s="44"/>
      <c r="G33" s="45">
        <f>F33/F5</f>
        <v>0</v>
      </c>
      <c r="H33" s="44"/>
      <c r="I33" s="45">
        <f>H33/H5</f>
        <v>0</v>
      </c>
      <c r="J33" s="44"/>
      <c r="K33" s="45">
        <f>J33/J5</f>
        <v>0</v>
      </c>
      <c r="L33" s="44"/>
      <c r="M33" s="45">
        <f>L33/L5</f>
        <v>0</v>
      </c>
      <c r="N33" s="44"/>
      <c r="O33" s="45" t="e">
        <f>N33/N5</f>
        <v>#DIV/0!</v>
      </c>
      <c r="P33" s="44"/>
      <c r="Q33" s="45" t="e">
        <f>P33/P5</f>
        <v>#DIV/0!</v>
      </c>
      <c r="R33" s="45"/>
      <c r="S33" s="43"/>
      <c r="T33" s="3"/>
      <c r="U33" s="3"/>
      <c r="V33" s="3"/>
      <c r="W33" s="3"/>
      <c r="X33" s="3"/>
      <c r="Y33" s="3"/>
      <c r="Z33" s="3"/>
    </row>
    <row r="34" spans="1:26" ht="12.75" customHeight="1">
      <c r="A34" s="23">
        <f t="shared" si="1"/>
        <v>12</v>
      </c>
      <c r="B34" s="3"/>
      <c r="C34" s="3"/>
      <c r="D34" s="34"/>
      <c r="E34" s="35">
        <f>D34/D5</f>
        <v>0</v>
      </c>
      <c r="F34" s="34"/>
      <c r="G34" s="35">
        <f>F34/F5</f>
        <v>0</v>
      </c>
      <c r="H34" s="34"/>
      <c r="I34" s="35">
        <f>H34/H5</f>
        <v>0</v>
      </c>
      <c r="J34" s="34"/>
      <c r="K34" s="35">
        <f>J34/J5</f>
        <v>0</v>
      </c>
      <c r="L34" s="34"/>
      <c r="M34" s="35">
        <f>L34/L5</f>
        <v>0</v>
      </c>
      <c r="N34" s="34"/>
      <c r="O34" s="35" t="e">
        <f>N34/N5</f>
        <v>#DIV/0!</v>
      </c>
      <c r="P34" s="34"/>
      <c r="Q34" s="35" t="e">
        <f>P34/P5</f>
        <v>#DIV/0!</v>
      </c>
      <c r="R34" s="35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42">
        <f t="shared" si="1"/>
        <v>13</v>
      </c>
      <c r="B35" s="43"/>
      <c r="C35" s="43"/>
      <c r="D35" s="44"/>
      <c r="E35" s="45">
        <f>D35/D5</f>
        <v>0</v>
      </c>
      <c r="F35" s="44"/>
      <c r="G35" s="45">
        <f>F35/F5</f>
        <v>0</v>
      </c>
      <c r="H35" s="44"/>
      <c r="I35" s="45">
        <f>H35/H5</f>
        <v>0</v>
      </c>
      <c r="J35" s="44"/>
      <c r="K35" s="45">
        <f>J35/J5</f>
        <v>0</v>
      </c>
      <c r="L35" s="44"/>
      <c r="M35" s="45">
        <f>L35/L5</f>
        <v>0</v>
      </c>
      <c r="N35" s="44"/>
      <c r="O35" s="45" t="e">
        <f>N35/N5</f>
        <v>#DIV/0!</v>
      </c>
      <c r="P35" s="44"/>
      <c r="Q35" s="45" t="e">
        <f>P35/P5</f>
        <v>#DIV/0!</v>
      </c>
      <c r="R35" s="45"/>
      <c r="S35" s="43"/>
      <c r="T35" s="3"/>
      <c r="U35" s="3"/>
      <c r="V35" s="3"/>
      <c r="W35" s="3"/>
      <c r="X35" s="3"/>
      <c r="Y35" s="3"/>
      <c r="Z35" s="3"/>
    </row>
    <row r="36" spans="1:26" ht="12.75" customHeight="1">
      <c r="A36" s="23">
        <f t="shared" si="1"/>
        <v>14</v>
      </c>
      <c r="B36" s="3"/>
      <c r="C36" s="3"/>
      <c r="D36" s="34"/>
      <c r="E36" s="35">
        <f>D36/D5</f>
        <v>0</v>
      </c>
      <c r="F36" s="34"/>
      <c r="G36" s="35">
        <f>F36/F5</f>
        <v>0</v>
      </c>
      <c r="H36" s="34"/>
      <c r="I36" s="35">
        <f>H36/H5</f>
        <v>0</v>
      </c>
      <c r="J36" s="34"/>
      <c r="K36" s="35">
        <f>J36/J5</f>
        <v>0</v>
      </c>
      <c r="L36" s="34"/>
      <c r="M36" s="35">
        <f>L36/L5</f>
        <v>0</v>
      </c>
      <c r="N36" s="34"/>
      <c r="O36" s="35" t="e">
        <f>N36/N5</f>
        <v>#DIV/0!</v>
      </c>
      <c r="P36" s="34"/>
      <c r="Q36" s="35" t="e">
        <f>P36/P5</f>
        <v>#DIV/0!</v>
      </c>
      <c r="R36" s="35"/>
      <c r="S36" s="3"/>
      <c r="T36" s="3"/>
      <c r="U36" s="3"/>
      <c r="V36" s="3"/>
      <c r="W36" s="3"/>
      <c r="X36" s="3"/>
      <c r="Y36" s="3"/>
      <c r="Z36" s="3"/>
    </row>
    <row r="37" spans="1:26" ht="3" customHeight="1">
      <c r="A37" s="47"/>
      <c r="B37" s="48"/>
      <c r="C37" s="48"/>
      <c r="D37" s="48"/>
      <c r="E37" s="49"/>
      <c r="F37" s="48"/>
      <c r="G37" s="49"/>
      <c r="H37" s="48"/>
      <c r="I37" s="49"/>
      <c r="J37" s="48"/>
      <c r="K37" s="49"/>
      <c r="L37" s="48"/>
      <c r="M37" s="49"/>
      <c r="N37" s="48"/>
      <c r="O37" s="49"/>
      <c r="P37" s="48"/>
      <c r="Q37" s="49"/>
      <c r="R37" s="48"/>
      <c r="S37" s="48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5"/>
      <c r="F38" s="3"/>
      <c r="G38" s="35"/>
      <c r="H38" s="3"/>
      <c r="I38" s="35"/>
      <c r="J38" s="3"/>
      <c r="K38" s="35"/>
      <c r="L38" s="3"/>
      <c r="M38" s="35"/>
      <c r="N38" s="3"/>
      <c r="O38" s="35"/>
      <c r="P38" s="3"/>
      <c r="Q38" s="35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">
    <mergeCell ref="N3:O3"/>
    <mergeCell ref="P3:Q3"/>
    <mergeCell ref="D2:E2"/>
    <mergeCell ref="F2:G2"/>
    <mergeCell ref="H2:I2"/>
    <mergeCell ref="J2:K2"/>
    <mergeCell ref="L2:M2"/>
    <mergeCell ref="N2:O2"/>
    <mergeCell ref="P2:Q2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000"/>
  <sheetViews>
    <sheetView workbookViewId="0"/>
  </sheetViews>
  <sheetFormatPr defaultColWidth="12.625" defaultRowHeight="15" customHeight="1"/>
  <cols>
    <col min="1" max="1" width="32.375" customWidth="1"/>
    <col min="2" max="2" width="14.5" customWidth="1"/>
    <col min="3" max="26" width="8.625" customWidth="1"/>
  </cols>
  <sheetData>
    <row r="1" spans="1:3" ht="13.5" customHeight="1">
      <c r="A1" s="26" t="s">
        <v>487</v>
      </c>
      <c r="B1" s="78" t="s">
        <v>600</v>
      </c>
      <c r="C1" s="79"/>
    </row>
    <row r="2" spans="1:3" ht="13.5" customHeight="1">
      <c r="A2" s="27">
        <v>44073</v>
      </c>
      <c r="B2" s="82"/>
      <c r="C2" s="83"/>
    </row>
    <row r="3" spans="1:3" ht="13.5" customHeight="1">
      <c r="A3" s="3" t="s">
        <v>503</v>
      </c>
      <c r="B3" s="50">
        <f>SUM(B4+B18)</f>
        <v>230891584.12</v>
      </c>
      <c r="C3" s="51">
        <v>1</v>
      </c>
    </row>
    <row r="4" spans="1:3" ht="13.5" customHeight="1">
      <c r="A4" s="30" t="s">
        <v>493</v>
      </c>
      <c r="B4" s="31">
        <f>SUM(B6:B13)</f>
        <v>68327704.359999999</v>
      </c>
      <c r="C4" s="32"/>
    </row>
    <row r="5" spans="1:3" ht="13.5" customHeight="1">
      <c r="A5" s="3" t="s">
        <v>493</v>
      </c>
      <c r="B5" s="34"/>
      <c r="C5" s="35"/>
    </row>
    <row r="6" spans="1:3" ht="13.5" customHeight="1">
      <c r="A6" s="59" t="s">
        <v>601</v>
      </c>
      <c r="B6" s="63">
        <v>6333458.2400000002</v>
      </c>
      <c r="C6" s="45"/>
    </row>
    <row r="7" spans="1:3" ht="13.5" customHeight="1">
      <c r="A7" s="60" t="s">
        <v>557</v>
      </c>
      <c r="B7" s="64">
        <v>8279104.4699999997</v>
      </c>
      <c r="C7" s="35"/>
    </row>
    <row r="8" spans="1:3" ht="13.5" customHeight="1">
      <c r="A8" s="59" t="s">
        <v>377</v>
      </c>
      <c r="B8" s="63">
        <v>873.92</v>
      </c>
      <c r="C8" s="45"/>
    </row>
    <row r="9" spans="1:3" ht="13.5" customHeight="1">
      <c r="A9" s="60" t="s">
        <v>425</v>
      </c>
      <c r="B9" s="64">
        <v>10343374.48</v>
      </c>
      <c r="C9" s="35"/>
    </row>
    <row r="10" spans="1:3" ht="13.5" customHeight="1">
      <c r="A10" s="59" t="s">
        <v>602</v>
      </c>
      <c r="B10" s="63">
        <v>4637433.8</v>
      </c>
      <c r="C10" s="45"/>
    </row>
    <row r="11" spans="1:3" ht="13.5" customHeight="1">
      <c r="A11" s="60" t="s">
        <v>603</v>
      </c>
      <c r="B11" s="64">
        <v>17571851.289999999</v>
      </c>
      <c r="C11" s="35"/>
    </row>
    <row r="12" spans="1:3" ht="13.5" customHeight="1">
      <c r="A12" s="59" t="s">
        <v>604</v>
      </c>
      <c r="B12" s="63">
        <v>16783690.93</v>
      </c>
      <c r="C12" s="45"/>
    </row>
    <row r="13" spans="1:3" ht="13.5" customHeight="1">
      <c r="A13" s="60" t="s">
        <v>605</v>
      </c>
      <c r="B13" s="64">
        <v>4377917.2300000004</v>
      </c>
      <c r="C13" s="35"/>
    </row>
    <row r="14" spans="1:3" ht="13.5" customHeight="1">
      <c r="A14" s="44"/>
      <c r="B14" s="44"/>
      <c r="C14" s="45"/>
    </row>
    <row r="15" spans="1:3" ht="13.5" customHeight="1">
      <c r="A15" s="3"/>
      <c r="B15" s="34"/>
      <c r="C15" s="35"/>
    </row>
    <row r="16" spans="1:3" ht="13.5" customHeight="1">
      <c r="A16" s="3"/>
      <c r="B16" s="34"/>
      <c r="C16" s="35"/>
    </row>
    <row r="17" spans="1:3" ht="13.5" customHeight="1">
      <c r="A17" s="39" t="s">
        <v>495</v>
      </c>
      <c r="B17" s="40"/>
      <c r="C17" s="41"/>
    </row>
    <row r="18" spans="1:3" ht="13.5" customHeight="1">
      <c r="A18" s="45"/>
      <c r="B18" s="65">
        <f>SUM(B19:B24)</f>
        <v>162563879.75999999</v>
      </c>
      <c r="C18" s="45"/>
    </row>
    <row r="19" spans="1:3" ht="13.5" customHeight="1">
      <c r="A19" s="66" t="s">
        <v>606</v>
      </c>
      <c r="B19" s="64">
        <v>30155943.859999999</v>
      </c>
      <c r="C19" s="35"/>
    </row>
    <row r="20" spans="1:3" ht="13.5" customHeight="1">
      <c r="A20" s="67" t="s">
        <v>415</v>
      </c>
      <c r="B20" s="63">
        <v>32887706.989999998</v>
      </c>
      <c r="C20" s="45"/>
    </row>
    <row r="21" spans="1:3" ht="13.5" customHeight="1">
      <c r="A21" s="66" t="s">
        <v>607</v>
      </c>
      <c r="B21" s="68">
        <v>21553282.870000001</v>
      </c>
    </row>
    <row r="22" spans="1:3" ht="13.5" customHeight="1">
      <c r="A22" s="69" t="s">
        <v>608</v>
      </c>
      <c r="B22" s="70">
        <v>23968297.93</v>
      </c>
      <c r="C22" s="45"/>
    </row>
    <row r="23" spans="1:3" ht="13.5" customHeight="1">
      <c r="A23" s="66" t="s">
        <v>609</v>
      </c>
      <c r="B23" s="68">
        <v>30271332.859999999</v>
      </c>
      <c r="C23" s="35"/>
    </row>
    <row r="24" spans="1:3" ht="13.5" customHeight="1">
      <c r="A24" s="67" t="s">
        <v>610</v>
      </c>
      <c r="B24" s="70">
        <v>23727315.25</v>
      </c>
      <c r="C24" s="45"/>
    </row>
    <row r="25" spans="1:3" ht="13.5" customHeight="1"/>
    <row r="26" spans="1:3" ht="13.5" customHeight="1"/>
    <row r="27" spans="1:3" ht="13.5" customHeight="1"/>
    <row r="28" spans="1:3" ht="13.5" customHeight="1"/>
    <row r="29" spans="1:3" ht="13.5" customHeight="1"/>
    <row r="30" spans="1:3" ht="13.5" customHeight="1"/>
    <row r="31" spans="1:3" ht="13.5" customHeight="1"/>
    <row r="32" spans="1:3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2">
    <mergeCell ref="B1:C1"/>
    <mergeCell ref="B2:C2"/>
  </mergeCells>
  <pageMargins left="0.511811024" right="0.511811024" top="0.78740157499999996" bottom="0.78740157499999996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1000"/>
  <sheetViews>
    <sheetView workbookViewId="0"/>
  </sheetViews>
  <sheetFormatPr defaultColWidth="12.625" defaultRowHeight="15" customHeight="1"/>
  <cols>
    <col min="1" max="1" width="53.875" customWidth="1"/>
    <col min="2" max="2" width="11.25" customWidth="1"/>
    <col min="3" max="26" width="8.625" customWidth="1"/>
  </cols>
  <sheetData>
    <row r="1" spans="1:7" ht="13.5" customHeight="1">
      <c r="A1" s="26" t="s">
        <v>487</v>
      </c>
      <c r="B1" s="78" t="s">
        <v>488</v>
      </c>
      <c r="C1" s="79"/>
      <c r="D1" s="78" t="s">
        <v>488</v>
      </c>
      <c r="E1" s="79"/>
      <c r="F1" s="78" t="s">
        <v>488</v>
      </c>
      <c r="G1" s="79"/>
    </row>
    <row r="2" spans="1:7" ht="13.5" customHeight="1">
      <c r="A2" s="27">
        <v>44073</v>
      </c>
      <c r="B2" s="82" t="s">
        <v>611</v>
      </c>
      <c r="C2" s="83"/>
      <c r="D2" s="82" t="s">
        <v>511</v>
      </c>
      <c r="E2" s="83"/>
      <c r="F2" s="82" t="s">
        <v>511</v>
      </c>
      <c r="G2" s="83"/>
    </row>
    <row r="3" spans="1:7" ht="13.5" customHeight="1">
      <c r="A3" s="3" t="s">
        <v>503</v>
      </c>
      <c r="B3" s="50">
        <v>1717217</v>
      </c>
      <c r="C3" s="51">
        <v>1</v>
      </c>
      <c r="D3" s="50"/>
      <c r="E3" s="51">
        <v>1</v>
      </c>
      <c r="F3" s="50"/>
      <c r="G3" s="51">
        <v>1</v>
      </c>
    </row>
    <row r="4" spans="1:7" ht="13.5" customHeight="1">
      <c r="A4" s="30" t="s">
        <v>493</v>
      </c>
      <c r="B4" s="31">
        <v>41118</v>
      </c>
      <c r="C4" s="32"/>
      <c r="D4" s="31"/>
      <c r="E4" s="32"/>
      <c r="F4" s="31"/>
      <c r="G4" s="32"/>
    </row>
    <row r="5" spans="1:7" ht="13.5" customHeight="1">
      <c r="A5" s="3" t="s">
        <v>494</v>
      </c>
      <c r="B5" s="34"/>
      <c r="C5" s="35"/>
      <c r="D5" s="34"/>
      <c r="E5" s="35"/>
      <c r="F5" s="34"/>
      <c r="G5" s="35"/>
    </row>
    <row r="6" spans="1:7" ht="13.5" customHeight="1">
      <c r="A6" s="45" t="s">
        <v>612</v>
      </c>
      <c r="B6" s="44">
        <v>37144</v>
      </c>
      <c r="C6" s="45">
        <f>B6/B3</f>
        <v>2.1630347242078317E-2</v>
      </c>
      <c r="D6" s="44"/>
      <c r="E6" s="45"/>
      <c r="F6" s="44"/>
      <c r="G6" s="45"/>
    </row>
    <row r="7" spans="1:7" ht="13.5" customHeight="1">
      <c r="A7" s="34" t="s">
        <v>613</v>
      </c>
      <c r="B7" s="34">
        <v>2510</v>
      </c>
      <c r="C7" s="35">
        <f>B7/B3</f>
        <v>1.4616673373254517E-3</v>
      </c>
      <c r="D7" s="34"/>
      <c r="E7" s="35"/>
      <c r="F7" s="34"/>
      <c r="G7" s="35"/>
    </row>
    <row r="8" spans="1:7" ht="13.5" customHeight="1">
      <c r="A8" s="45" t="s">
        <v>614</v>
      </c>
      <c r="B8" s="44">
        <v>1464</v>
      </c>
      <c r="C8" s="45">
        <f>B8/B3</f>
        <v>8.5254222384241484E-4</v>
      </c>
      <c r="D8" s="44"/>
      <c r="E8" s="45"/>
      <c r="F8" s="44"/>
      <c r="G8" s="45"/>
    </row>
    <row r="9" spans="1:7" ht="13.5" customHeight="1">
      <c r="A9" s="34"/>
      <c r="B9" s="34"/>
      <c r="C9" s="35"/>
      <c r="D9" s="34"/>
      <c r="E9" s="35"/>
      <c r="F9" s="34"/>
      <c r="G9" s="35"/>
    </row>
    <row r="10" spans="1:7" ht="13.5" customHeight="1">
      <c r="A10" s="45"/>
      <c r="B10" s="44"/>
      <c r="C10" s="45"/>
      <c r="D10" s="44"/>
      <c r="E10" s="45"/>
      <c r="F10" s="44"/>
      <c r="G10" s="45"/>
    </row>
    <row r="11" spans="1:7" ht="13.5" customHeight="1">
      <c r="A11" s="34"/>
      <c r="B11" s="34"/>
      <c r="C11" s="35"/>
      <c r="D11" s="34"/>
      <c r="E11" s="35"/>
      <c r="F11" s="34"/>
      <c r="G11" s="35"/>
    </row>
    <row r="12" spans="1:7" ht="13.5" customHeight="1">
      <c r="A12" s="45"/>
      <c r="B12" s="44"/>
      <c r="C12" s="45"/>
      <c r="D12" s="44"/>
      <c r="E12" s="45"/>
      <c r="F12" s="44"/>
      <c r="G12" s="45"/>
    </row>
    <row r="13" spans="1:7" ht="13.5" customHeight="1">
      <c r="A13" s="34"/>
      <c r="B13" s="34"/>
      <c r="C13" s="35"/>
      <c r="D13" s="34"/>
      <c r="E13" s="35"/>
      <c r="F13" s="34"/>
      <c r="G13" s="35"/>
    </row>
    <row r="14" spans="1:7" ht="13.5" customHeight="1">
      <c r="A14" s="44"/>
      <c r="B14" s="44"/>
      <c r="C14" s="45"/>
      <c r="D14" s="44"/>
      <c r="E14" s="45"/>
      <c r="F14" s="44"/>
      <c r="G14" s="45"/>
    </row>
    <row r="15" spans="1:7" ht="13.5" customHeight="1">
      <c r="A15" s="3"/>
      <c r="B15" s="34"/>
      <c r="C15" s="35"/>
      <c r="D15" s="34"/>
      <c r="E15" s="35"/>
      <c r="F15" s="34"/>
      <c r="G15" s="35"/>
    </row>
    <row r="16" spans="1:7" ht="13.5" customHeight="1">
      <c r="A16" s="3"/>
      <c r="B16" s="34"/>
      <c r="C16" s="35"/>
      <c r="D16" s="34"/>
      <c r="E16" s="35"/>
      <c r="F16" s="34"/>
      <c r="G16" s="35"/>
    </row>
    <row r="17" spans="1:7" ht="13.5" customHeight="1">
      <c r="A17" s="39" t="s">
        <v>495</v>
      </c>
      <c r="B17" s="40"/>
      <c r="C17" s="41"/>
      <c r="D17" s="40"/>
      <c r="E17" s="41"/>
      <c r="F17" s="40"/>
      <c r="G17" s="41"/>
    </row>
    <row r="18" spans="1:7" ht="13.5" customHeight="1">
      <c r="A18" s="3"/>
      <c r="B18" s="52"/>
      <c r="C18" s="45"/>
      <c r="D18" s="52"/>
      <c r="E18" s="45"/>
      <c r="F18" s="52"/>
      <c r="G18" s="45"/>
    </row>
    <row r="19" spans="1:7" ht="13.5" customHeight="1">
      <c r="A19" s="3"/>
      <c r="B19" s="34"/>
      <c r="C19" s="35"/>
      <c r="D19" s="34"/>
      <c r="E19" s="35"/>
      <c r="F19" s="34"/>
      <c r="G19" s="35"/>
    </row>
    <row r="20" spans="1:7" ht="13.5" customHeight="1">
      <c r="A20" s="43"/>
      <c r="B20" s="44"/>
      <c r="C20" s="45"/>
      <c r="D20" s="44"/>
      <c r="E20" s="45"/>
      <c r="F20" s="44"/>
      <c r="G20" s="45"/>
    </row>
    <row r="21" spans="1:7" ht="13.5" customHeight="1"/>
    <row r="22" spans="1:7" ht="13.5" customHeight="1"/>
    <row r="23" spans="1:7" ht="13.5" customHeight="1"/>
    <row r="24" spans="1:7" ht="13.5" customHeight="1"/>
    <row r="25" spans="1:7" ht="13.5" customHeight="1"/>
    <row r="26" spans="1:7" ht="13.5" customHeight="1"/>
    <row r="27" spans="1:7" ht="13.5" customHeight="1"/>
    <row r="28" spans="1:7" ht="13.5" customHeight="1"/>
    <row r="29" spans="1:7" ht="13.5" customHeight="1"/>
    <row r="30" spans="1:7" ht="13.5" customHeight="1"/>
    <row r="31" spans="1:7" ht="13.5" customHeight="1"/>
    <row r="32" spans="1:7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6">
    <mergeCell ref="B1:C1"/>
    <mergeCell ref="D1:E1"/>
    <mergeCell ref="F1:G1"/>
    <mergeCell ref="B2:C2"/>
    <mergeCell ref="D2:E2"/>
    <mergeCell ref="F2:G2"/>
  </mergeCells>
  <pageMargins left="0.511811024" right="0.511811024" top="0.78740157499999996" bottom="0.78740157499999996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3.875" customWidth="1"/>
    <col min="5" max="5" width="6.375" customWidth="1"/>
    <col min="6" max="6" width="14.875" customWidth="1"/>
    <col min="7" max="7" width="6.375" customWidth="1"/>
    <col min="8" max="8" width="11.375" customWidth="1"/>
    <col min="9" max="9" width="6.375" customWidth="1"/>
    <col min="10" max="10" width="0.625" customWidth="1"/>
    <col min="11" max="11" width="7.37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280</v>
      </c>
      <c r="E3" s="83"/>
      <c r="F3" s="82" t="s">
        <v>282</v>
      </c>
      <c r="G3" s="83"/>
      <c r="H3" s="82" t="s">
        <v>283</v>
      </c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5982727620.46</f>
        <v>5982727620.46</v>
      </c>
      <c r="E5" s="32">
        <f>D5/D5</f>
        <v>1</v>
      </c>
      <c r="F5" s="31">
        <v>10448341795</v>
      </c>
      <c r="G5" s="32">
        <f>F5/F5</f>
        <v>1</v>
      </c>
      <c r="H5" s="31">
        <v>47915371.049999997</v>
      </c>
      <c r="I5" s="32">
        <f>H5/H5</f>
        <v>1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413883712.20000005</v>
      </c>
      <c r="E7" s="38">
        <f>D7/D5</f>
        <v>6.9179768569871375E-2</v>
      </c>
      <c r="F7" s="37">
        <f>SUM(F9,F21)</f>
        <v>382365224.49000001</v>
      </c>
      <c r="G7" s="38">
        <f>F7/F5</f>
        <v>3.6595780650378315E-2</v>
      </c>
      <c r="H7" s="37">
        <f>SUM(H9,H21)</f>
        <v>1389547.57</v>
      </c>
      <c r="I7" s="38">
        <f>H7/H5</f>
        <v>2.9000037765542882E-2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214604182.47000003</v>
      </c>
      <c r="E9" s="41">
        <f>D9/D5</f>
        <v>3.5870625588249584E-2</v>
      </c>
      <c r="F9" s="40">
        <f>SUM(F10:F19)</f>
        <v>59774848.030000001</v>
      </c>
      <c r="G9" s="41">
        <f>F9/F5</f>
        <v>5.7209889571764342E-3</v>
      </c>
      <c r="H9" s="40">
        <f>SUM(H10:H19)</f>
        <v>0</v>
      </c>
      <c r="I9" s="41">
        <f>H9/H5</f>
        <v>0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292</v>
      </c>
      <c r="D10" s="44">
        <v>59716562.079999998</v>
      </c>
      <c r="E10" s="45">
        <f>D10/D5</f>
        <v>9.9814943731983755E-3</v>
      </c>
      <c r="F10" s="44"/>
      <c r="G10" s="45">
        <f>F10/F5</f>
        <v>0</v>
      </c>
      <c r="H10" s="44"/>
      <c r="I10" s="45">
        <f>H10/H5</f>
        <v>0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337</v>
      </c>
      <c r="D11" s="34">
        <v>33973532.840000004</v>
      </c>
      <c r="E11" s="35">
        <f>D11/D5</f>
        <v>5.6786026366662246E-3</v>
      </c>
      <c r="F11" s="34"/>
      <c r="G11" s="35">
        <f>F11/F5</f>
        <v>0</v>
      </c>
      <c r="H11" s="34"/>
      <c r="I11" s="35">
        <f>H11/H5</f>
        <v>0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339</v>
      </c>
      <c r="D12" s="44">
        <v>16221436.539999999</v>
      </c>
      <c r="E12" s="45">
        <f>D12/D5</f>
        <v>2.7113780818844575E-3</v>
      </c>
      <c r="F12" s="44">
        <v>14019905.02</v>
      </c>
      <c r="G12" s="45">
        <f>F12/F5</f>
        <v>1.3418306268186166E-3</v>
      </c>
      <c r="H12" s="44"/>
      <c r="I12" s="45">
        <f>H12/H5</f>
        <v>0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362</v>
      </c>
      <c r="D13" s="34">
        <v>20516667.449999999</v>
      </c>
      <c r="E13" s="35">
        <f>D13/D5</f>
        <v>3.4293166514611463E-3</v>
      </c>
      <c r="F13" s="34">
        <v>12945018.380000001</v>
      </c>
      <c r="G13" s="35">
        <f>F13/F5</f>
        <v>1.2389543368685329E-3</v>
      </c>
      <c r="H13" s="34"/>
      <c r="I13" s="35">
        <f>H13/H5</f>
        <v>0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372</v>
      </c>
      <c r="D14" s="44">
        <v>14051731.73</v>
      </c>
      <c r="E14" s="45">
        <f>D14/D5</f>
        <v>2.3487166091174299E-3</v>
      </c>
      <c r="F14" s="44"/>
      <c r="G14" s="45">
        <f>F14/F5</f>
        <v>0</v>
      </c>
      <c r="H14" s="44"/>
      <c r="I14" s="45">
        <f>H14/H5</f>
        <v>0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373</v>
      </c>
      <c r="D15" s="34">
        <v>1545546.9</v>
      </c>
      <c r="E15" s="35">
        <f>D15/D5</f>
        <v>2.5833482619440492E-4</v>
      </c>
      <c r="F15" s="34"/>
      <c r="G15" s="35">
        <f>F15/F5</f>
        <v>0</v>
      </c>
      <c r="H15" s="34"/>
      <c r="I15" s="35">
        <f>H15/H5</f>
        <v>0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374</v>
      </c>
      <c r="D16" s="44">
        <v>1674831</v>
      </c>
      <c r="E16" s="45">
        <f>D16/D5</f>
        <v>2.7994438427588413E-4</v>
      </c>
      <c r="F16" s="44">
        <v>1427852.96</v>
      </c>
      <c r="G16" s="45">
        <f>F16/F5</f>
        <v>1.3665833182096814E-4</v>
      </c>
      <c r="H16" s="44"/>
      <c r="I16" s="45">
        <f>H16/H5</f>
        <v>0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397</v>
      </c>
      <c r="D17" s="34">
        <v>523829.68</v>
      </c>
      <c r="E17" s="35">
        <f>D17/D5</f>
        <v>8.7556999621474287E-5</v>
      </c>
      <c r="F17" s="34"/>
      <c r="G17" s="35">
        <f>F17/F5</f>
        <v>0</v>
      </c>
      <c r="H17" s="34"/>
      <c r="I17" s="35">
        <f>H17/H5</f>
        <v>0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422</v>
      </c>
      <c r="D18" s="44">
        <v>6277905.9199999999</v>
      </c>
      <c r="E18" s="45">
        <f>D18/D5</f>
        <v>1.0493384152289562E-3</v>
      </c>
      <c r="F18" s="44">
        <v>31382071.670000002</v>
      </c>
      <c r="G18" s="45">
        <f>F18/F5</f>
        <v>3.0035456616683168E-3</v>
      </c>
      <c r="H18" s="44"/>
      <c r="I18" s="45">
        <f>H18/H5</f>
        <v>0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 t="s">
        <v>427</v>
      </c>
      <c r="D19" s="34">
        <v>60102138.329999998</v>
      </c>
      <c r="E19" s="35">
        <f>D19/D5</f>
        <v>1.0045942610601226E-2</v>
      </c>
      <c r="F19" s="34"/>
      <c r="G19" s="35">
        <f>F19/F5</f>
        <v>0</v>
      </c>
      <c r="H19" s="34"/>
      <c r="I19" s="35">
        <f>H19/H5</f>
        <v>0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199279529.72999999</v>
      </c>
      <c r="E21" s="41">
        <f>D21/D5</f>
        <v>3.3309142981621784E-2</v>
      </c>
      <c r="F21" s="40">
        <f>SUM(F22:F33)</f>
        <v>322590376.45999998</v>
      </c>
      <c r="G21" s="41">
        <f>F21/F5</f>
        <v>3.0874791693201876E-2</v>
      </c>
      <c r="H21" s="40">
        <f>SUM(H22:H33)</f>
        <v>1389547.57</v>
      </c>
      <c r="I21" s="41">
        <f>H21/H5</f>
        <v>2.9000037765542882E-2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344</v>
      </c>
      <c r="D22" s="44">
        <v>7522992.9199999999</v>
      </c>
      <c r="E22" s="45">
        <f>D22/D5</f>
        <v>1.2574520180849503E-3</v>
      </c>
      <c r="F22" s="44">
        <v>10747132.74</v>
      </c>
      <c r="G22" s="45">
        <f>F22/F5</f>
        <v>1.0285969726931202E-3</v>
      </c>
      <c r="H22" s="44">
        <v>40839.1</v>
      </c>
      <c r="I22" s="45">
        <f>H22/H5</f>
        <v>8.5231730664016216E-4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385</v>
      </c>
      <c r="D23" s="34">
        <v>11618767.529999999</v>
      </c>
      <c r="E23" s="35">
        <f>D23/D5</f>
        <v>1.9420518979111831E-3</v>
      </c>
      <c r="F23" s="34">
        <v>18285822.77</v>
      </c>
      <c r="G23" s="35">
        <f>F23/F5</f>
        <v>1.7501172079526137E-3</v>
      </c>
      <c r="H23" s="34">
        <v>93642.48</v>
      </c>
      <c r="I23" s="35">
        <f>H23/H5</f>
        <v>1.9543306865407234E-3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394</v>
      </c>
      <c r="D24" s="44">
        <v>7212483.1399999997</v>
      </c>
      <c r="E24" s="45">
        <f>D24/D5</f>
        <v>1.2055509790107153E-3</v>
      </c>
      <c r="F24" s="44">
        <v>9973980.0899999999</v>
      </c>
      <c r="G24" s="45">
        <f>F24/F5</f>
        <v>9.5459933123292313E-4</v>
      </c>
      <c r="H24" s="44">
        <v>42362.66</v>
      </c>
      <c r="I24" s="45">
        <f>H24/H5</f>
        <v>8.8411420117761989E-4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428</v>
      </c>
      <c r="D25" s="34">
        <v>8149966.6299999999</v>
      </c>
      <c r="E25" s="35">
        <f>D25/D5</f>
        <v>1.3622493195458839E-3</v>
      </c>
      <c r="F25" s="34">
        <v>11270404.83</v>
      </c>
      <c r="G25" s="35">
        <f>F25/F5</f>
        <v>1.0786788038838271E-3</v>
      </c>
      <c r="H25" s="34">
        <v>47868.99</v>
      </c>
      <c r="I25" s="35">
        <f>H25/H5</f>
        <v>9.9903202147904485E-4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440</v>
      </c>
      <c r="D26" s="44">
        <v>12988858.32</v>
      </c>
      <c r="E26" s="45">
        <f>D26/D5</f>
        <v>2.1710596142769595E-3</v>
      </c>
      <c r="F26" s="44">
        <v>21348471.41</v>
      </c>
      <c r="G26" s="45">
        <f>F26/F5</f>
        <v>2.0432401455526849E-3</v>
      </c>
      <c r="H26" s="44">
        <v>90602.74</v>
      </c>
      <c r="I26" s="45">
        <f>H26/H5</f>
        <v>1.8908909190216948E-3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281</v>
      </c>
      <c r="D27" s="34">
        <v>22997378.93</v>
      </c>
      <c r="E27" s="35">
        <f>D27/D5</f>
        <v>3.8439622173927043E-3</v>
      </c>
      <c r="F27" s="34">
        <v>38023992.030000001</v>
      </c>
      <c r="G27" s="35">
        <f>F27/F5</f>
        <v>3.6392369981805331E-3</v>
      </c>
      <c r="H27" s="34">
        <v>162758.32999999999</v>
      </c>
      <c r="I27" s="35">
        <f>H27/H5</f>
        <v>3.3967874281962802E-3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 t="s">
        <v>340</v>
      </c>
      <c r="D28" s="44">
        <v>19986989.309999999</v>
      </c>
      <c r="E28" s="45">
        <f>D28/D5</f>
        <v>3.3407820943824346E-3</v>
      </c>
      <c r="F28" s="44">
        <v>33046597.379999999</v>
      </c>
      <c r="G28" s="45">
        <f>F28/F5</f>
        <v>3.1628556979074207E-3</v>
      </c>
      <c r="H28" s="44">
        <v>141453.04</v>
      </c>
      <c r="I28" s="45">
        <f>H28/H5</f>
        <v>2.9521432663516859E-3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 t="s">
        <v>352</v>
      </c>
      <c r="D29" s="34">
        <v>20737685.579999998</v>
      </c>
      <c r="E29" s="35">
        <f>D29/D5</f>
        <v>3.4662593545259075E-3</v>
      </c>
      <c r="F29" s="34">
        <v>34287802.689999998</v>
      </c>
      <c r="G29" s="35">
        <f>F29/F5</f>
        <v>3.2816501759550254E-3</v>
      </c>
      <c r="H29" s="34">
        <v>146765.9</v>
      </c>
      <c r="I29" s="35">
        <f>H29/H5</f>
        <v>3.0630233426941185E-3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 t="s">
        <v>353</v>
      </c>
      <c r="D30" s="44">
        <v>11961716.16</v>
      </c>
      <c r="E30" s="45">
        <f>D30/D5</f>
        <v>1.9993750207000544E-3</v>
      </c>
      <c r="F30" s="44">
        <v>19777566.890000001</v>
      </c>
      <c r="G30" s="45">
        <f>F30/F5</f>
        <v>1.8928904966972321E-3</v>
      </c>
      <c r="H30" s="44">
        <v>84656.12</v>
      </c>
      <c r="I30" s="45">
        <f>H30/H5</f>
        <v>1.7667841893921846E-3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 t="s">
        <v>355</v>
      </c>
      <c r="D31" s="34">
        <v>34912532.740000002</v>
      </c>
      <c r="E31" s="35">
        <f>D31/D5</f>
        <v>5.8355544418576839E-3</v>
      </c>
      <c r="F31" s="34">
        <v>57724572.469999999</v>
      </c>
      <c r="G31" s="35">
        <f>F31/F5</f>
        <v>5.5247592012757276E-3</v>
      </c>
      <c r="H31" s="34">
        <v>247084.92</v>
      </c>
      <c r="I31" s="35">
        <f>H31/H5</f>
        <v>5.1566942838064496E-3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 t="s">
        <v>357</v>
      </c>
      <c r="D32" s="44">
        <v>11247089.76</v>
      </c>
      <c r="E32" s="45">
        <f>D32/D5</f>
        <v>1.8799267614217799E-3</v>
      </c>
      <c r="F32" s="44">
        <v>18595999.68</v>
      </c>
      <c r="G32" s="45">
        <f>F32/F5</f>
        <v>1.7798039195941139E-3</v>
      </c>
      <c r="H32" s="44">
        <v>79598.53</v>
      </c>
      <c r="I32" s="45">
        <f>H32/H5</f>
        <v>1.6612316310133219E-3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 t="s">
        <v>359</v>
      </c>
      <c r="D33" s="34">
        <v>29943068.710000001</v>
      </c>
      <c r="E33" s="35">
        <f>D33/D5</f>
        <v>5.0049192625115264E-3</v>
      </c>
      <c r="F33" s="34">
        <v>49508033.479999997</v>
      </c>
      <c r="G33" s="35">
        <f>F33/F5</f>
        <v>4.7383627422766562E-3</v>
      </c>
      <c r="H33" s="34">
        <v>211914.76</v>
      </c>
      <c r="I33" s="35">
        <f>H33/H5</f>
        <v>4.4226884892295962E-3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>
        <f>H34/H5</f>
        <v>0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000"/>
  <sheetViews>
    <sheetView workbookViewId="0"/>
  </sheetViews>
  <sheetFormatPr defaultColWidth="12.625" defaultRowHeight="15" customHeight="1"/>
  <cols>
    <col min="1" max="1" width="25.875" customWidth="1"/>
    <col min="2" max="2" width="14.875" customWidth="1"/>
    <col min="3" max="3" width="8.625" customWidth="1"/>
    <col min="4" max="4" width="11.25" customWidth="1"/>
    <col min="5" max="26" width="8.625" customWidth="1"/>
  </cols>
  <sheetData>
    <row r="1" spans="1:5" ht="13.5" customHeight="1">
      <c r="A1" s="26" t="s">
        <v>487</v>
      </c>
      <c r="B1" s="78" t="s">
        <v>488</v>
      </c>
      <c r="C1" s="79"/>
      <c r="D1" s="78" t="s">
        <v>488</v>
      </c>
      <c r="E1" s="79"/>
    </row>
    <row r="2" spans="1:5" ht="13.5" customHeight="1">
      <c r="A2" s="27">
        <v>44073</v>
      </c>
      <c r="B2" s="82" t="s">
        <v>615</v>
      </c>
      <c r="C2" s="83"/>
      <c r="D2" s="82" t="s">
        <v>616</v>
      </c>
      <c r="E2" s="83"/>
    </row>
    <row r="3" spans="1:5" ht="13.5" customHeight="1">
      <c r="A3" s="3" t="s">
        <v>503</v>
      </c>
      <c r="B3" s="50">
        <v>4597387404.9200001</v>
      </c>
      <c r="C3" s="51">
        <v>1</v>
      </c>
      <c r="D3" s="50">
        <v>7249098</v>
      </c>
      <c r="E3" s="51">
        <v>1</v>
      </c>
    </row>
    <row r="4" spans="1:5" ht="13.5" customHeight="1">
      <c r="A4" s="30" t="s">
        <v>493</v>
      </c>
      <c r="B4" s="31">
        <v>20636957.469999999</v>
      </c>
      <c r="C4" s="32"/>
      <c r="D4" s="31">
        <v>234583.52</v>
      </c>
      <c r="E4" s="32"/>
    </row>
    <row r="5" spans="1:5" ht="13.5" customHeight="1">
      <c r="A5" s="3" t="s">
        <v>494</v>
      </c>
      <c r="B5" s="34"/>
      <c r="C5" s="35"/>
      <c r="D5" s="34"/>
      <c r="E5" s="35"/>
    </row>
    <row r="6" spans="1:5" ht="13.5" customHeight="1">
      <c r="A6" s="59" t="s">
        <v>617</v>
      </c>
      <c r="B6" s="44">
        <v>16462728.720000001</v>
      </c>
      <c r="C6" s="45">
        <f>B6/B3</f>
        <v>3.5808878543457166E-3</v>
      </c>
      <c r="D6" s="44"/>
      <c r="E6" s="45"/>
    </row>
    <row r="7" spans="1:5" ht="13.5" customHeight="1">
      <c r="A7" s="34" t="s">
        <v>618</v>
      </c>
      <c r="B7" s="34">
        <v>3505650.85</v>
      </c>
      <c r="C7" s="35">
        <f>B7/B3</f>
        <v>7.6253109456217395E-4</v>
      </c>
      <c r="D7" s="34"/>
      <c r="E7" s="35"/>
    </row>
    <row r="8" spans="1:5" ht="13.5" customHeight="1">
      <c r="A8" s="45"/>
      <c r="B8" s="44"/>
      <c r="C8" s="45"/>
      <c r="D8" s="44"/>
      <c r="E8" s="45"/>
    </row>
    <row r="9" spans="1:5" ht="13.5" customHeight="1">
      <c r="A9" s="34"/>
      <c r="B9" s="34"/>
      <c r="C9" s="35"/>
      <c r="D9" s="34"/>
      <c r="E9" s="35"/>
    </row>
    <row r="10" spans="1:5" ht="13.5" customHeight="1">
      <c r="A10" s="45"/>
      <c r="B10" s="44"/>
      <c r="C10" s="45"/>
      <c r="D10" s="44"/>
      <c r="E10" s="45"/>
    </row>
    <row r="11" spans="1:5" ht="13.5" customHeight="1">
      <c r="A11" s="34"/>
      <c r="B11" s="34"/>
      <c r="C11" s="35"/>
      <c r="D11" s="34"/>
      <c r="E11" s="35"/>
    </row>
    <row r="12" spans="1:5" ht="13.5" customHeight="1">
      <c r="A12" s="45"/>
      <c r="B12" s="44"/>
      <c r="C12" s="45"/>
      <c r="D12" s="44"/>
      <c r="E12" s="45"/>
    </row>
    <row r="13" spans="1:5" ht="13.5" customHeight="1">
      <c r="A13" s="34"/>
      <c r="B13" s="34"/>
      <c r="C13" s="35"/>
      <c r="D13" s="34"/>
      <c r="E13" s="35"/>
    </row>
    <row r="14" spans="1:5" ht="13.5" customHeight="1">
      <c r="A14" s="44"/>
      <c r="B14" s="44"/>
      <c r="C14" s="45"/>
      <c r="D14" s="44"/>
      <c r="E14" s="45"/>
    </row>
    <row r="15" spans="1:5" ht="13.5" customHeight="1">
      <c r="A15" s="3"/>
      <c r="B15" s="34"/>
      <c r="C15" s="35"/>
      <c r="D15" s="34"/>
      <c r="E15" s="35"/>
    </row>
    <row r="16" spans="1:5" ht="13.5" customHeight="1">
      <c r="A16" s="3"/>
      <c r="B16" s="34"/>
      <c r="C16" s="35"/>
      <c r="D16" s="34"/>
      <c r="E16" s="35"/>
    </row>
    <row r="17" spans="1:5" ht="13.5" customHeight="1">
      <c r="A17" s="39" t="s">
        <v>495</v>
      </c>
      <c r="B17" s="40"/>
      <c r="C17" s="41"/>
      <c r="D17" s="40"/>
      <c r="E17" s="41"/>
    </row>
    <row r="18" spans="1:5" ht="13.5" customHeight="1">
      <c r="A18" s="59" t="s">
        <v>619</v>
      </c>
      <c r="B18" s="45"/>
      <c r="C18" s="45"/>
      <c r="D18" s="45"/>
      <c r="E18" s="45"/>
    </row>
    <row r="19" spans="1:5" ht="13.5" customHeight="1">
      <c r="A19" s="3" t="s">
        <v>620</v>
      </c>
      <c r="B19" s="34"/>
      <c r="C19" s="35"/>
      <c r="D19" s="34">
        <v>50738.05</v>
      </c>
      <c r="E19" s="35"/>
    </row>
    <row r="20" spans="1:5" ht="13.5" customHeight="1">
      <c r="A20" s="43" t="s">
        <v>621</v>
      </c>
      <c r="B20" s="44"/>
      <c r="C20" s="45"/>
      <c r="D20" s="44">
        <v>41926</v>
      </c>
      <c r="E20" s="45"/>
    </row>
    <row r="21" spans="1:5" ht="13.5" customHeight="1">
      <c r="A21" s="71" t="s">
        <v>622</v>
      </c>
      <c r="D21" s="72">
        <v>43303.77</v>
      </c>
    </row>
    <row r="22" spans="1:5" ht="13.5" customHeight="1">
      <c r="A22" s="59" t="s">
        <v>623</v>
      </c>
      <c r="B22" s="45"/>
      <c r="C22" s="45"/>
      <c r="D22" s="45">
        <v>54269.39</v>
      </c>
      <c r="E22" s="45"/>
    </row>
    <row r="23" spans="1:5" ht="13.5" customHeight="1">
      <c r="A23" s="66" t="s">
        <v>624</v>
      </c>
      <c r="B23" s="34"/>
      <c r="C23" s="35"/>
      <c r="D23" s="34">
        <v>1128.52</v>
      </c>
      <c r="E23" s="35"/>
    </row>
    <row r="24" spans="1:5" ht="13.5" customHeight="1">
      <c r="A24" s="67" t="s">
        <v>625</v>
      </c>
      <c r="B24" s="44"/>
      <c r="C24" s="45"/>
      <c r="D24" s="44">
        <v>21808.92</v>
      </c>
      <c r="E24" s="45"/>
    </row>
    <row r="25" spans="1:5" ht="13.5" customHeight="1">
      <c r="D25" s="72">
        <v>21418.61</v>
      </c>
    </row>
    <row r="26" spans="1:5" ht="13.5" customHeight="1">
      <c r="A26" s="45"/>
      <c r="B26" s="45"/>
      <c r="C26" s="45"/>
      <c r="D26" s="45"/>
      <c r="E26" s="45"/>
    </row>
    <row r="27" spans="1:5" ht="13.5" customHeight="1">
      <c r="A27" s="3"/>
      <c r="B27" s="34"/>
      <c r="C27" s="35"/>
      <c r="D27" s="34"/>
      <c r="E27" s="35"/>
    </row>
    <row r="28" spans="1:5" ht="13.5" customHeight="1">
      <c r="A28" s="43"/>
      <c r="B28" s="44"/>
      <c r="C28" s="45"/>
      <c r="D28" s="44"/>
      <c r="E28" s="45"/>
    </row>
    <row r="29" spans="1:5" ht="13.5" customHeight="1"/>
    <row r="30" spans="1:5" ht="13.5" customHeight="1"/>
    <row r="31" spans="1:5" ht="13.5" customHeight="1"/>
    <row r="32" spans="1:5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4">
    <mergeCell ref="B1:C1"/>
    <mergeCell ref="D1:E1"/>
    <mergeCell ref="B2:C2"/>
    <mergeCell ref="D2:E2"/>
  </mergeCells>
  <pageMargins left="0.511811024" right="0.511811024" top="0.78740157499999996" bottom="0.78740157499999996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5" customWidth="1"/>
    <col min="7" max="7" width="6.625" customWidth="1"/>
    <col min="8" max="8" width="11.375" customWidth="1"/>
    <col min="9" max="9" width="6.625" customWidth="1"/>
    <col min="10" max="10" width="0.625" customWidth="1"/>
    <col min="11" max="11" width="7.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44196</v>
      </c>
      <c r="D3" s="82" t="s">
        <v>296</v>
      </c>
      <c r="E3" s="83"/>
      <c r="F3" s="82"/>
      <c r="G3" s="83"/>
      <c r="H3" s="82"/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1963739894.8499999</v>
      </c>
      <c r="E5" s="32">
        <f>D5/D5</f>
        <v>1</v>
      </c>
      <c r="F5" s="31"/>
      <c r="G5" s="32" t="e">
        <f>F5/F5</f>
        <v>#DIV/0!</v>
      </c>
      <c r="H5" s="31"/>
      <c r="I5" s="32" t="e">
        <f>H5/H5</f>
        <v>#DIV/0!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195509708.38999999</v>
      </c>
      <c r="E7" s="38">
        <f>D7/D5</f>
        <v>9.9559880054753372E-2</v>
      </c>
      <c r="F7" s="37">
        <f>SUM(F9,F21)</f>
        <v>0</v>
      </c>
      <c r="G7" s="38" t="e">
        <f>F7/F5</f>
        <v>#DIV/0!</v>
      </c>
      <c r="H7" s="37">
        <f>SUM(H9,H21)</f>
        <v>0</v>
      </c>
      <c r="I7" s="38" t="e">
        <f>H7/H5</f>
        <v>#DIV/0!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4139552.23</v>
      </c>
      <c r="E9" s="41">
        <f>D9/D5</f>
        <v>2.1079941599476439E-3</v>
      </c>
      <c r="F9" s="40">
        <f>SUM(F10:F19)</f>
        <v>0</v>
      </c>
      <c r="G9" s="41" t="e">
        <f>F9/F5</f>
        <v>#DIV/0!</v>
      </c>
      <c r="H9" s="40">
        <f>SUM(H10:H19)</f>
        <v>0</v>
      </c>
      <c r="I9" s="41" t="e">
        <f>H9/H5</f>
        <v>#DIV/0!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361</v>
      </c>
      <c r="D10" s="44">
        <v>4139552.23</v>
      </c>
      <c r="E10" s="45">
        <f>D10/D5</f>
        <v>2.1079941599476439E-3</v>
      </c>
      <c r="F10" s="44"/>
      <c r="G10" s="45" t="e">
        <f>F10/F5</f>
        <v>#DIV/0!</v>
      </c>
      <c r="H10" s="44"/>
      <c r="I10" s="45" t="e">
        <f>H10/H5</f>
        <v>#DIV/0!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/>
      <c r="D11" s="34"/>
      <c r="E11" s="35">
        <f>D11/D5</f>
        <v>0</v>
      </c>
      <c r="F11" s="34"/>
      <c r="G11" s="35" t="e">
        <f>F11/F5</f>
        <v>#DIV/0!</v>
      </c>
      <c r="H11" s="34"/>
      <c r="I11" s="35" t="e">
        <f>H11/H5</f>
        <v>#DIV/0!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/>
      <c r="D12" s="44"/>
      <c r="E12" s="45">
        <f>D12/D5</f>
        <v>0</v>
      </c>
      <c r="F12" s="44"/>
      <c r="G12" s="45" t="e">
        <f>F12/F5</f>
        <v>#DIV/0!</v>
      </c>
      <c r="H12" s="44"/>
      <c r="I12" s="45" t="e">
        <f>H12/H5</f>
        <v>#DIV/0!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4"/>
      <c r="G13" s="35" t="e">
        <f>F13/F5</f>
        <v>#DIV/0!</v>
      </c>
      <c r="H13" s="34"/>
      <c r="I13" s="35" t="e">
        <f>H13/H5</f>
        <v>#DIV/0!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 t="e">
        <f>F14/F5</f>
        <v>#DIV/0!</v>
      </c>
      <c r="H14" s="44"/>
      <c r="I14" s="45" t="e">
        <f>H14/H5</f>
        <v>#DIV/0!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 t="e">
        <f>F15/F5</f>
        <v>#DIV/0!</v>
      </c>
      <c r="H15" s="34"/>
      <c r="I15" s="35" t="e">
        <f>H15/H5</f>
        <v>#DIV/0!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 t="e">
        <f>F16/F5</f>
        <v>#DIV/0!</v>
      </c>
      <c r="H16" s="44"/>
      <c r="I16" s="45" t="e">
        <f>H16/H5</f>
        <v>#DIV/0!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 t="e">
        <f>F17/F5</f>
        <v>#DIV/0!</v>
      </c>
      <c r="H17" s="34"/>
      <c r="I17" s="35" t="e">
        <f>H17/H5</f>
        <v>#DIV/0!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 t="e">
        <f>F18/F5</f>
        <v>#DIV/0!</v>
      </c>
      <c r="H18" s="44"/>
      <c r="I18" s="45" t="e">
        <f>H18/H5</f>
        <v>#DIV/0!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 t="e">
        <f>F19/F5</f>
        <v>#DIV/0!</v>
      </c>
      <c r="H19" s="34"/>
      <c r="I19" s="35" t="e">
        <f>H19/H5</f>
        <v>#DIV/0!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191370156.16</v>
      </c>
      <c r="E21" s="41">
        <f>D21/D5</f>
        <v>9.7451885894805731E-2</v>
      </c>
      <c r="F21" s="40">
        <f>SUM(F22:F33)</f>
        <v>0</v>
      </c>
      <c r="G21" s="41" t="e">
        <f>F21/F5</f>
        <v>#DIV/0!</v>
      </c>
      <c r="H21" s="40">
        <f>SUM(H22:H33)</f>
        <v>0</v>
      </c>
      <c r="I21" s="41" t="e">
        <f>H21/H5</f>
        <v>#DIV/0!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314</v>
      </c>
      <c r="D22" s="44">
        <v>24764088.149999999</v>
      </c>
      <c r="E22" s="45">
        <f>D22/D5</f>
        <v>1.2610676299312848E-2</v>
      </c>
      <c r="F22" s="44"/>
      <c r="G22" s="45" t="e">
        <f>F22/F5</f>
        <v>#DIV/0!</v>
      </c>
      <c r="H22" s="44"/>
      <c r="I22" s="45" t="e">
        <f>H22/H5</f>
        <v>#DIV/0!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424</v>
      </c>
      <c r="D23" s="34">
        <v>28343523.23</v>
      </c>
      <c r="E23" s="35">
        <f>D23/D5</f>
        <v>1.4433440652874763E-2</v>
      </c>
      <c r="F23" s="34"/>
      <c r="G23" s="35" t="e">
        <f>F23/F5</f>
        <v>#DIV/0!</v>
      </c>
      <c r="H23" s="34"/>
      <c r="I23" s="35" t="e">
        <f>H23/H5</f>
        <v>#DIV/0!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297</v>
      </c>
      <c r="D24" s="44">
        <v>15459590.029999999</v>
      </c>
      <c r="E24" s="45">
        <f>D24/D5</f>
        <v>7.8725242943546141E-3</v>
      </c>
      <c r="F24" s="44"/>
      <c r="G24" s="45" t="e">
        <f>F24/F5</f>
        <v>#DIV/0!</v>
      </c>
      <c r="H24" s="44"/>
      <c r="I24" s="45" t="e">
        <f>H24/H5</f>
        <v>#DIV/0!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409</v>
      </c>
      <c r="D25" s="34">
        <v>23999008.149999999</v>
      </c>
      <c r="E25" s="35">
        <f>D25/D5</f>
        <v>1.2221072766784708E-2</v>
      </c>
      <c r="F25" s="34"/>
      <c r="G25" s="35" t="e">
        <f>F25/F5</f>
        <v>#DIV/0!</v>
      </c>
      <c r="H25" s="34"/>
      <c r="I25" s="35" t="e">
        <f>H25/H5</f>
        <v>#DIV/0!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400</v>
      </c>
      <c r="D26" s="44">
        <f>25413088.12</f>
        <v>25413088.120000001</v>
      </c>
      <c r="E26" s="45">
        <f>D26/D5</f>
        <v>1.2941168118367926E-2</v>
      </c>
      <c r="F26" s="44"/>
      <c r="G26" s="45" t="e">
        <f>F26/F5</f>
        <v>#DIV/0!</v>
      </c>
      <c r="H26" s="44"/>
      <c r="I26" s="45" t="e">
        <f>H26/H5</f>
        <v>#DIV/0!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414</v>
      </c>
      <c r="D27" s="34">
        <v>21410638.07</v>
      </c>
      <c r="E27" s="35">
        <f>D27/D5</f>
        <v>1.0902990832009069E-2</v>
      </c>
      <c r="F27" s="34"/>
      <c r="G27" s="35" t="e">
        <f>F27/F5</f>
        <v>#DIV/0!</v>
      </c>
      <c r="H27" s="34"/>
      <c r="I27" s="35" t="e">
        <f>H27/H5</f>
        <v>#DIV/0!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 t="s">
        <v>383</v>
      </c>
      <c r="D28" s="44">
        <f>20669518.76</f>
        <v>20669518.760000002</v>
      </c>
      <c r="E28" s="45">
        <f>D28/D5</f>
        <v>1.0525588859403827E-2</v>
      </c>
      <c r="F28" s="44"/>
      <c r="G28" s="45" t="e">
        <f>F28/F5</f>
        <v>#DIV/0!</v>
      </c>
      <c r="H28" s="44"/>
      <c r="I28" s="45" t="e">
        <f>H28/H5</f>
        <v>#DIV/0!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 t="s">
        <v>336</v>
      </c>
      <c r="D29" s="34">
        <v>10100600.59</v>
      </c>
      <c r="E29" s="35">
        <f>D29/D5</f>
        <v>5.1435531846601981E-3</v>
      </c>
      <c r="F29" s="34"/>
      <c r="G29" s="35" t="e">
        <f>F29/F5</f>
        <v>#DIV/0!</v>
      </c>
      <c r="H29" s="34"/>
      <c r="I29" s="35" t="e">
        <f>H29/H5</f>
        <v>#DIV/0!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 t="s">
        <v>404</v>
      </c>
      <c r="D30" s="44">
        <v>21210101.059999999</v>
      </c>
      <c r="E30" s="45">
        <f>D30/D5</f>
        <v>1.0800870887037782E-2</v>
      </c>
      <c r="F30" s="44"/>
      <c r="G30" s="45" t="e">
        <f>F30/F5</f>
        <v>#DIV/0!</v>
      </c>
      <c r="H30" s="44"/>
      <c r="I30" s="45" t="e">
        <f>H30/H5</f>
        <v>#DIV/0!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 t="e">
        <f>F31/F5</f>
        <v>#DIV/0!</v>
      </c>
      <c r="H31" s="34"/>
      <c r="I31" s="35" t="e">
        <f>H31/H5</f>
        <v>#DIV/0!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 t="e">
        <f>F32/F5</f>
        <v>#DIV/0!</v>
      </c>
      <c r="H32" s="44"/>
      <c r="I32" s="45" t="e">
        <f>H32/H5</f>
        <v>#DIV/0!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 t="e">
        <f>F33/F5</f>
        <v>#DIV/0!</v>
      </c>
      <c r="H33" s="34"/>
      <c r="I33" s="35" t="e">
        <f>H33/H5</f>
        <v>#DIV/0!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 t="e">
        <f>F34/F5</f>
        <v>#DIV/0!</v>
      </c>
      <c r="H34" s="44"/>
      <c r="I34" s="45" t="e">
        <f>H34/H5</f>
        <v>#DIV/0!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3.875" customWidth="1"/>
    <col min="5" max="5" width="6.375" customWidth="1"/>
    <col min="6" max="6" width="12.375" customWidth="1"/>
    <col min="7" max="7" width="6.375" customWidth="1"/>
    <col min="8" max="8" width="12.375" customWidth="1"/>
    <col min="9" max="9" width="6.375" customWidth="1"/>
    <col min="10" max="10" width="12.375" customWidth="1"/>
    <col min="11" max="11" width="6.375" customWidth="1"/>
    <col min="12" max="12" width="12.375" customWidth="1"/>
    <col min="13" max="13" width="6.375" customWidth="1"/>
    <col min="14" max="14" width="0.625" customWidth="1"/>
    <col min="15" max="15" width="7.375" customWidth="1"/>
    <col min="16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78" t="s">
        <v>506</v>
      </c>
      <c r="M2" s="79"/>
      <c r="N2" s="25"/>
      <c r="O2" s="25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44104</v>
      </c>
      <c r="D3" s="82" t="s">
        <v>296</v>
      </c>
      <c r="E3" s="83"/>
      <c r="F3" s="82" t="s">
        <v>512</v>
      </c>
      <c r="G3" s="83"/>
      <c r="H3" s="82" t="s">
        <v>513</v>
      </c>
      <c r="I3" s="83"/>
      <c r="J3" s="82" t="s">
        <v>626</v>
      </c>
      <c r="K3" s="83"/>
      <c r="L3" s="82" t="s">
        <v>627</v>
      </c>
      <c r="M3" s="83"/>
      <c r="N3" s="84"/>
      <c r="O3" s="85" t="s">
        <v>491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3600000000-(F5+H5+J5+L5)</f>
        <v>2161190379</v>
      </c>
      <c r="E5" s="32">
        <f>D5/D5</f>
        <v>1</v>
      </c>
      <c r="F5" s="31">
        <f>805714097</f>
        <v>805714097</v>
      </c>
      <c r="G5" s="32">
        <f>F5/F5</f>
        <v>1</v>
      </c>
      <c r="H5" s="31">
        <f>16209154</f>
        <v>16209154</v>
      </c>
      <c r="I5" s="32">
        <f>H5/H5</f>
        <v>1</v>
      </c>
      <c r="J5" s="31">
        <f>532504547</f>
        <v>532504547</v>
      </c>
      <c r="K5" s="32">
        <f>J5/J5</f>
        <v>1</v>
      </c>
      <c r="L5" s="31">
        <f>84381823</f>
        <v>84381823</v>
      </c>
      <c r="M5" s="32">
        <f>L5/L5</f>
        <v>1</v>
      </c>
      <c r="N5" s="32"/>
      <c r="O5" s="3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4"/>
      <c r="M6" s="35"/>
      <c r="N6" s="35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SUM(D9,D25)</f>
        <v>97264060</v>
      </c>
      <c r="E7" s="38">
        <f>D7/D5</f>
        <v>4.5004855169216908E-2</v>
      </c>
      <c r="F7" s="37">
        <f>SUM(F9,F25)</f>
        <v>44105027</v>
      </c>
      <c r="G7" s="38">
        <f>F7/F5</f>
        <v>5.4740294558852681E-2</v>
      </c>
      <c r="H7" s="37">
        <f>SUM(H9,H25)</f>
        <v>1070670</v>
      </c>
      <c r="I7" s="38">
        <f>H7/H5</f>
        <v>6.6053416483056432E-2</v>
      </c>
      <c r="J7" s="37">
        <f>SUM(J9,J25)</f>
        <v>28324368</v>
      </c>
      <c r="K7" s="38">
        <f>J7/J5</f>
        <v>5.3190847213554403E-2</v>
      </c>
      <c r="L7" s="37">
        <f>SUM(L9,L25)</f>
        <v>0</v>
      </c>
      <c r="M7" s="38">
        <f>L7/L5</f>
        <v>0</v>
      </c>
      <c r="N7" s="38"/>
      <c r="O7" s="32">
        <v>0.2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4"/>
      <c r="M8" s="35"/>
      <c r="N8" s="35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SUM(D10:D23)</f>
        <v>44784365</v>
      </c>
      <c r="E9" s="41">
        <f>D9/D5</f>
        <v>2.0722082346453015E-2</v>
      </c>
      <c r="F9" s="40">
        <f>SUM(F10:F23)</f>
        <v>22647046</v>
      </c>
      <c r="G9" s="41">
        <f>F9/F5</f>
        <v>2.8108042399064542E-2</v>
      </c>
      <c r="H9" s="40">
        <f>SUM(H10:H23)</f>
        <v>32127</v>
      </c>
      <c r="I9" s="41">
        <f>H9/H5</f>
        <v>1.982028179879098E-3</v>
      </c>
      <c r="J9" s="40">
        <f>SUM(J10:J23)</f>
        <v>13631001</v>
      </c>
      <c r="K9" s="41">
        <f>J9/J5</f>
        <v>2.5597905363989315E-2</v>
      </c>
      <c r="L9" s="40">
        <f>SUM(L10:L23)</f>
        <v>0</v>
      </c>
      <c r="M9" s="41">
        <f>L9/L5</f>
        <v>0</v>
      </c>
      <c r="N9" s="41"/>
      <c r="O9" s="32">
        <v>0.15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628</v>
      </c>
      <c r="D10" s="44">
        <v>577324</v>
      </c>
      <c r="E10" s="45">
        <f>D10/D5</f>
        <v>2.6713241258603625E-4</v>
      </c>
      <c r="F10" s="44"/>
      <c r="G10" s="45">
        <f>F10/F5</f>
        <v>0</v>
      </c>
      <c r="H10" s="44"/>
      <c r="I10" s="45">
        <f>H10/H5</f>
        <v>0</v>
      </c>
      <c r="J10" s="44">
        <f>156467</f>
        <v>156467</v>
      </c>
      <c r="K10" s="45">
        <f>J10/J5</f>
        <v>2.938322327602585E-4</v>
      </c>
      <c r="L10" s="44"/>
      <c r="M10" s="45">
        <f>L10/L5</f>
        <v>0</v>
      </c>
      <c r="N10" s="45"/>
      <c r="O10" s="4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23" si="0">A10+1</f>
        <v>2</v>
      </c>
      <c r="B11" s="3"/>
      <c r="C11" s="3" t="s">
        <v>552</v>
      </c>
      <c r="D11" s="34">
        <f>5333671</f>
        <v>5333671</v>
      </c>
      <c r="E11" s="35">
        <f>D11/D5</f>
        <v>2.4679320488498252E-3</v>
      </c>
      <c r="F11" s="34">
        <f>3527423</f>
        <v>3527423</v>
      </c>
      <c r="G11" s="35">
        <f>F11/F5</f>
        <v>4.3780082949200277E-3</v>
      </c>
      <c r="H11" s="34"/>
      <c r="I11" s="35">
        <f>H11/H5</f>
        <v>0</v>
      </c>
      <c r="J11" s="34">
        <f>1516973</f>
        <v>1516973</v>
      </c>
      <c r="K11" s="35">
        <f>J11/J5</f>
        <v>2.8487512614610595E-3</v>
      </c>
      <c r="L11" s="34"/>
      <c r="M11" s="35">
        <f>L11/L5</f>
        <v>0</v>
      </c>
      <c r="N11" s="35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629</v>
      </c>
      <c r="D12" s="44">
        <f>1578920</f>
        <v>1578920</v>
      </c>
      <c r="E12" s="45">
        <f>D12/D5</f>
        <v>7.3057885845789251E-4</v>
      </c>
      <c r="F12" s="44">
        <f>1995909</f>
        <v>1995909</v>
      </c>
      <c r="G12" s="45">
        <f>F12/F5</f>
        <v>2.4771926014842956E-3</v>
      </c>
      <c r="H12" s="44"/>
      <c r="I12" s="45">
        <f>H12/H5</f>
        <v>0</v>
      </c>
      <c r="J12" s="44">
        <f>429120</f>
        <v>429120</v>
      </c>
      <c r="K12" s="45">
        <f>J12/J5</f>
        <v>8.0585227378349503E-4</v>
      </c>
      <c r="L12" s="44"/>
      <c r="M12" s="45">
        <f>L12/L5</f>
        <v>0</v>
      </c>
      <c r="N12" s="45"/>
      <c r="O12" s="4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630</v>
      </c>
      <c r="D13" s="34">
        <f>5635231</f>
        <v>5635231</v>
      </c>
      <c r="E13" s="35">
        <f>D13/D5</f>
        <v>2.6074662624620171E-3</v>
      </c>
      <c r="F13" s="34">
        <f>2383738</f>
        <v>2383738</v>
      </c>
      <c r="G13" s="35">
        <f>F13/F5</f>
        <v>2.9585407638709838E-3</v>
      </c>
      <c r="H13" s="34"/>
      <c r="I13" s="35">
        <f>H13/H5</f>
        <v>0</v>
      </c>
      <c r="J13" s="34">
        <f>1538306</f>
        <v>1538306</v>
      </c>
      <c r="K13" s="35">
        <f>J13/J5</f>
        <v>2.8888128912071057E-3</v>
      </c>
      <c r="L13" s="34"/>
      <c r="M13" s="35">
        <f>L13/L5</f>
        <v>0</v>
      </c>
      <c r="N13" s="3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631</v>
      </c>
      <c r="D14" s="44">
        <f>3232790</f>
        <v>3232790</v>
      </c>
      <c r="E14" s="45">
        <f>D14/D5</f>
        <v>1.4958376788146899E-3</v>
      </c>
      <c r="F14" s="44">
        <f>3170825</f>
        <v>3170825</v>
      </c>
      <c r="G14" s="45">
        <f>F14/F5</f>
        <v>3.9354220210447675E-3</v>
      </c>
      <c r="H14" s="44">
        <f>674</f>
        <v>674</v>
      </c>
      <c r="I14" s="45">
        <f>H14/H5</f>
        <v>4.1581442190011889E-5</v>
      </c>
      <c r="J14" s="44">
        <f>686286</f>
        <v>686286</v>
      </c>
      <c r="K14" s="45">
        <f>J14/J5</f>
        <v>1.2887889950731256E-3</v>
      </c>
      <c r="L14" s="44"/>
      <c r="M14" s="45">
        <f>L14/L5</f>
        <v>0</v>
      </c>
      <c r="N14" s="45"/>
      <c r="O14" s="4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632</v>
      </c>
      <c r="D15" s="34">
        <f>4462051</f>
        <v>4462051</v>
      </c>
      <c r="E15" s="35">
        <f>D15/D5</f>
        <v>2.0646265333018124E-3</v>
      </c>
      <c r="F15" s="34"/>
      <c r="G15" s="35">
        <f>F15/F5</f>
        <v>0</v>
      </c>
      <c r="H15" s="34"/>
      <c r="I15" s="35">
        <f>H15/H5</f>
        <v>0</v>
      </c>
      <c r="J15" s="34">
        <f>8083141</f>
        <v>8083141</v>
      </c>
      <c r="K15" s="35">
        <f>J15/J5</f>
        <v>1.5179477894674203E-2</v>
      </c>
      <c r="L15" s="34"/>
      <c r="M15" s="35">
        <f>L15/L5</f>
        <v>0</v>
      </c>
      <c r="N15" s="35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633</v>
      </c>
      <c r="D16" s="44">
        <f>4509791</f>
        <v>4509791</v>
      </c>
      <c r="E16" s="45">
        <f>D16/D5</f>
        <v>2.0867162115013283E-3</v>
      </c>
      <c r="F16" s="44">
        <v>1117189</v>
      </c>
      <c r="G16" s="45">
        <f>F16/F5</f>
        <v>1.3865824169637187E-3</v>
      </c>
      <c r="H16" s="44"/>
      <c r="I16" s="45">
        <f>H16/H5</f>
        <v>0</v>
      </c>
      <c r="J16" s="44">
        <f>1220708</f>
        <v>1220708</v>
      </c>
      <c r="K16" s="45">
        <f>J16/J5</f>
        <v>2.2923898150300679E-3</v>
      </c>
      <c r="L16" s="44"/>
      <c r="M16" s="45">
        <f>L16/L5</f>
        <v>0</v>
      </c>
      <c r="N16" s="45"/>
      <c r="O16" s="4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634</v>
      </c>
      <c r="D17" s="34">
        <f>14723096</f>
        <v>14723096</v>
      </c>
      <c r="E17" s="35">
        <f>D17/D5</f>
        <v>6.8124937733678483E-3</v>
      </c>
      <c r="F17" s="34"/>
      <c r="G17" s="35">
        <f>F17/F5</f>
        <v>0</v>
      </c>
      <c r="H17" s="34"/>
      <c r="I17" s="35">
        <f>H17/H5</f>
        <v>0</v>
      </c>
      <c r="J17" s="34"/>
      <c r="K17" s="35">
        <f>J17/J5</f>
        <v>0</v>
      </c>
      <c r="L17" s="34"/>
      <c r="M17" s="35">
        <f>L17/L5</f>
        <v>0</v>
      </c>
      <c r="N17" s="35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635</v>
      </c>
      <c r="D18" s="44">
        <f>338157</f>
        <v>338157</v>
      </c>
      <c r="E18" s="45">
        <f>D18/D5</f>
        <v>1.5646793696928632E-4</v>
      </c>
      <c r="F18" s="44">
        <v>118755</v>
      </c>
      <c r="G18" s="45">
        <f>F18/F5</f>
        <v>1.4739099196870575E-4</v>
      </c>
      <c r="H18" s="44">
        <f>7804</f>
        <v>7804</v>
      </c>
      <c r="I18" s="45">
        <f>H18/H5</f>
        <v>4.8145634250868369E-4</v>
      </c>
      <c r="J18" s="44"/>
      <c r="K18" s="45">
        <f>J18/J5</f>
        <v>0</v>
      </c>
      <c r="L18" s="44"/>
      <c r="M18" s="45">
        <f>L18/L5</f>
        <v>0</v>
      </c>
      <c r="N18" s="45"/>
      <c r="O18" s="4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 t="s">
        <v>636</v>
      </c>
      <c r="D19" s="34">
        <f>30067</f>
        <v>30067</v>
      </c>
      <c r="E19" s="35">
        <f>D19/D5</f>
        <v>1.391224035242663E-5</v>
      </c>
      <c r="F19" s="34"/>
      <c r="G19" s="35">
        <f>F19/F5</f>
        <v>0</v>
      </c>
      <c r="H19" s="34"/>
      <c r="I19" s="35">
        <f>H19/H5</f>
        <v>0</v>
      </c>
      <c r="J19" s="34"/>
      <c r="K19" s="35">
        <f>J19/J5</f>
        <v>0</v>
      </c>
      <c r="L19" s="34"/>
      <c r="M19" s="35">
        <f>L19/L5</f>
        <v>0</v>
      </c>
      <c r="N19" s="3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42">
        <f t="shared" si="0"/>
        <v>11</v>
      </c>
      <c r="B20" s="43"/>
      <c r="C20" s="43" t="s">
        <v>637</v>
      </c>
      <c r="D20" s="44">
        <f>1185333</f>
        <v>1185333</v>
      </c>
      <c r="E20" s="45">
        <f>D20/D5</f>
        <v>5.4846301904622717E-4</v>
      </c>
      <c r="F20" s="44"/>
      <c r="G20" s="45">
        <f>F20/F5</f>
        <v>0</v>
      </c>
      <c r="H20" s="44"/>
      <c r="I20" s="45">
        <f>H20/H5</f>
        <v>0</v>
      </c>
      <c r="J20" s="44"/>
      <c r="K20" s="45">
        <f>J20/J5</f>
        <v>0</v>
      </c>
      <c r="L20" s="44"/>
      <c r="M20" s="45">
        <f>L20/L5</f>
        <v>0</v>
      </c>
      <c r="N20" s="45"/>
      <c r="O20" s="4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3">
        <f t="shared" si="0"/>
        <v>12</v>
      </c>
      <c r="B21" s="3"/>
      <c r="C21" s="3" t="s">
        <v>638</v>
      </c>
      <c r="D21" s="34">
        <f>3177934</f>
        <v>3177934</v>
      </c>
      <c r="E21" s="35">
        <f>D21/D5</f>
        <v>1.4704553707436249E-3</v>
      </c>
      <c r="F21" s="34">
        <f>282765</f>
        <v>282765</v>
      </c>
      <c r="G21" s="35">
        <f>F21/F5</f>
        <v>3.5094955028446028E-4</v>
      </c>
      <c r="H21" s="34">
        <f>23649</f>
        <v>23649</v>
      </c>
      <c r="I21" s="35">
        <f>H21/H5</f>
        <v>1.4589903951804024E-3</v>
      </c>
      <c r="J21" s="34"/>
      <c r="K21" s="35">
        <f>J21/J5</f>
        <v>0</v>
      </c>
      <c r="L21" s="34"/>
      <c r="M21" s="35">
        <f>L21/L5</f>
        <v>0</v>
      </c>
      <c r="N21" s="35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f t="shared" si="0"/>
        <v>13</v>
      </c>
      <c r="B22" s="43"/>
      <c r="C22" s="43" t="s">
        <v>639</v>
      </c>
      <c r="D22" s="44"/>
      <c r="E22" s="45">
        <f>D22/D5</f>
        <v>0</v>
      </c>
      <c r="F22" s="44">
        <f>9076627</f>
        <v>9076627</v>
      </c>
      <c r="G22" s="45">
        <f>F22/F5</f>
        <v>1.1265319837143175E-2</v>
      </c>
      <c r="H22" s="44"/>
      <c r="I22" s="45">
        <f>H22/H5</f>
        <v>0</v>
      </c>
      <c r="J22" s="44"/>
      <c r="K22" s="45">
        <f>J22/J5</f>
        <v>0</v>
      </c>
      <c r="L22" s="44"/>
      <c r="M22" s="45">
        <f>L22/L5</f>
        <v>0</v>
      </c>
      <c r="N22" s="45"/>
      <c r="O22" s="4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si="0"/>
        <v>14</v>
      </c>
      <c r="B23" s="3"/>
      <c r="C23" s="3" t="s">
        <v>640</v>
      </c>
      <c r="D23" s="34"/>
      <c r="E23" s="35">
        <f>D23/D5</f>
        <v>0</v>
      </c>
      <c r="F23" s="34">
        <v>973815</v>
      </c>
      <c r="G23" s="35">
        <f>F23/F5</f>
        <v>1.2086359213844065E-3</v>
      </c>
      <c r="H23" s="34"/>
      <c r="I23" s="35">
        <f>H23/H5</f>
        <v>0</v>
      </c>
      <c r="J23" s="34"/>
      <c r="K23" s="35">
        <f>J23/J5</f>
        <v>0</v>
      </c>
      <c r="L23" s="34"/>
      <c r="M23" s="35">
        <f>L23/L5</f>
        <v>0</v>
      </c>
      <c r="N23" s="35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3" customHeight="1">
      <c r="A24" s="23"/>
      <c r="B24" s="3"/>
      <c r="C24" s="3"/>
      <c r="D24" s="34"/>
      <c r="E24" s="35"/>
      <c r="F24" s="34"/>
      <c r="G24" s="35"/>
      <c r="H24" s="34"/>
      <c r="I24" s="35"/>
      <c r="J24" s="34"/>
      <c r="K24" s="35"/>
      <c r="L24" s="34"/>
      <c r="M24" s="35"/>
      <c r="N24" s="35"/>
      <c r="O24" s="46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9"/>
      <c r="B25" s="39" t="s">
        <v>495</v>
      </c>
      <c r="C25" s="39"/>
      <c r="D25" s="40">
        <f>SUM(D26:D37)</f>
        <v>52479695</v>
      </c>
      <c r="E25" s="41">
        <f>D25/D5</f>
        <v>2.4282772822763893E-2</v>
      </c>
      <c r="F25" s="40">
        <f>SUM(F26:F37)</f>
        <v>21457981</v>
      </c>
      <c r="G25" s="41">
        <f>F25/F5</f>
        <v>2.663225215978814E-2</v>
      </c>
      <c r="H25" s="40">
        <f>SUM(H26:H37)</f>
        <v>1038543</v>
      </c>
      <c r="I25" s="41">
        <f>H25/H5</f>
        <v>6.4071388303177323E-2</v>
      </c>
      <c r="J25" s="40">
        <f>SUM(J26:J37)</f>
        <v>14693367</v>
      </c>
      <c r="K25" s="41">
        <f>J25/J5</f>
        <v>2.7592941849565088E-2</v>
      </c>
      <c r="L25" s="40">
        <f>SUM(L26:L37)</f>
        <v>0</v>
      </c>
      <c r="M25" s="41">
        <f>L25/L5</f>
        <v>0</v>
      </c>
      <c r="N25" s="41"/>
      <c r="O25" s="32">
        <v>0.15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v>1</v>
      </c>
      <c r="B26" s="43"/>
      <c r="C26" s="43" t="s">
        <v>641</v>
      </c>
      <c r="D26" s="44">
        <f>8832576</f>
        <v>8832576</v>
      </c>
      <c r="E26" s="45">
        <f>D26/D5</f>
        <v>4.0869032574940957E-3</v>
      </c>
      <c r="F26" s="44">
        <f>3180823</f>
        <v>3180823</v>
      </c>
      <c r="G26" s="45">
        <f>F26/F5</f>
        <v>3.9478308891993984E-3</v>
      </c>
      <c r="H26" s="44">
        <f>17671</f>
        <v>17671</v>
      </c>
      <c r="I26" s="45">
        <f>H26/H5</f>
        <v>1.0901864464980713E-3</v>
      </c>
      <c r="J26" s="44">
        <f>2431768</f>
        <v>2431768</v>
      </c>
      <c r="K26" s="45">
        <f>J26/J5</f>
        <v>4.5666614749113122E-3</v>
      </c>
      <c r="L26" s="44"/>
      <c r="M26" s="45">
        <f>L26/L5</f>
        <v>0</v>
      </c>
      <c r="N26" s="45"/>
      <c r="O26" s="4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ref="A27:A38" si="1">A26+1</f>
        <v>2</v>
      </c>
      <c r="B27" s="3"/>
      <c r="C27" s="3" t="s">
        <v>642</v>
      </c>
      <c r="D27" s="34">
        <f>11259409</f>
        <v>11259409</v>
      </c>
      <c r="E27" s="35">
        <f>D27/D5</f>
        <v>5.2098182137983694E-3</v>
      </c>
      <c r="F27" s="34">
        <f>1352774</f>
        <v>1352774</v>
      </c>
      <c r="G27" s="35">
        <f>F27/F5</f>
        <v>1.6789752159443725E-3</v>
      </c>
      <c r="H27" s="34">
        <f>57493</f>
        <v>57493</v>
      </c>
      <c r="I27" s="35">
        <f>H27/H5</f>
        <v>3.5469463736355396E-3</v>
      </c>
      <c r="J27" s="34">
        <f>3126971</f>
        <v>3126971</v>
      </c>
      <c r="K27" s="35">
        <f>J27/J5</f>
        <v>5.8721958669021466E-3</v>
      </c>
      <c r="L27" s="34"/>
      <c r="M27" s="35">
        <f>L27/L5</f>
        <v>0</v>
      </c>
      <c r="N27" s="35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3</v>
      </c>
      <c r="B28" s="43"/>
      <c r="C28" s="43" t="s">
        <v>643</v>
      </c>
      <c r="D28" s="44">
        <f>8340863</f>
        <v>8340863</v>
      </c>
      <c r="E28" s="45">
        <f>D28/D5</f>
        <v>3.8593837364107571E-3</v>
      </c>
      <c r="F28" s="44">
        <f>5348577</f>
        <v>5348577</v>
      </c>
      <c r="G28" s="45">
        <f>F28/F5</f>
        <v>6.6383063420572125E-3</v>
      </c>
      <c r="H28" s="44">
        <f>374426</f>
        <v>374426</v>
      </c>
      <c r="I28" s="45">
        <f>H28/H5</f>
        <v>2.3099663313705329E-2</v>
      </c>
      <c r="J28" s="44">
        <f>2460516</f>
        <v>2460516</v>
      </c>
      <c r="K28" s="45">
        <f>J28/J5</f>
        <v>4.6206478683833664E-3</v>
      </c>
      <c r="L28" s="44"/>
      <c r="M28" s="45">
        <f>L28/L5</f>
        <v>0</v>
      </c>
      <c r="N28" s="45"/>
      <c r="O28" s="4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4</v>
      </c>
      <c r="B29" s="3"/>
      <c r="C29" s="3" t="s">
        <v>415</v>
      </c>
      <c r="D29" s="34">
        <f>11933434</f>
        <v>11933434</v>
      </c>
      <c r="E29" s="35">
        <f>D29/D5</f>
        <v>5.5216949492074337E-3</v>
      </c>
      <c r="F29" s="34">
        <f>1420359</f>
        <v>1420359</v>
      </c>
      <c r="G29" s="35">
        <f>F29/F5</f>
        <v>1.7628573277898103E-3</v>
      </c>
      <c r="H29" s="34">
        <f>60365</f>
        <v>60365</v>
      </c>
      <c r="I29" s="35">
        <f>H29/H5</f>
        <v>3.7241302044511392E-3</v>
      </c>
      <c r="J29" s="34">
        <f>3283195</f>
        <v>3283195</v>
      </c>
      <c r="K29" s="35">
        <f>J29/J5</f>
        <v>6.1655717655308582E-3</v>
      </c>
      <c r="L29" s="34"/>
      <c r="M29" s="35">
        <f>L29/L5</f>
        <v>0</v>
      </c>
      <c r="N29" s="35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5</v>
      </c>
      <c r="B30" s="43"/>
      <c r="C30" s="43" t="s">
        <v>644</v>
      </c>
      <c r="D30" s="44"/>
      <c r="E30" s="45">
        <f>D30/D5</f>
        <v>0</v>
      </c>
      <c r="F30" s="44">
        <f>8688486</f>
        <v>8688486</v>
      </c>
      <c r="G30" s="45">
        <f>F30/F5</f>
        <v>1.0783584440623235E-2</v>
      </c>
      <c r="H30" s="44">
        <f>466242</f>
        <v>466242</v>
      </c>
      <c r="I30" s="45">
        <f>H30/H5</f>
        <v>2.8764116868776741E-2</v>
      </c>
      <c r="J30" s="44"/>
      <c r="K30" s="45">
        <f>J30/J5</f>
        <v>0</v>
      </c>
      <c r="L30" s="44"/>
      <c r="M30" s="45">
        <f>L30/L5</f>
        <v>0</v>
      </c>
      <c r="N30" s="45"/>
      <c r="O30" s="4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6</v>
      </c>
      <c r="B31" s="3"/>
      <c r="C31" s="3" t="s">
        <v>461</v>
      </c>
      <c r="D31" s="34">
        <v>12113413</v>
      </c>
      <c r="E31" s="35">
        <f>D31/D5</f>
        <v>5.6049726658532377E-3</v>
      </c>
      <c r="F31" s="34">
        <f>1466962</f>
        <v>1466962</v>
      </c>
      <c r="G31" s="35">
        <f>F31/F5</f>
        <v>1.8206979441741107E-3</v>
      </c>
      <c r="H31" s="34">
        <f>62346</f>
        <v>62346</v>
      </c>
      <c r="I31" s="35">
        <f>H31/H5</f>
        <v>3.8463450961105064E-3</v>
      </c>
      <c r="J31" s="34">
        <f>3390917</f>
        <v>3390917</v>
      </c>
      <c r="K31" s="35">
        <f>J31/J5</f>
        <v>6.3678648738374061E-3</v>
      </c>
      <c r="L31" s="34"/>
      <c r="M31" s="35">
        <f>L31/L5</f>
        <v>0</v>
      </c>
      <c r="N31" s="3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7</v>
      </c>
      <c r="B32" s="43"/>
      <c r="C32" s="43"/>
      <c r="D32" s="44"/>
      <c r="E32" s="45">
        <f>D32/D5</f>
        <v>0</v>
      </c>
      <c r="F32" s="44"/>
      <c r="G32" s="45">
        <f>F32/F5</f>
        <v>0</v>
      </c>
      <c r="H32" s="44"/>
      <c r="I32" s="45">
        <f>H32/H5</f>
        <v>0</v>
      </c>
      <c r="J32" s="44"/>
      <c r="K32" s="45">
        <f>J32/J5</f>
        <v>0</v>
      </c>
      <c r="L32" s="44"/>
      <c r="M32" s="45">
        <f>L32/L5</f>
        <v>0</v>
      </c>
      <c r="N32" s="45"/>
      <c r="O32" s="4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8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>
        <f>H33/H5</f>
        <v>0</v>
      </c>
      <c r="J33" s="34"/>
      <c r="K33" s="35">
        <f>J33/J5</f>
        <v>0</v>
      </c>
      <c r="L33" s="34"/>
      <c r="M33" s="35">
        <f>L33/L5</f>
        <v>0</v>
      </c>
      <c r="N33" s="35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9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>
        <f>H34/H5</f>
        <v>0</v>
      </c>
      <c r="J34" s="44"/>
      <c r="K34" s="45">
        <f>J34/J5</f>
        <v>0</v>
      </c>
      <c r="L34" s="44"/>
      <c r="M34" s="45">
        <f>L34/L5</f>
        <v>0</v>
      </c>
      <c r="N34" s="45"/>
      <c r="O34" s="4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>
        <f t="shared" si="1"/>
        <v>10</v>
      </c>
      <c r="B35" s="3"/>
      <c r="C35" s="3"/>
      <c r="D35" s="34"/>
      <c r="E35" s="35">
        <f>D35/D5</f>
        <v>0</v>
      </c>
      <c r="F35" s="34"/>
      <c r="G35" s="35">
        <f>F35/F5</f>
        <v>0</v>
      </c>
      <c r="H35" s="34"/>
      <c r="I35" s="35">
        <f>H35/H5</f>
        <v>0</v>
      </c>
      <c r="J35" s="34"/>
      <c r="K35" s="35">
        <f>J35/J5</f>
        <v>0</v>
      </c>
      <c r="L35" s="34"/>
      <c r="M35" s="35">
        <f>L35/L5</f>
        <v>0</v>
      </c>
      <c r="N35" s="35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42">
        <f t="shared" si="1"/>
        <v>11</v>
      </c>
      <c r="B36" s="43"/>
      <c r="C36" s="43"/>
      <c r="D36" s="44"/>
      <c r="E36" s="45">
        <f>D36/D5</f>
        <v>0</v>
      </c>
      <c r="F36" s="44"/>
      <c r="G36" s="45">
        <f>F36/F5</f>
        <v>0</v>
      </c>
      <c r="H36" s="44"/>
      <c r="I36" s="45">
        <f>H36/H5</f>
        <v>0</v>
      </c>
      <c r="J36" s="44"/>
      <c r="K36" s="45">
        <f>J36/J5</f>
        <v>0</v>
      </c>
      <c r="L36" s="44"/>
      <c r="M36" s="45">
        <f>L36/L5</f>
        <v>0</v>
      </c>
      <c r="N36" s="45"/>
      <c r="O36" s="4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>
        <f t="shared" si="1"/>
        <v>12</v>
      </c>
      <c r="B37" s="3"/>
      <c r="C37" s="3"/>
      <c r="D37" s="34"/>
      <c r="E37" s="35">
        <f>D37/D5</f>
        <v>0</v>
      </c>
      <c r="F37" s="34"/>
      <c r="G37" s="35">
        <f>F37/F5</f>
        <v>0</v>
      </c>
      <c r="H37" s="34"/>
      <c r="I37" s="35">
        <f>H37/H5</f>
        <v>0</v>
      </c>
      <c r="J37" s="34"/>
      <c r="K37" s="35">
        <f>J37/J5</f>
        <v>0</v>
      </c>
      <c r="L37" s="34"/>
      <c r="M37" s="35">
        <f>L37/L5</f>
        <v>0</v>
      </c>
      <c r="N37" s="35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42">
        <f t="shared" si="1"/>
        <v>13</v>
      </c>
      <c r="B38" s="43"/>
      <c r="C38" s="43"/>
      <c r="D38" s="44"/>
      <c r="E38" s="45">
        <f>D38/D5</f>
        <v>0</v>
      </c>
      <c r="F38" s="44"/>
      <c r="G38" s="45">
        <f>F38/F5</f>
        <v>0</v>
      </c>
      <c r="H38" s="44"/>
      <c r="I38" s="45">
        <f>H38/H5</f>
        <v>0</v>
      </c>
      <c r="J38" s="44"/>
      <c r="K38" s="45">
        <f>J38/J5</f>
        <v>0</v>
      </c>
      <c r="L38" s="44"/>
      <c r="M38" s="45">
        <f>L38/L5</f>
        <v>0</v>
      </c>
      <c r="N38" s="45"/>
      <c r="O38" s="4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3" customHeight="1">
      <c r="A39" s="47"/>
      <c r="B39" s="48"/>
      <c r="C39" s="48"/>
      <c r="D39" s="48"/>
      <c r="E39" s="49"/>
      <c r="F39" s="48"/>
      <c r="G39" s="49"/>
      <c r="H39" s="48"/>
      <c r="I39" s="49"/>
      <c r="J39" s="48"/>
      <c r="K39" s="49"/>
      <c r="L39" s="48"/>
      <c r="M39" s="49"/>
      <c r="N39" s="48"/>
      <c r="O39" s="48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5"/>
      <c r="F40" s="3"/>
      <c r="G40" s="35"/>
      <c r="H40" s="3"/>
      <c r="I40" s="35"/>
      <c r="J40" s="3"/>
      <c r="K40" s="35"/>
      <c r="L40" s="3"/>
      <c r="M40" s="35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L2:M2"/>
    <mergeCell ref="D3:E3"/>
    <mergeCell ref="F3:G3"/>
    <mergeCell ref="L3:M3"/>
    <mergeCell ref="H3:I3"/>
    <mergeCell ref="J3:K3"/>
    <mergeCell ref="D2:E2"/>
    <mergeCell ref="F2:G2"/>
    <mergeCell ref="H2:I2"/>
    <mergeCell ref="J2:K2"/>
  </mergeCells>
  <pageMargins left="0.511811024" right="0.511811024" top="0.78740157499999996" bottom="0.78740157499999996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4.375" customWidth="1"/>
    <col min="7" max="7" width="6.625" customWidth="1"/>
    <col min="8" max="8" width="14" customWidth="1"/>
    <col min="9" max="9" width="6.625" customWidth="1"/>
    <col min="10" max="10" width="11.375" customWidth="1"/>
    <col min="11" max="11" width="6.375" customWidth="1"/>
    <col min="12" max="12" width="12.375" customWidth="1"/>
    <col min="13" max="13" width="6.375" customWidth="1"/>
    <col min="14" max="14" width="0.625" customWidth="1"/>
    <col min="15" max="15" width="7.5" customWidth="1"/>
    <col min="16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78" t="s">
        <v>506</v>
      </c>
      <c r="M2" s="79"/>
      <c r="N2" s="25"/>
      <c r="O2" s="25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44286</v>
      </c>
      <c r="D3" s="82" t="s">
        <v>111</v>
      </c>
      <c r="E3" s="83"/>
      <c r="F3" s="82"/>
      <c r="G3" s="83"/>
      <c r="H3" s="82"/>
      <c r="I3" s="83"/>
      <c r="J3" s="82"/>
      <c r="K3" s="83"/>
      <c r="L3" s="82"/>
      <c r="M3" s="83"/>
      <c r="N3" s="84"/>
      <c r="O3" s="85" t="s">
        <v>491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1093959123.1199999</v>
      </c>
      <c r="E5" s="32">
        <f>D5/D5</f>
        <v>1</v>
      </c>
      <c r="F5" s="31"/>
      <c r="G5" s="32" t="e">
        <f>F5/F5</f>
        <v>#DIV/0!</v>
      </c>
      <c r="H5" s="31"/>
      <c r="I5" s="32" t="e">
        <f>H5/H5</f>
        <v>#DIV/0!</v>
      </c>
      <c r="J5" s="31"/>
      <c r="K5" s="32" t="e">
        <f>J5/J5</f>
        <v>#DIV/0!</v>
      </c>
      <c r="L5" s="31"/>
      <c r="M5" s="32" t="e">
        <f>L5/L5</f>
        <v>#DIV/0!</v>
      </c>
      <c r="N5" s="32"/>
      <c r="O5" s="3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4"/>
      <c r="M6" s="35"/>
      <c r="N6" s="35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119220278.35000001</v>
      </c>
      <c r="E7" s="38">
        <f>D7/D5</f>
        <v>0.1089805604527349</v>
      </c>
      <c r="F7" s="37">
        <f>SUM(F9,F21)</f>
        <v>0</v>
      </c>
      <c r="G7" s="38" t="e">
        <f>F7/F5</f>
        <v>#DIV/0!</v>
      </c>
      <c r="H7" s="37">
        <f>SUM(H9,H21)</f>
        <v>0</v>
      </c>
      <c r="I7" s="38" t="e">
        <f>H7/H5</f>
        <v>#DIV/0!</v>
      </c>
      <c r="J7" s="37">
        <f>SUM(J9,J21)</f>
        <v>0</v>
      </c>
      <c r="K7" s="38" t="e">
        <f>J7/J5</f>
        <v>#DIV/0!</v>
      </c>
      <c r="L7" s="37">
        <f>SUM(L9,L21)</f>
        <v>0</v>
      </c>
      <c r="M7" s="38" t="e">
        <f>L7/L5</f>
        <v>#DIV/0!</v>
      </c>
      <c r="N7" s="38"/>
      <c r="O7" s="32">
        <v>0.2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4"/>
      <c r="M8" s="35"/>
      <c r="N8" s="35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0</v>
      </c>
      <c r="E9" s="41">
        <f>D9/D5</f>
        <v>0</v>
      </c>
      <c r="F9" s="40">
        <f>SUM(F10:F19)</f>
        <v>0</v>
      </c>
      <c r="G9" s="41" t="e">
        <f>F9/F5</f>
        <v>#DIV/0!</v>
      </c>
      <c r="H9" s="40">
        <f>SUM(H10:H19)</f>
        <v>0</v>
      </c>
      <c r="I9" s="41" t="e">
        <f>H9/H5</f>
        <v>#DIV/0!</v>
      </c>
      <c r="J9" s="40">
        <f>SUM(J10:J19)</f>
        <v>0</v>
      </c>
      <c r="K9" s="41" t="e">
        <f>J9/J5</f>
        <v>#DIV/0!</v>
      </c>
      <c r="L9" s="40">
        <f>SUM(L10:L19)</f>
        <v>0</v>
      </c>
      <c r="M9" s="41" t="e">
        <f>L9/L5</f>
        <v>#DIV/0!</v>
      </c>
      <c r="N9" s="41"/>
      <c r="O9" s="32">
        <v>0.15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/>
      <c r="D10" s="44"/>
      <c r="E10" s="45">
        <f>D10/D5</f>
        <v>0</v>
      </c>
      <c r="F10" s="44"/>
      <c r="G10" s="45" t="e">
        <f>F10/F5</f>
        <v>#DIV/0!</v>
      </c>
      <c r="H10" s="44"/>
      <c r="I10" s="45" t="e">
        <f>H10/H5</f>
        <v>#DIV/0!</v>
      </c>
      <c r="J10" s="44"/>
      <c r="K10" s="45" t="e">
        <f>J10/J5</f>
        <v>#DIV/0!</v>
      </c>
      <c r="L10" s="44"/>
      <c r="M10" s="45" t="e">
        <f>L10/L5</f>
        <v>#DIV/0!</v>
      </c>
      <c r="N10" s="45"/>
      <c r="O10" s="4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/>
      <c r="D11" s="34"/>
      <c r="E11" s="35">
        <f>D11/D5</f>
        <v>0</v>
      </c>
      <c r="F11" s="34"/>
      <c r="G11" s="35" t="e">
        <f>F11/F5</f>
        <v>#DIV/0!</v>
      </c>
      <c r="H11" s="34"/>
      <c r="I11" s="35" t="e">
        <f>H11/H5</f>
        <v>#DIV/0!</v>
      </c>
      <c r="J11" s="34"/>
      <c r="K11" s="35" t="e">
        <f>J11/J5</f>
        <v>#DIV/0!</v>
      </c>
      <c r="L11" s="34"/>
      <c r="M11" s="35" t="e">
        <f>L11/L5</f>
        <v>#DIV/0!</v>
      </c>
      <c r="N11" s="35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/>
      <c r="D12" s="44"/>
      <c r="E12" s="45">
        <f>D12/D5</f>
        <v>0</v>
      </c>
      <c r="F12" s="44"/>
      <c r="G12" s="45" t="e">
        <f>F12/F5</f>
        <v>#DIV/0!</v>
      </c>
      <c r="H12" s="44"/>
      <c r="I12" s="45" t="e">
        <f>H12/H5</f>
        <v>#DIV/0!</v>
      </c>
      <c r="J12" s="44"/>
      <c r="K12" s="45" t="e">
        <f>J12/J5</f>
        <v>#DIV/0!</v>
      </c>
      <c r="L12" s="44"/>
      <c r="M12" s="45" t="e">
        <f>L12/L5</f>
        <v>#DIV/0!</v>
      </c>
      <c r="N12" s="45"/>
      <c r="O12" s="4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4"/>
      <c r="G13" s="35" t="e">
        <f>F13/F5</f>
        <v>#DIV/0!</v>
      </c>
      <c r="H13" s="34"/>
      <c r="I13" s="35" t="e">
        <f>H13/H5</f>
        <v>#DIV/0!</v>
      </c>
      <c r="J13" s="34"/>
      <c r="K13" s="35" t="e">
        <f>J13/J5</f>
        <v>#DIV/0!</v>
      </c>
      <c r="L13" s="34"/>
      <c r="M13" s="35" t="e">
        <f>L13/L5</f>
        <v>#DIV/0!</v>
      </c>
      <c r="N13" s="3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 t="e">
        <f>F14/F5</f>
        <v>#DIV/0!</v>
      </c>
      <c r="H14" s="44"/>
      <c r="I14" s="45" t="e">
        <f>H14/H5</f>
        <v>#DIV/0!</v>
      </c>
      <c r="J14" s="44"/>
      <c r="K14" s="45" t="e">
        <f>J14/J5</f>
        <v>#DIV/0!</v>
      </c>
      <c r="L14" s="44"/>
      <c r="M14" s="45" t="e">
        <f>L14/L5</f>
        <v>#DIV/0!</v>
      </c>
      <c r="N14" s="45"/>
      <c r="O14" s="4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 t="e">
        <f>F15/F5</f>
        <v>#DIV/0!</v>
      </c>
      <c r="H15" s="34"/>
      <c r="I15" s="35" t="e">
        <f>H15/H5</f>
        <v>#DIV/0!</v>
      </c>
      <c r="J15" s="34"/>
      <c r="K15" s="35" t="e">
        <f>J15/J5</f>
        <v>#DIV/0!</v>
      </c>
      <c r="L15" s="34"/>
      <c r="M15" s="35" t="e">
        <f>L15/L5</f>
        <v>#DIV/0!</v>
      </c>
      <c r="N15" s="35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 t="e">
        <f>F16/F5</f>
        <v>#DIV/0!</v>
      </c>
      <c r="H16" s="44"/>
      <c r="I16" s="45" t="e">
        <f>H16/H5</f>
        <v>#DIV/0!</v>
      </c>
      <c r="J16" s="44"/>
      <c r="K16" s="45" t="e">
        <f>J16/J5</f>
        <v>#DIV/0!</v>
      </c>
      <c r="L16" s="44"/>
      <c r="M16" s="45" t="e">
        <f>L16/L5</f>
        <v>#DIV/0!</v>
      </c>
      <c r="N16" s="45"/>
      <c r="O16" s="4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 t="e">
        <f>F17/F5</f>
        <v>#DIV/0!</v>
      </c>
      <c r="H17" s="34"/>
      <c r="I17" s="35" t="e">
        <f>H17/H5</f>
        <v>#DIV/0!</v>
      </c>
      <c r="J17" s="34"/>
      <c r="K17" s="35" t="e">
        <f>J17/J5</f>
        <v>#DIV/0!</v>
      </c>
      <c r="L17" s="34"/>
      <c r="M17" s="35" t="e">
        <f>L17/L5</f>
        <v>#DIV/0!</v>
      </c>
      <c r="N17" s="35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 t="e">
        <f>F18/F5</f>
        <v>#DIV/0!</v>
      </c>
      <c r="H18" s="44"/>
      <c r="I18" s="45" t="e">
        <f>H18/H5</f>
        <v>#DIV/0!</v>
      </c>
      <c r="J18" s="44"/>
      <c r="K18" s="45" t="e">
        <f>J18/J5</f>
        <v>#DIV/0!</v>
      </c>
      <c r="L18" s="44"/>
      <c r="M18" s="45" t="e">
        <f>L18/L5</f>
        <v>#DIV/0!</v>
      </c>
      <c r="N18" s="45"/>
      <c r="O18" s="4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 t="e">
        <f>F19/F5</f>
        <v>#DIV/0!</v>
      </c>
      <c r="H19" s="34"/>
      <c r="I19" s="35" t="e">
        <f>H19/H5</f>
        <v>#DIV/0!</v>
      </c>
      <c r="J19" s="34"/>
      <c r="K19" s="35" t="e">
        <f>J19/J5</f>
        <v>#DIV/0!</v>
      </c>
      <c r="L19" s="34"/>
      <c r="M19" s="35" t="e">
        <f>L19/L5</f>
        <v>#DIV/0!</v>
      </c>
      <c r="N19" s="3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4"/>
      <c r="K20" s="35"/>
      <c r="L20" s="34"/>
      <c r="M20" s="35"/>
      <c r="N20" s="35"/>
      <c r="O20" s="46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119220278.35000001</v>
      </c>
      <c r="E21" s="41">
        <f>D21/D5</f>
        <v>0.1089805604527349</v>
      </c>
      <c r="F21" s="40">
        <f>SUM(F22:F33)</f>
        <v>0</v>
      </c>
      <c r="G21" s="41" t="e">
        <f>F21/F5</f>
        <v>#DIV/0!</v>
      </c>
      <c r="H21" s="40">
        <f>SUM(H22:H33)</f>
        <v>0</v>
      </c>
      <c r="I21" s="41" t="e">
        <f>H21/H5</f>
        <v>#DIV/0!</v>
      </c>
      <c r="J21" s="40">
        <f>SUM(J22:J33)</f>
        <v>0</v>
      </c>
      <c r="K21" s="41" t="e">
        <f>J21/J5</f>
        <v>#DIV/0!</v>
      </c>
      <c r="L21" s="40">
        <f>SUM(L22:L33)</f>
        <v>0</v>
      </c>
      <c r="M21" s="41" t="e">
        <f>L21/L5</f>
        <v>#DIV/0!</v>
      </c>
      <c r="N21" s="41"/>
      <c r="O21" s="32">
        <v>0.15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645</v>
      </c>
      <c r="D22" s="44">
        <v>25146857.440000001</v>
      </c>
      <c r="E22" s="45">
        <f>D22/D5</f>
        <v>2.298701743834862E-2</v>
      </c>
      <c r="F22" s="44"/>
      <c r="G22" s="45" t="e">
        <f>F22/F5</f>
        <v>#DIV/0!</v>
      </c>
      <c r="H22" s="44"/>
      <c r="I22" s="45" t="e">
        <f>H22/H5</f>
        <v>#DIV/0!</v>
      </c>
      <c r="J22" s="44"/>
      <c r="K22" s="45" t="e">
        <f>J22/J5</f>
        <v>#DIV/0!</v>
      </c>
      <c r="L22" s="44"/>
      <c r="M22" s="45" t="e">
        <f>L22/L5</f>
        <v>#DIV/0!</v>
      </c>
      <c r="N22" s="45"/>
      <c r="O22" s="4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646</v>
      </c>
      <c r="D23" s="34">
        <v>37072330.869999997</v>
      </c>
      <c r="E23" s="35">
        <f>D23/D5</f>
        <v>3.3888223139698991E-2</v>
      </c>
      <c r="F23" s="34"/>
      <c r="G23" s="35" t="e">
        <f>F23/F5</f>
        <v>#DIV/0!</v>
      </c>
      <c r="H23" s="34"/>
      <c r="I23" s="35" t="e">
        <f>H23/H5</f>
        <v>#DIV/0!</v>
      </c>
      <c r="J23" s="34"/>
      <c r="K23" s="35" t="e">
        <f>J23/J5</f>
        <v>#DIV/0!</v>
      </c>
      <c r="L23" s="34"/>
      <c r="M23" s="35" t="e">
        <f>L23/L5</f>
        <v>#DIV/0!</v>
      </c>
      <c r="N23" s="35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647</v>
      </c>
      <c r="D24" s="44">
        <v>33245936.699999999</v>
      </c>
      <c r="E24" s="45">
        <f>D24/D5</f>
        <v>3.0390474376393264E-2</v>
      </c>
      <c r="F24" s="44"/>
      <c r="G24" s="45" t="e">
        <f>F24/F5</f>
        <v>#DIV/0!</v>
      </c>
      <c r="H24" s="44"/>
      <c r="I24" s="45" t="e">
        <f>H24/H5</f>
        <v>#DIV/0!</v>
      </c>
      <c r="J24" s="44"/>
      <c r="K24" s="45" t="e">
        <f>J24/J5</f>
        <v>#DIV/0!</v>
      </c>
      <c r="L24" s="44"/>
      <c r="M24" s="45" t="e">
        <f>L24/L5</f>
        <v>#DIV/0!</v>
      </c>
      <c r="N24" s="45"/>
      <c r="O24" s="4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648</v>
      </c>
      <c r="D25" s="34">
        <v>23755153.34</v>
      </c>
      <c r="E25" s="35">
        <f>D25/D5</f>
        <v>2.1714845498294017E-2</v>
      </c>
      <c r="F25" s="34"/>
      <c r="G25" s="35" t="e">
        <f>F25/F5</f>
        <v>#DIV/0!</v>
      </c>
      <c r="H25" s="34"/>
      <c r="I25" s="35" t="e">
        <f>H25/H5</f>
        <v>#DIV/0!</v>
      </c>
      <c r="J25" s="34"/>
      <c r="K25" s="35" t="e">
        <f>J25/J5</f>
        <v>#DIV/0!</v>
      </c>
      <c r="L25" s="34"/>
      <c r="M25" s="35" t="e">
        <f>L25/L5</f>
        <v>#DIV/0!</v>
      </c>
      <c r="N25" s="35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/>
      <c r="D26" s="44"/>
      <c r="E26" s="45">
        <f>D26/D5</f>
        <v>0</v>
      </c>
      <c r="F26" s="44"/>
      <c r="G26" s="45" t="e">
        <f>F26/F5</f>
        <v>#DIV/0!</v>
      </c>
      <c r="H26" s="44"/>
      <c r="I26" s="45" t="e">
        <f>H26/H5</f>
        <v>#DIV/0!</v>
      </c>
      <c r="J26" s="44"/>
      <c r="K26" s="45" t="e">
        <f>J26/J5</f>
        <v>#DIV/0!</v>
      </c>
      <c r="L26" s="44"/>
      <c r="M26" s="45" t="e">
        <f>L26/L5</f>
        <v>#DIV/0!</v>
      </c>
      <c r="N26" s="45"/>
      <c r="O26" s="4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/>
      <c r="D27" s="34"/>
      <c r="E27" s="35">
        <f>D27/D5</f>
        <v>0</v>
      </c>
      <c r="F27" s="34"/>
      <c r="G27" s="35" t="e">
        <f>F27/F5</f>
        <v>#DIV/0!</v>
      </c>
      <c r="H27" s="34"/>
      <c r="I27" s="35" t="e">
        <f>H27/H5</f>
        <v>#DIV/0!</v>
      </c>
      <c r="J27" s="34"/>
      <c r="K27" s="35" t="e">
        <f>J27/J5</f>
        <v>#DIV/0!</v>
      </c>
      <c r="L27" s="34"/>
      <c r="M27" s="35" t="e">
        <f>L27/L5</f>
        <v>#DIV/0!</v>
      </c>
      <c r="N27" s="35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 t="e">
        <f>F28/F5</f>
        <v>#DIV/0!</v>
      </c>
      <c r="H28" s="44"/>
      <c r="I28" s="45" t="e">
        <f>H28/H5</f>
        <v>#DIV/0!</v>
      </c>
      <c r="J28" s="44"/>
      <c r="K28" s="45" t="e">
        <f>J28/J5</f>
        <v>#DIV/0!</v>
      </c>
      <c r="L28" s="44"/>
      <c r="M28" s="45" t="e">
        <f>L28/L5</f>
        <v>#DIV/0!</v>
      </c>
      <c r="N28" s="45"/>
      <c r="O28" s="4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 t="e">
        <f>F29/F5</f>
        <v>#DIV/0!</v>
      </c>
      <c r="H29" s="34"/>
      <c r="I29" s="35" t="e">
        <f>H29/H5</f>
        <v>#DIV/0!</v>
      </c>
      <c r="J29" s="34"/>
      <c r="K29" s="35" t="e">
        <f>J29/J5</f>
        <v>#DIV/0!</v>
      </c>
      <c r="L29" s="34"/>
      <c r="M29" s="35" t="e">
        <f>L29/L5</f>
        <v>#DIV/0!</v>
      </c>
      <c r="N29" s="35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 t="e">
        <f>F30/F5</f>
        <v>#DIV/0!</v>
      </c>
      <c r="H30" s="44"/>
      <c r="I30" s="45" t="e">
        <f>H30/H5</f>
        <v>#DIV/0!</v>
      </c>
      <c r="J30" s="44"/>
      <c r="K30" s="45" t="e">
        <f>J30/J5</f>
        <v>#DIV/0!</v>
      </c>
      <c r="L30" s="44"/>
      <c r="M30" s="45" t="e">
        <f>L30/L5</f>
        <v>#DIV/0!</v>
      </c>
      <c r="N30" s="45"/>
      <c r="O30" s="4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 t="e">
        <f>F31/F5</f>
        <v>#DIV/0!</v>
      </c>
      <c r="H31" s="34"/>
      <c r="I31" s="35" t="e">
        <f>H31/H5</f>
        <v>#DIV/0!</v>
      </c>
      <c r="J31" s="34"/>
      <c r="K31" s="35" t="e">
        <f>J31/J5</f>
        <v>#DIV/0!</v>
      </c>
      <c r="L31" s="34"/>
      <c r="M31" s="35" t="e">
        <f>L31/L5</f>
        <v>#DIV/0!</v>
      </c>
      <c r="N31" s="3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 t="e">
        <f>F32/F5</f>
        <v>#DIV/0!</v>
      </c>
      <c r="H32" s="44"/>
      <c r="I32" s="45" t="e">
        <f>H32/H5</f>
        <v>#DIV/0!</v>
      </c>
      <c r="J32" s="44"/>
      <c r="K32" s="45" t="e">
        <f>J32/J5</f>
        <v>#DIV/0!</v>
      </c>
      <c r="L32" s="44"/>
      <c r="M32" s="45" t="e">
        <f>L32/L5</f>
        <v>#DIV/0!</v>
      </c>
      <c r="N32" s="45"/>
      <c r="O32" s="4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 t="e">
        <f>F33/F5</f>
        <v>#DIV/0!</v>
      </c>
      <c r="H33" s="34"/>
      <c r="I33" s="35" t="e">
        <f>H33/H5</f>
        <v>#DIV/0!</v>
      </c>
      <c r="J33" s="34"/>
      <c r="K33" s="35" t="e">
        <f>J33/J5</f>
        <v>#DIV/0!</v>
      </c>
      <c r="L33" s="34"/>
      <c r="M33" s="35" t="e">
        <f>L33/L5</f>
        <v>#DIV/0!</v>
      </c>
      <c r="N33" s="35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 t="e">
        <f>F34/F5</f>
        <v>#DIV/0!</v>
      </c>
      <c r="H34" s="44"/>
      <c r="I34" s="45" t="e">
        <f>H34/H5</f>
        <v>#DIV/0!</v>
      </c>
      <c r="J34" s="44"/>
      <c r="K34" s="45" t="e">
        <f>J34/J5</f>
        <v>#DIV/0!</v>
      </c>
      <c r="L34" s="44"/>
      <c r="M34" s="45" t="e">
        <f>L34/L5</f>
        <v>#DIV/0!</v>
      </c>
      <c r="N34" s="45"/>
      <c r="O34" s="4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9"/>
      <c r="K35" s="49"/>
      <c r="L35" s="49"/>
      <c r="M35" s="49"/>
      <c r="N35" s="48"/>
      <c r="O35" s="48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5"/>
      <c r="K36" s="35"/>
      <c r="L36" s="35"/>
      <c r="M36" s="35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L2:M2"/>
    <mergeCell ref="D3:E3"/>
    <mergeCell ref="F3:G3"/>
    <mergeCell ref="L3:M3"/>
    <mergeCell ref="H3:I3"/>
    <mergeCell ref="J3:K3"/>
    <mergeCell ref="D2:E2"/>
    <mergeCell ref="F2:G2"/>
    <mergeCell ref="H2:I2"/>
    <mergeCell ref="J2:K2"/>
  </mergeCells>
  <pageMargins left="0.511811024" right="0.511811024" top="0.78740157499999996" bottom="0.78740157499999996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3.875" customWidth="1"/>
    <col min="5" max="5" width="5.375" customWidth="1"/>
    <col min="6" max="6" width="12.375" customWidth="1"/>
    <col min="7" max="7" width="5.375" customWidth="1"/>
    <col min="8" max="8" width="14.875" customWidth="1"/>
    <col min="9" max="9" width="5.375" customWidth="1"/>
    <col min="10" max="10" width="14.875" customWidth="1"/>
    <col min="11" max="11" width="5.375" customWidth="1"/>
    <col min="12" max="12" width="13.875" customWidth="1"/>
    <col min="13" max="13" width="5.375" customWidth="1"/>
    <col min="14" max="14" width="13.875" customWidth="1"/>
    <col min="15" max="15" width="5.375" customWidth="1"/>
    <col min="16" max="16" width="13.875" customWidth="1"/>
    <col min="17" max="17" width="5.375" customWidth="1"/>
    <col min="18" max="18" width="12.375" customWidth="1"/>
    <col min="19" max="19" width="5.375" customWidth="1"/>
    <col min="20" max="20" width="0.625" customWidth="1"/>
    <col min="21" max="21" width="7.375" customWidth="1"/>
    <col min="2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78" t="s">
        <v>506</v>
      </c>
      <c r="M2" s="79"/>
      <c r="N2" s="78" t="s">
        <v>507</v>
      </c>
      <c r="O2" s="79"/>
      <c r="P2" s="78" t="s">
        <v>507</v>
      </c>
      <c r="Q2" s="79"/>
      <c r="R2" s="78" t="s">
        <v>507</v>
      </c>
      <c r="S2" s="79"/>
      <c r="T2" s="25"/>
      <c r="U2" s="25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649</v>
      </c>
      <c r="E3" s="83"/>
      <c r="F3" s="82" t="s">
        <v>650</v>
      </c>
      <c r="G3" s="83"/>
      <c r="H3" s="82" t="s">
        <v>651</v>
      </c>
      <c r="I3" s="83"/>
      <c r="J3" s="82" t="s">
        <v>652</v>
      </c>
      <c r="K3" s="83"/>
      <c r="L3" s="82" t="s">
        <v>653</v>
      </c>
      <c r="M3" s="83"/>
      <c r="N3" s="82" t="s">
        <v>654</v>
      </c>
      <c r="O3" s="83"/>
      <c r="P3" s="82" t="s">
        <v>655</v>
      </c>
      <c r="Q3" s="83"/>
      <c r="R3" s="82" t="s">
        <v>656</v>
      </c>
      <c r="S3" s="83"/>
      <c r="T3" s="84"/>
      <c r="U3" s="85" t="s">
        <v>491</v>
      </c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20386269.12+1998541051.73</f>
        <v>2018927320.8499999</v>
      </c>
      <c r="E5" s="32">
        <f>D5/D5</f>
        <v>1</v>
      </c>
      <c r="F5" s="31">
        <f>100202029.47+242040604.99</f>
        <v>342242634.46000004</v>
      </c>
      <c r="G5" s="32">
        <f>F5/F5</f>
        <v>1</v>
      </c>
      <c r="H5" s="31">
        <f>85912066.81+10363046074.97</f>
        <v>10448958141.779999</v>
      </c>
      <c r="I5" s="32">
        <f>H5/H5</f>
        <v>1</v>
      </c>
      <c r="J5" s="31">
        <f>8000+755148347.7</f>
        <v>755156347.70000005</v>
      </c>
      <c r="K5" s="32">
        <f>J5/J5</f>
        <v>1</v>
      </c>
      <c r="L5" s="31">
        <f>510114467.56+7619066011.94</f>
        <v>8129180479.5</v>
      </c>
      <c r="M5" s="32">
        <f>L5/L5</f>
        <v>1</v>
      </c>
      <c r="N5" s="31">
        <f>19031209.53+1892149851.74</f>
        <v>1911181061.27</v>
      </c>
      <c r="O5" s="32">
        <f>N5/N5</f>
        <v>1</v>
      </c>
      <c r="P5" s="31">
        <f>8000+194220827.08</f>
        <v>194228827.08000001</v>
      </c>
      <c r="Q5" s="32">
        <f>P5/P5</f>
        <v>1</v>
      </c>
      <c r="R5" s="31">
        <f>8000+194220827.08</f>
        <v>194228827.08000001</v>
      </c>
      <c r="S5" s="32">
        <f>R5/R5</f>
        <v>1</v>
      </c>
      <c r="T5" s="32"/>
      <c r="U5" s="3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4"/>
      <c r="M6" s="35"/>
      <c r="N6" s="34"/>
      <c r="O6" s="35"/>
      <c r="P6" s="34"/>
      <c r="Q6" s="35"/>
      <c r="R6" s="34"/>
      <c r="S6" s="35"/>
      <c r="T6" s="35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SUM(D9,D23)</f>
        <v>104111190.30999999</v>
      </c>
      <c r="E7" s="38">
        <f>D7/D5</f>
        <v>5.1567577116231979E-2</v>
      </c>
      <c r="F7" s="37">
        <f>SUM(F9,F23)</f>
        <v>17318801.200000003</v>
      </c>
      <c r="G7" s="38">
        <f>F7/F5</f>
        <v>5.0603868297490431E-2</v>
      </c>
      <c r="H7" s="37">
        <f>SUM(H9,H23)</f>
        <v>435164661.92000002</v>
      </c>
      <c r="I7" s="38">
        <f>H7/H5</f>
        <v>4.1646703529225636E-2</v>
      </c>
      <c r="J7" s="37">
        <f>SUM(J9,J23)</f>
        <v>49919142.789999999</v>
      </c>
      <c r="K7" s="38">
        <f>J7/J5</f>
        <v>6.6104380823971187E-2</v>
      </c>
      <c r="L7" s="37">
        <f>SUM(L9,L23)</f>
        <v>222998761.11000001</v>
      </c>
      <c r="M7" s="38">
        <f>L7/L5</f>
        <v>2.7431887097642094E-2</v>
      </c>
      <c r="N7" s="37">
        <f>SUM(N9,N23)</f>
        <v>90259075.389999986</v>
      </c>
      <c r="O7" s="38">
        <f>N7/N5</f>
        <v>4.7226857370605106E-2</v>
      </c>
      <c r="P7" s="37">
        <f>SUM(P9,P23)</f>
        <v>14892878.560000002</v>
      </c>
      <c r="Q7" s="38">
        <f>P7/P5</f>
        <v>7.6676973155307387E-2</v>
      </c>
      <c r="R7" s="37">
        <f>SUM(R9,R23)</f>
        <v>12929473.139999999</v>
      </c>
      <c r="S7" s="38">
        <f>R7/R5</f>
        <v>6.656825011188755E-2</v>
      </c>
      <c r="T7" s="38"/>
      <c r="U7" s="32">
        <v>0.2</v>
      </c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4"/>
      <c r="M8" s="35"/>
      <c r="N8" s="34"/>
      <c r="O8" s="35"/>
      <c r="P8" s="34"/>
      <c r="Q8" s="35"/>
      <c r="R8" s="34"/>
      <c r="S8" s="35"/>
      <c r="T8" s="35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SUM(D10:D21)</f>
        <v>6396118.2999999998</v>
      </c>
      <c r="E9" s="41">
        <f>D9/D5</f>
        <v>3.1680775399617329E-3</v>
      </c>
      <c r="F9" s="40">
        <f>SUM(F10:F21)</f>
        <v>0</v>
      </c>
      <c r="G9" s="41">
        <f>F9/F5</f>
        <v>0</v>
      </c>
      <c r="H9" s="40">
        <f>SUM(H10:H21)</f>
        <v>23536731.27</v>
      </c>
      <c r="I9" s="41">
        <f>H9/H5</f>
        <v>2.2525433589296088E-3</v>
      </c>
      <c r="J9" s="40">
        <f>SUM(J10:J21)</f>
        <v>3941311.73</v>
      </c>
      <c r="K9" s="41">
        <f>J9/J5</f>
        <v>5.2191996293273028E-3</v>
      </c>
      <c r="L9" s="40">
        <f>SUM(L10:L21)</f>
        <v>61632981.369999997</v>
      </c>
      <c r="M9" s="41">
        <f>L9/L5</f>
        <v>7.5816967682566256E-3</v>
      </c>
      <c r="N9" s="40">
        <f>SUM(N10:N21)</f>
        <v>14776433.5</v>
      </c>
      <c r="O9" s="41">
        <f>N9/N5</f>
        <v>7.7315717487179908E-3</v>
      </c>
      <c r="P9" s="40">
        <f>SUM(P10:P21)</f>
        <v>1312795.6300000001</v>
      </c>
      <c r="Q9" s="41">
        <f>P9/P5</f>
        <v>6.7590153827128806E-3</v>
      </c>
      <c r="R9" s="40">
        <f>SUM(R10:R21)</f>
        <v>0</v>
      </c>
      <c r="S9" s="41">
        <f>R9/R5</f>
        <v>0</v>
      </c>
      <c r="T9" s="41"/>
      <c r="U9" s="32">
        <v>0.15</v>
      </c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657</v>
      </c>
      <c r="D10" s="44">
        <v>1889773.3</v>
      </c>
      <c r="E10" s="45">
        <f>D10/D5</f>
        <v>9.360283951204227E-4</v>
      </c>
      <c r="F10" s="44"/>
      <c r="G10" s="45">
        <f>F10/F5</f>
        <v>0</v>
      </c>
      <c r="H10" s="44">
        <v>6954074.9900000002</v>
      </c>
      <c r="I10" s="45">
        <f>H10/H5</f>
        <v>6.6552807424830594E-4</v>
      </c>
      <c r="J10" s="44">
        <v>1164485.29</v>
      </c>
      <c r="K10" s="45">
        <f>J10/J5</f>
        <v>1.542045291080058E-3</v>
      </c>
      <c r="L10" s="44">
        <v>13437773.35</v>
      </c>
      <c r="M10" s="45">
        <f>L10/L5</f>
        <v>1.6530292793827249E-3</v>
      </c>
      <c r="N10" s="44">
        <v>3359443.33</v>
      </c>
      <c r="O10" s="45">
        <f>N10/N5</f>
        <v>1.7577839159663997E-3</v>
      </c>
      <c r="P10" s="44">
        <v>387873.71</v>
      </c>
      <c r="Q10" s="45">
        <f>P10/P5</f>
        <v>1.9969935247574786E-3</v>
      </c>
      <c r="R10" s="44"/>
      <c r="S10" s="45">
        <f>R10/R5</f>
        <v>0</v>
      </c>
      <c r="T10" s="45"/>
      <c r="U10" s="43"/>
      <c r="V10" s="3"/>
      <c r="W10" s="3"/>
      <c r="X10" s="3"/>
      <c r="Y10" s="3"/>
      <c r="Z10" s="3"/>
    </row>
    <row r="11" spans="1:26" ht="12.75" customHeight="1">
      <c r="A11" s="23">
        <f t="shared" ref="A11:A21" si="0">A10+1</f>
        <v>2</v>
      </c>
      <c r="B11" s="3"/>
      <c r="C11" s="3" t="s">
        <v>658</v>
      </c>
      <c r="D11" s="34">
        <v>4506345</v>
      </c>
      <c r="E11" s="35">
        <f>D11/D5</f>
        <v>2.2320491448413102E-3</v>
      </c>
      <c r="F11" s="34"/>
      <c r="G11" s="35">
        <f>F11/F5</f>
        <v>0</v>
      </c>
      <c r="H11" s="34">
        <v>16582656.279999999</v>
      </c>
      <c r="I11" s="35">
        <f>H11/H5</f>
        <v>1.5870152846813026E-3</v>
      </c>
      <c r="J11" s="34">
        <v>2776826.44</v>
      </c>
      <c r="K11" s="35">
        <f>J11/J5</f>
        <v>3.6771543382472446E-3</v>
      </c>
      <c r="L11" s="34">
        <v>16422548.65</v>
      </c>
      <c r="M11" s="35">
        <f>L11/L5</f>
        <v>2.020197323877117E-3</v>
      </c>
      <c r="N11" s="34">
        <v>3649403.8</v>
      </c>
      <c r="O11" s="35">
        <f>N11/N5</f>
        <v>1.9095018645564291E-3</v>
      </c>
      <c r="P11" s="34">
        <v>924921.92</v>
      </c>
      <c r="Q11" s="35">
        <f>P11/P5</f>
        <v>4.7620218579554011E-3</v>
      </c>
      <c r="R11" s="34"/>
      <c r="S11" s="35">
        <f>R11/R5</f>
        <v>0</v>
      </c>
      <c r="T11" s="35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659</v>
      </c>
      <c r="D12" s="44"/>
      <c r="E12" s="45">
        <f>D12/D5</f>
        <v>0</v>
      </c>
      <c r="F12" s="44"/>
      <c r="G12" s="45">
        <f>F12/F5</f>
        <v>0</v>
      </c>
      <c r="H12" s="44"/>
      <c r="I12" s="45">
        <f>H12/H5</f>
        <v>0</v>
      </c>
      <c r="J12" s="44"/>
      <c r="K12" s="45">
        <f>J12/J5</f>
        <v>0</v>
      </c>
      <c r="L12" s="44">
        <v>14748589.869999999</v>
      </c>
      <c r="M12" s="45">
        <f>L12/L5</f>
        <v>1.8142775778189069E-3</v>
      </c>
      <c r="N12" s="44">
        <v>3511569</v>
      </c>
      <c r="O12" s="45">
        <f>N12/N5</f>
        <v>1.8373816438231789E-3</v>
      </c>
      <c r="P12" s="44"/>
      <c r="Q12" s="45">
        <f>P12/P5</f>
        <v>0</v>
      </c>
      <c r="R12" s="44"/>
      <c r="S12" s="45">
        <f>R12/R5</f>
        <v>0</v>
      </c>
      <c r="T12" s="45"/>
      <c r="U12" s="4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660</v>
      </c>
      <c r="D13" s="34"/>
      <c r="E13" s="35">
        <f>D13/D5</f>
        <v>0</v>
      </c>
      <c r="F13" s="34"/>
      <c r="G13" s="35">
        <f>F13/F5</f>
        <v>0</v>
      </c>
      <c r="H13" s="34"/>
      <c r="I13" s="35">
        <f>H13/H5</f>
        <v>0</v>
      </c>
      <c r="J13" s="34"/>
      <c r="K13" s="35">
        <f>J13/J5</f>
        <v>0</v>
      </c>
      <c r="L13" s="34">
        <v>17024069.5</v>
      </c>
      <c r="M13" s="35">
        <f>L13/L5</f>
        <v>2.094192587177877E-3</v>
      </c>
      <c r="N13" s="34">
        <v>4256017.37</v>
      </c>
      <c r="O13" s="35">
        <f>N13/N5</f>
        <v>2.2269043243719837E-3</v>
      </c>
      <c r="P13" s="34"/>
      <c r="Q13" s="35">
        <f>P13/P5</f>
        <v>0</v>
      </c>
      <c r="R13" s="34"/>
      <c r="S13" s="35">
        <f>R13/R5</f>
        <v>0</v>
      </c>
      <c r="T13" s="35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>
        <f>F14/F5</f>
        <v>0</v>
      </c>
      <c r="H14" s="44"/>
      <c r="I14" s="45">
        <f>H14/H5</f>
        <v>0</v>
      </c>
      <c r="J14" s="44"/>
      <c r="K14" s="45">
        <f>J14/J5</f>
        <v>0</v>
      </c>
      <c r="L14" s="44"/>
      <c r="M14" s="45">
        <f>L14/L5</f>
        <v>0</v>
      </c>
      <c r="N14" s="44"/>
      <c r="O14" s="45">
        <f>N14/N5</f>
        <v>0</v>
      </c>
      <c r="P14" s="44"/>
      <c r="Q14" s="45">
        <f>P14/P5</f>
        <v>0</v>
      </c>
      <c r="R14" s="44"/>
      <c r="S14" s="45">
        <f>R14/R5</f>
        <v>0</v>
      </c>
      <c r="T14" s="45"/>
      <c r="U14" s="4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>
        <f>F15/F5</f>
        <v>0</v>
      </c>
      <c r="H15" s="34"/>
      <c r="I15" s="35">
        <f>H15/H5</f>
        <v>0</v>
      </c>
      <c r="J15" s="34"/>
      <c r="K15" s="35">
        <f>J15/J5</f>
        <v>0</v>
      </c>
      <c r="L15" s="34"/>
      <c r="M15" s="35">
        <f>L15/L5</f>
        <v>0</v>
      </c>
      <c r="N15" s="34"/>
      <c r="O15" s="35">
        <f>N15/N5</f>
        <v>0</v>
      </c>
      <c r="P15" s="34"/>
      <c r="Q15" s="35">
        <f>P15/P5</f>
        <v>0</v>
      </c>
      <c r="R15" s="34"/>
      <c r="S15" s="35">
        <f>R15/R5</f>
        <v>0</v>
      </c>
      <c r="T15" s="35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>
        <f>F16/F5</f>
        <v>0</v>
      </c>
      <c r="H16" s="44"/>
      <c r="I16" s="45">
        <f>H16/H5</f>
        <v>0</v>
      </c>
      <c r="J16" s="44"/>
      <c r="K16" s="45">
        <f>J16/J5</f>
        <v>0</v>
      </c>
      <c r="L16" s="44"/>
      <c r="M16" s="45">
        <f>L16/L5</f>
        <v>0</v>
      </c>
      <c r="N16" s="44"/>
      <c r="O16" s="45">
        <f>N16/N5</f>
        <v>0</v>
      </c>
      <c r="P16" s="44"/>
      <c r="Q16" s="45">
        <f>P16/P5</f>
        <v>0</v>
      </c>
      <c r="R16" s="44"/>
      <c r="S16" s="45">
        <f>R16/R5</f>
        <v>0</v>
      </c>
      <c r="T16" s="45"/>
      <c r="U16" s="4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4"/>
      <c r="I17" s="35">
        <f>H17/H5</f>
        <v>0</v>
      </c>
      <c r="J17" s="34"/>
      <c r="K17" s="35">
        <f>J17/J5</f>
        <v>0</v>
      </c>
      <c r="L17" s="34"/>
      <c r="M17" s="35">
        <f>L17/L5</f>
        <v>0</v>
      </c>
      <c r="N17" s="34"/>
      <c r="O17" s="35">
        <f>N17/N5</f>
        <v>0</v>
      </c>
      <c r="P17" s="34"/>
      <c r="Q17" s="35">
        <f>P17/P5</f>
        <v>0</v>
      </c>
      <c r="R17" s="34"/>
      <c r="S17" s="35">
        <f>R17/R5</f>
        <v>0</v>
      </c>
      <c r="T17" s="35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4"/>
      <c r="I18" s="45">
        <f>H18/H5</f>
        <v>0</v>
      </c>
      <c r="J18" s="44"/>
      <c r="K18" s="45">
        <f>J18/J5</f>
        <v>0</v>
      </c>
      <c r="L18" s="44"/>
      <c r="M18" s="45">
        <f>L18/L5</f>
        <v>0</v>
      </c>
      <c r="N18" s="44"/>
      <c r="O18" s="45">
        <f>N18/N5</f>
        <v>0</v>
      </c>
      <c r="P18" s="44"/>
      <c r="Q18" s="45">
        <f>P18/P5</f>
        <v>0</v>
      </c>
      <c r="R18" s="44"/>
      <c r="S18" s="45">
        <f>R18/R5</f>
        <v>0</v>
      </c>
      <c r="T18" s="45"/>
      <c r="U18" s="4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4"/>
      <c r="K19" s="35">
        <f>J19/J5</f>
        <v>0</v>
      </c>
      <c r="L19" s="34"/>
      <c r="M19" s="35">
        <f>L19/L5</f>
        <v>0</v>
      </c>
      <c r="N19" s="34"/>
      <c r="O19" s="35">
        <f>N19/N5</f>
        <v>0</v>
      </c>
      <c r="P19" s="34"/>
      <c r="Q19" s="35">
        <f>P19/P5</f>
        <v>0</v>
      </c>
      <c r="R19" s="34"/>
      <c r="S19" s="35">
        <f>R19/R5</f>
        <v>0</v>
      </c>
      <c r="T19" s="35"/>
      <c r="U19" s="3"/>
      <c r="V19" s="3"/>
      <c r="W19" s="3"/>
      <c r="X19" s="3"/>
      <c r="Y19" s="3"/>
      <c r="Z19" s="3"/>
    </row>
    <row r="20" spans="1:26" ht="12.75" customHeight="1">
      <c r="A20" s="42">
        <f t="shared" si="0"/>
        <v>11</v>
      </c>
      <c r="B20" s="43"/>
      <c r="C20" s="43"/>
      <c r="D20" s="44"/>
      <c r="E20" s="45">
        <f>D20/D5</f>
        <v>0</v>
      </c>
      <c r="F20" s="44"/>
      <c r="G20" s="45">
        <f>F20/F5</f>
        <v>0</v>
      </c>
      <c r="H20" s="44"/>
      <c r="I20" s="45">
        <f>H20/H5</f>
        <v>0</v>
      </c>
      <c r="J20" s="44"/>
      <c r="K20" s="45">
        <f>J20/J5</f>
        <v>0</v>
      </c>
      <c r="L20" s="44"/>
      <c r="M20" s="45">
        <f>L20/L5</f>
        <v>0</v>
      </c>
      <c r="N20" s="44"/>
      <c r="O20" s="45">
        <f>N20/N5</f>
        <v>0</v>
      </c>
      <c r="P20" s="44"/>
      <c r="Q20" s="45">
        <f>P20/P5</f>
        <v>0</v>
      </c>
      <c r="R20" s="44"/>
      <c r="S20" s="45">
        <f>R20/R5</f>
        <v>0</v>
      </c>
      <c r="T20" s="45"/>
      <c r="U20" s="43"/>
      <c r="V20" s="3"/>
      <c r="W20" s="3"/>
      <c r="X20" s="3"/>
      <c r="Y20" s="3"/>
      <c r="Z20" s="3"/>
    </row>
    <row r="21" spans="1:26" ht="12.75" customHeight="1">
      <c r="A21" s="23">
        <f t="shared" si="0"/>
        <v>12</v>
      </c>
      <c r="B21" s="3"/>
      <c r="C21" s="3"/>
      <c r="D21" s="34"/>
      <c r="E21" s="35">
        <f>D21/D5</f>
        <v>0</v>
      </c>
      <c r="F21" s="34"/>
      <c r="G21" s="35">
        <f>F21/F5</f>
        <v>0</v>
      </c>
      <c r="H21" s="34"/>
      <c r="I21" s="35">
        <f>H21/H5</f>
        <v>0</v>
      </c>
      <c r="J21" s="34"/>
      <c r="K21" s="35">
        <f>J21/J5</f>
        <v>0</v>
      </c>
      <c r="L21" s="34"/>
      <c r="M21" s="35">
        <f>L21/L5</f>
        <v>0</v>
      </c>
      <c r="N21" s="34"/>
      <c r="O21" s="35">
        <f>N21/N5</f>
        <v>0</v>
      </c>
      <c r="P21" s="34"/>
      <c r="Q21" s="35">
        <f>P21/P5</f>
        <v>0</v>
      </c>
      <c r="R21" s="34"/>
      <c r="S21" s="35">
        <f>R21/R5</f>
        <v>0</v>
      </c>
      <c r="T21" s="35"/>
      <c r="U21" s="3"/>
      <c r="V21" s="3"/>
      <c r="W21" s="3"/>
      <c r="X21" s="3"/>
      <c r="Y21" s="3"/>
      <c r="Z21" s="3"/>
    </row>
    <row r="22" spans="1:26" ht="3" customHeight="1">
      <c r="A22" s="23"/>
      <c r="B22" s="3"/>
      <c r="C22" s="3"/>
      <c r="D22" s="34"/>
      <c r="E22" s="35"/>
      <c r="F22" s="34"/>
      <c r="G22" s="35"/>
      <c r="H22" s="34"/>
      <c r="I22" s="35"/>
      <c r="J22" s="34"/>
      <c r="K22" s="35"/>
      <c r="L22" s="34"/>
      <c r="M22" s="35"/>
      <c r="N22" s="34"/>
      <c r="O22" s="35"/>
      <c r="P22" s="34"/>
      <c r="Q22" s="35"/>
      <c r="R22" s="34"/>
      <c r="S22" s="35"/>
      <c r="T22" s="35"/>
      <c r="U22" s="46"/>
      <c r="V22" s="3"/>
      <c r="W22" s="3"/>
      <c r="X22" s="3"/>
      <c r="Y22" s="3"/>
      <c r="Z22" s="3"/>
    </row>
    <row r="23" spans="1:26" ht="12.75" customHeight="1">
      <c r="A23" s="29"/>
      <c r="B23" s="39" t="s">
        <v>495</v>
      </c>
      <c r="C23" s="39"/>
      <c r="D23" s="40">
        <f>SUM(D24:D32)</f>
        <v>97715072.00999999</v>
      </c>
      <c r="E23" s="41">
        <f>D23/D5</f>
        <v>4.8399499576270245E-2</v>
      </c>
      <c r="F23" s="40">
        <f>SUM(F24:F32)</f>
        <v>17318801.200000003</v>
      </c>
      <c r="G23" s="41">
        <f>F23/F5</f>
        <v>5.0603868297490431E-2</v>
      </c>
      <c r="H23" s="40">
        <f>SUM(H24:H32)</f>
        <v>411627930.65000004</v>
      </c>
      <c r="I23" s="41">
        <f>H23/H5</f>
        <v>3.9394160170296032E-2</v>
      </c>
      <c r="J23" s="40">
        <f>SUM(J24:J32)</f>
        <v>45977831.060000002</v>
      </c>
      <c r="K23" s="41">
        <f>J23/J5</f>
        <v>6.0885181194643888E-2</v>
      </c>
      <c r="L23" s="40">
        <f>SUM(L24:L32)</f>
        <v>161365779.74000001</v>
      </c>
      <c r="M23" s="41">
        <f>L23/L5</f>
        <v>1.9850190329385467E-2</v>
      </c>
      <c r="N23" s="40">
        <f>SUM(N24:N32)</f>
        <v>75482641.889999986</v>
      </c>
      <c r="O23" s="41">
        <f>N23/N5</f>
        <v>3.9495285621887116E-2</v>
      </c>
      <c r="P23" s="40">
        <f>SUM(P24:P32)</f>
        <v>13580082.930000002</v>
      </c>
      <c r="Q23" s="41">
        <f>P23/P5</f>
        <v>6.9917957772594505E-2</v>
      </c>
      <c r="R23" s="40">
        <f>SUM(R24:R32)</f>
        <v>12929473.139999999</v>
      </c>
      <c r="S23" s="41">
        <f>R23/R5</f>
        <v>6.656825011188755E-2</v>
      </c>
      <c r="T23" s="41"/>
      <c r="U23" s="32">
        <v>0.15</v>
      </c>
      <c r="V23" s="3"/>
      <c r="W23" s="3"/>
      <c r="X23" s="3"/>
      <c r="Y23" s="3"/>
      <c r="Z23" s="3"/>
    </row>
    <row r="24" spans="1:26" ht="12.75" customHeight="1">
      <c r="A24" s="42">
        <v>1</v>
      </c>
      <c r="B24" s="43"/>
      <c r="C24" s="43" t="s">
        <v>290</v>
      </c>
      <c r="D24" s="44">
        <v>14840912.210000001</v>
      </c>
      <c r="E24" s="45">
        <f>D24/D5</f>
        <v>7.3508897802976609E-3</v>
      </c>
      <c r="F24" s="44">
        <v>2630370.14</v>
      </c>
      <c r="G24" s="45">
        <f>F24/F5</f>
        <v>7.6856880912872568E-3</v>
      </c>
      <c r="H24" s="44">
        <v>62517827.170000002</v>
      </c>
      <c r="I24" s="45">
        <f>H24/H5</f>
        <v>5.9831637108415077E-3</v>
      </c>
      <c r="J24" s="44">
        <v>6983088.0800000001</v>
      </c>
      <c r="K24" s="45">
        <f>J24/J5</f>
        <v>9.2472083446938878E-3</v>
      </c>
      <c r="L24" s="44">
        <v>24508147.23</v>
      </c>
      <c r="M24" s="45">
        <f>L24/L5</f>
        <v>3.0148361562157638E-3</v>
      </c>
      <c r="N24" s="44">
        <v>11464262.77</v>
      </c>
      <c r="O24" s="45">
        <f>N24/N5</f>
        <v>5.9985225902049674E-3</v>
      </c>
      <c r="P24" s="44">
        <v>2062535.64</v>
      </c>
      <c r="Q24" s="45">
        <f>P24/P5</f>
        <v>1.0619101556693598E-2</v>
      </c>
      <c r="R24" s="44">
        <v>1963721.38</v>
      </c>
      <c r="S24" s="45">
        <f>R24/R5</f>
        <v>1.0110349784438392E-2</v>
      </c>
      <c r="T24" s="45"/>
      <c r="U24" s="43"/>
      <c r="V24" s="3"/>
      <c r="W24" s="3"/>
      <c r="X24" s="3"/>
      <c r="Y24" s="3"/>
      <c r="Z24" s="3"/>
    </row>
    <row r="25" spans="1:26" ht="12.75" customHeight="1">
      <c r="A25" s="23">
        <f t="shared" ref="A25:A32" si="1">A24+1</f>
        <v>2</v>
      </c>
      <c r="B25" s="3"/>
      <c r="C25" s="3" t="s">
        <v>313</v>
      </c>
      <c r="D25" s="34">
        <v>9459533.3399999999</v>
      </c>
      <c r="E25" s="35">
        <f>D25/D5</f>
        <v>4.6854253951139702E-3</v>
      </c>
      <c r="F25" s="34">
        <v>1676586.57</v>
      </c>
      <c r="G25" s="35">
        <f>F25/F5</f>
        <v>4.8988244046372685E-3</v>
      </c>
      <c r="H25" s="34">
        <v>39848592.990000002</v>
      </c>
      <c r="I25" s="35">
        <f>H25/H5</f>
        <v>3.8136427047847014E-3</v>
      </c>
      <c r="J25" s="34">
        <v>4450990.18</v>
      </c>
      <c r="K25" s="35">
        <f>J25/J5</f>
        <v>5.8941306572559441E-3</v>
      </c>
      <c r="L25" s="34">
        <v>15621387.18</v>
      </c>
      <c r="M25" s="35">
        <f>L25/L5</f>
        <v>1.9216435432075462E-3</v>
      </c>
      <c r="N25" s="34">
        <v>7307271.5700000003</v>
      </c>
      <c r="O25" s="35">
        <f>N25/N5</f>
        <v>3.8234323885274592E-3</v>
      </c>
      <c r="P25" s="34">
        <v>1314651.31</v>
      </c>
      <c r="Q25" s="35">
        <f>P25/P5</f>
        <v>6.7685694742856805E-3</v>
      </c>
      <c r="R25" s="34">
        <v>1251667.52</v>
      </c>
      <c r="S25" s="35">
        <f>R25/R5</f>
        <v>6.4442932535676411E-3</v>
      </c>
      <c r="T25" s="35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3</v>
      </c>
      <c r="B26" s="43"/>
      <c r="C26" s="43" t="s">
        <v>364</v>
      </c>
      <c r="D26" s="44">
        <v>9237846.2799999993</v>
      </c>
      <c r="E26" s="45">
        <f>D26/D5</f>
        <v>4.5756210164666659E-3</v>
      </c>
      <c r="F26" s="44">
        <v>1637295.25</v>
      </c>
      <c r="G26" s="45">
        <f>F26/F5</f>
        <v>4.7840189536390463E-3</v>
      </c>
      <c r="H26" s="44">
        <v>38914729.009999998</v>
      </c>
      <c r="I26" s="45">
        <f>H26/H5</f>
        <v>3.7242688201037052E-3</v>
      </c>
      <c r="J26" s="44">
        <v>4346679.8600000003</v>
      </c>
      <c r="K26" s="45">
        <f>J26/J5</f>
        <v>5.7559998975560489E-3</v>
      </c>
      <c r="L26" s="44">
        <v>15255295.189999999</v>
      </c>
      <c r="M26" s="45">
        <f>L26/L5</f>
        <v>1.8766092385905922E-3</v>
      </c>
      <c r="N26" s="44">
        <v>7136023.4199999999</v>
      </c>
      <c r="O26" s="45">
        <f>N26/N5</f>
        <v>3.7338290780560774E-3</v>
      </c>
      <c r="P26" s="44">
        <v>1283842.05</v>
      </c>
      <c r="Q26" s="45">
        <f>P26/P5</f>
        <v>6.6099459555053804E-3</v>
      </c>
      <c r="R26" s="44">
        <v>1222334.31</v>
      </c>
      <c r="S26" s="45">
        <f>R26/R5</f>
        <v>6.2932692761231493E-3</v>
      </c>
      <c r="T26" s="45"/>
      <c r="U26" s="43"/>
      <c r="V26" s="3"/>
      <c r="W26" s="3"/>
      <c r="X26" s="3"/>
      <c r="Y26" s="3"/>
      <c r="Z26" s="3"/>
    </row>
    <row r="27" spans="1:26" ht="12.75" customHeight="1">
      <c r="A27" s="23">
        <f t="shared" si="1"/>
        <v>4</v>
      </c>
      <c r="B27" s="3"/>
      <c r="C27" s="3" t="s">
        <v>463</v>
      </c>
      <c r="D27" s="34">
        <v>14646359.52</v>
      </c>
      <c r="E27" s="35">
        <f>D27/D5</f>
        <v>7.2545253951160826E-3</v>
      </c>
      <c r="F27" s="34">
        <v>2595888.06</v>
      </c>
      <c r="G27" s="35">
        <f>F27/F5</f>
        <v>7.5849347761592139E-3</v>
      </c>
      <c r="H27" s="34">
        <v>61698267.579999998</v>
      </c>
      <c r="I27" s="35">
        <f>H27/H5</f>
        <v>5.9047291359413546E-3</v>
      </c>
      <c r="J27" s="34">
        <v>6891545.2800000003</v>
      </c>
      <c r="K27" s="35">
        <f>J27/J5</f>
        <v>9.1259847063323574E-3</v>
      </c>
      <c r="L27" s="34">
        <v>24186864.68</v>
      </c>
      <c r="M27" s="35">
        <f>L27/L5</f>
        <v>2.9753140234730839E-3</v>
      </c>
      <c r="N27" s="34">
        <v>11313975.289999999</v>
      </c>
      <c r="O27" s="35">
        <f>N27/N5</f>
        <v>5.9198866707488949E-3</v>
      </c>
      <c r="P27" s="34">
        <v>2035497.42</v>
      </c>
      <c r="Q27" s="35">
        <f>P27/P5</f>
        <v>1.0479893487497652E-2</v>
      </c>
      <c r="R27" s="34">
        <v>1937978.53</v>
      </c>
      <c r="S27" s="35">
        <f>R27/R5</f>
        <v>9.9778110136132109E-3</v>
      </c>
      <c r="T27" s="35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5</v>
      </c>
      <c r="B28" s="43"/>
      <c r="C28" s="43" t="s">
        <v>661</v>
      </c>
      <c r="D28" s="44">
        <v>11416881.300000001</v>
      </c>
      <c r="E28" s="45">
        <f>D28/D5</f>
        <v>5.6549243660704513E-3</v>
      </c>
      <c r="F28" s="44">
        <v>2023502.55</v>
      </c>
      <c r="G28" s="45">
        <f>F28/F5</f>
        <v>5.912479469989876E-3</v>
      </c>
      <c r="H28" s="44">
        <v>48093985.159999996</v>
      </c>
      <c r="I28" s="45">
        <f>H28/H5</f>
        <v>4.6027541222217108E-3</v>
      </c>
      <c r="J28" s="44">
        <v>5371980.2800000003</v>
      </c>
      <c r="K28" s="45">
        <f>J28/J5</f>
        <v>7.1137325354697538E-3</v>
      </c>
      <c r="L28" s="44">
        <v>18853733.77</v>
      </c>
      <c r="M28" s="45">
        <f>L28/L5</f>
        <v>2.3192662307775004E-3</v>
      </c>
      <c r="N28" s="44">
        <v>8819277.7699999996</v>
      </c>
      <c r="O28" s="45">
        <f>N28/N5</f>
        <v>4.6145694663484666E-3</v>
      </c>
      <c r="P28" s="44">
        <v>1586676.36</v>
      </c>
      <c r="Q28" s="45">
        <f>P28/P5</f>
        <v>8.1691084884452873E-3</v>
      </c>
      <c r="R28" s="44">
        <v>1510660.1</v>
      </c>
      <c r="S28" s="45">
        <f>R28/R5</f>
        <v>7.7777337314495609E-3</v>
      </c>
      <c r="T28" s="45"/>
      <c r="U28" s="43"/>
      <c r="V28" s="3"/>
      <c r="W28" s="3"/>
      <c r="X28" s="3"/>
      <c r="Y28" s="3"/>
      <c r="Z28" s="3"/>
    </row>
    <row r="29" spans="1:26" ht="12.75" customHeight="1">
      <c r="A29" s="23">
        <f t="shared" si="1"/>
        <v>6</v>
      </c>
      <c r="B29" s="3"/>
      <c r="C29" s="3" t="s">
        <v>662</v>
      </c>
      <c r="D29" s="34">
        <v>4683089.34</v>
      </c>
      <c r="E29" s="35">
        <f>D29/D5</f>
        <v>2.3195928311219973E-3</v>
      </c>
      <c r="F29" s="34">
        <v>830020.3</v>
      </c>
      <c r="G29" s="35">
        <f>F29/F5</f>
        <v>2.4252393373187684E-3</v>
      </c>
      <c r="H29" s="34">
        <v>19727666.710000001</v>
      </c>
      <c r="I29" s="35">
        <f>H29/H5</f>
        <v>1.8880032288692236E-3</v>
      </c>
      <c r="J29" s="34">
        <v>2203532.02</v>
      </c>
      <c r="K29" s="35">
        <f>J29/J5</f>
        <v>2.917981192519081E-3</v>
      </c>
      <c r="L29" s="34">
        <v>7733611.0700000003</v>
      </c>
      <c r="M29" s="35">
        <f>L29/L5</f>
        <v>9.5133957100626088E-4</v>
      </c>
      <c r="N29" s="34">
        <v>3617578.62</v>
      </c>
      <c r="O29" s="35">
        <f>N29/N5</f>
        <v>1.8928497635886372E-3</v>
      </c>
      <c r="P29" s="34">
        <v>650838.61</v>
      </c>
      <c r="Q29" s="35">
        <f>P29/P5</f>
        <v>3.3508857556552563E-3</v>
      </c>
      <c r="R29" s="34">
        <v>619657.51</v>
      </c>
      <c r="S29" s="35">
        <f>R29/R5</f>
        <v>3.1903477939696982E-3</v>
      </c>
      <c r="T29" s="35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7</v>
      </c>
      <c r="B30" s="43"/>
      <c r="C30" s="43" t="s">
        <v>663</v>
      </c>
      <c r="D30" s="44">
        <v>10928364.74</v>
      </c>
      <c r="E30" s="45">
        <f>D30/D5</f>
        <v>5.4129559925906534E-3</v>
      </c>
      <c r="F30" s="44">
        <v>1936918.97</v>
      </c>
      <c r="G30" s="45">
        <f>F30/F5</f>
        <v>5.6594905922697936E-3</v>
      </c>
      <c r="H30" s="44">
        <v>46036093.200000003</v>
      </c>
      <c r="I30" s="45">
        <f>H30/H5</f>
        <v>4.4058070264369606E-3</v>
      </c>
      <c r="J30" s="44">
        <v>5142118.79</v>
      </c>
      <c r="K30" s="45">
        <f>J30/J5</f>
        <v>6.809343264691463E-3</v>
      </c>
      <c r="L30" s="44">
        <v>18047001.969999999</v>
      </c>
      <c r="M30" s="45">
        <f>L30/L5</f>
        <v>2.2200272235941318E-3</v>
      </c>
      <c r="N30" s="44">
        <v>8441909.9800000004</v>
      </c>
      <c r="O30" s="45">
        <f>N30/N5</f>
        <v>4.4171168033604637E-3</v>
      </c>
      <c r="P30" s="44">
        <v>1518784.12</v>
      </c>
      <c r="Q30" s="45">
        <f>P30/P5</f>
        <v>7.8195607873100901E-3</v>
      </c>
      <c r="R30" s="44">
        <v>1446020.51</v>
      </c>
      <c r="S30" s="45">
        <f>R30/R5</f>
        <v>7.4449325145973582E-3</v>
      </c>
      <c r="T30" s="45"/>
      <c r="U30" s="43"/>
      <c r="V30" s="3"/>
      <c r="W30" s="3"/>
      <c r="X30" s="3"/>
      <c r="Y30" s="3"/>
      <c r="Z30" s="3"/>
    </row>
    <row r="31" spans="1:26" ht="12.75" customHeight="1">
      <c r="A31" s="23">
        <f t="shared" si="1"/>
        <v>8</v>
      </c>
      <c r="B31" s="3"/>
      <c r="C31" s="3" t="s">
        <v>664</v>
      </c>
      <c r="D31" s="34">
        <v>11259741.74</v>
      </c>
      <c r="E31" s="35">
        <f>D31/D5</f>
        <v>5.5770911729796559E-3</v>
      </c>
      <c r="F31" s="34">
        <v>1995651.49</v>
      </c>
      <c r="G31" s="35">
        <f>F31/F5</f>
        <v>5.8311013563485288E-3</v>
      </c>
      <c r="H31" s="34">
        <v>47432029.659999996</v>
      </c>
      <c r="I31" s="35">
        <f>H31/H5</f>
        <v>4.5394027822107689E-3</v>
      </c>
      <c r="J31" s="34">
        <v>5298041.47</v>
      </c>
      <c r="K31" s="35">
        <f>J31/J5</f>
        <v>7.0158206126935E-3</v>
      </c>
      <c r="L31" s="34">
        <v>18594234.940000001</v>
      </c>
      <c r="M31" s="35">
        <f>L31/L5</f>
        <v>2.2873443377091408E-3</v>
      </c>
      <c r="N31" s="34">
        <v>8697891.0899999999</v>
      </c>
      <c r="O31" s="35">
        <f>N31/N5</f>
        <v>4.5510555050289996E-3</v>
      </c>
      <c r="P31" s="34">
        <v>1564837.68</v>
      </c>
      <c r="Q31" s="35">
        <f>P31/P5</f>
        <v>8.0566705958403702E-3</v>
      </c>
      <c r="R31" s="34">
        <v>1489867.69</v>
      </c>
      <c r="S31" s="35">
        <f>R31/R5</f>
        <v>7.6706826293418597E-3</v>
      </c>
      <c r="T31" s="35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9</v>
      </c>
      <c r="B32" s="43"/>
      <c r="C32" s="43" t="s">
        <v>665</v>
      </c>
      <c r="D32" s="44">
        <v>11242343.539999999</v>
      </c>
      <c r="E32" s="45">
        <f>D32/D5</f>
        <v>5.5684736265131114E-3</v>
      </c>
      <c r="F32" s="44">
        <v>1992567.87</v>
      </c>
      <c r="G32" s="45">
        <f>F32/F5</f>
        <v>5.8220913158406728E-3</v>
      </c>
      <c r="H32" s="44">
        <v>47358739.170000002</v>
      </c>
      <c r="I32" s="45">
        <f>H32/H5</f>
        <v>4.5323886388860925E-3</v>
      </c>
      <c r="J32" s="44">
        <v>5289855.0999999996</v>
      </c>
      <c r="K32" s="45">
        <f>J32/J5</f>
        <v>7.0049799834318461E-3</v>
      </c>
      <c r="L32" s="44">
        <v>18565503.710000001</v>
      </c>
      <c r="M32" s="45">
        <f>L32/L5</f>
        <v>2.2838100048114453E-3</v>
      </c>
      <c r="N32" s="44">
        <v>8684451.3800000008</v>
      </c>
      <c r="O32" s="45">
        <f>N32/N5</f>
        <v>4.5440233560231549E-3</v>
      </c>
      <c r="P32" s="44">
        <v>1562419.74</v>
      </c>
      <c r="Q32" s="45">
        <f>P32/P5</f>
        <v>8.0442216713611826E-3</v>
      </c>
      <c r="R32" s="44">
        <v>1487565.59</v>
      </c>
      <c r="S32" s="45">
        <f>R32/R5</f>
        <v>7.6588301147866873E-3</v>
      </c>
      <c r="T32" s="45"/>
      <c r="U32" s="43"/>
      <c r="V32" s="3"/>
      <c r="W32" s="3"/>
      <c r="X32" s="3"/>
      <c r="Y32" s="3"/>
      <c r="Z32" s="3"/>
    </row>
    <row r="33" spans="1:26" ht="3" customHeight="1">
      <c r="A33" s="47"/>
      <c r="B33" s="48"/>
      <c r="C33" s="48"/>
      <c r="D33" s="48"/>
      <c r="E33" s="49"/>
      <c r="F33" s="48"/>
      <c r="G33" s="49"/>
      <c r="H33" s="48"/>
      <c r="I33" s="49"/>
      <c r="J33" s="48"/>
      <c r="K33" s="49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3"/>
      <c r="W33" s="3"/>
      <c r="X33" s="3"/>
      <c r="Y33" s="3"/>
      <c r="Z33" s="3"/>
    </row>
    <row r="34" spans="1:26" ht="12.75" customHeight="1">
      <c r="A34" s="23"/>
      <c r="B34" s="3"/>
      <c r="C34" s="3"/>
      <c r="D34" s="3"/>
      <c r="E34" s="35"/>
      <c r="F34" s="3"/>
      <c r="G34" s="35"/>
      <c r="H34" s="3"/>
      <c r="I34" s="35"/>
      <c r="J34" s="3"/>
      <c r="K34" s="35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P2:Q2"/>
    <mergeCell ref="R2:S2"/>
    <mergeCell ref="P3:Q3"/>
    <mergeCell ref="R3:S3"/>
    <mergeCell ref="D2:E2"/>
    <mergeCell ref="D3:E3"/>
    <mergeCell ref="F3:G3"/>
    <mergeCell ref="H3:I3"/>
    <mergeCell ref="J3:K3"/>
    <mergeCell ref="L3:M3"/>
    <mergeCell ref="N3:O3"/>
    <mergeCell ref="F2:G2"/>
    <mergeCell ref="H2:I2"/>
    <mergeCell ref="J2:K2"/>
    <mergeCell ref="L2:M2"/>
    <mergeCell ref="N2:O2"/>
  </mergeCells>
  <pageMargins left="0.511811024" right="0.511811024" top="0.78740157499999996" bottom="0.78740157499999996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5" customWidth="1"/>
    <col min="7" max="7" width="6.375" customWidth="1"/>
    <col min="8" max="8" width="11.375" customWidth="1"/>
    <col min="9" max="9" width="6.375" customWidth="1"/>
    <col min="10" max="10" width="11.375" customWidth="1"/>
    <col min="11" max="11" width="6.375" customWidth="1"/>
    <col min="12" max="12" width="12.375" customWidth="1"/>
    <col min="13" max="13" width="6.375" customWidth="1"/>
    <col min="14" max="14" width="11.375" customWidth="1"/>
    <col min="15" max="15" width="6.625" customWidth="1"/>
    <col min="16" max="16" width="0.625" customWidth="1"/>
    <col min="17" max="17" width="7.5" customWidth="1"/>
    <col min="18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78" t="s">
        <v>506</v>
      </c>
      <c r="M2" s="79"/>
      <c r="N2" s="78" t="s">
        <v>507</v>
      </c>
      <c r="O2" s="79"/>
      <c r="P2" s="25"/>
      <c r="Q2" s="25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666</v>
      </c>
      <c r="E3" s="83"/>
      <c r="F3" s="82" t="s">
        <v>667</v>
      </c>
      <c r="G3" s="83"/>
      <c r="H3" s="82" t="s">
        <v>668</v>
      </c>
      <c r="I3" s="83"/>
      <c r="J3" s="82" t="s">
        <v>669</v>
      </c>
      <c r="K3" s="83"/>
      <c r="L3" s="82" t="s">
        <v>670</v>
      </c>
      <c r="M3" s="83"/>
      <c r="N3" s="82"/>
      <c r="O3" s="83"/>
      <c r="P3" s="84"/>
      <c r="Q3" s="85" t="s">
        <v>491</v>
      </c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1595727214.29</v>
      </c>
      <c r="E5" s="32">
        <f>D5/D5</f>
        <v>1</v>
      </c>
      <c r="F5" s="31">
        <v>43148144.840000004</v>
      </c>
      <c r="G5" s="32">
        <f>F5/F5</f>
        <v>1</v>
      </c>
      <c r="H5" s="31">
        <v>16121846.529999999</v>
      </c>
      <c r="I5" s="32">
        <f>H5/H5</f>
        <v>1</v>
      </c>
      <c r="J5" s="31">
        <v>55639923.969999999</v>
      </c>
      <c r="K5" s="32">
        <f>J5/J5</f>
        <v>1</v>
      </c>
      <c r="L5" s="31">
        <v>437443529.51999998</v>
      </c>
      <c r="M5" s="32">
        <f>L5/L5</f>
        <v>1</v>
      </c>
      <c r="N5" s="31"/>
      <c r="O5" s="32" t="e">
        <f>N5/N5</f>
        <v>#DIV/0!</v>
      </c>
      <c r="P5" s="32"/>
      <c r="Q5" s="3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4"/>
      <c r="M6" s="35"/>
      <c r="N6" s="34"/>
      <c r="O6" s="35"/>
      <c r="P6" s="35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74047929.909999996</v>
      </c>
      <c r="E7" s="38">
        <f>D7/D5</f>
        <v>4.6403877333725085E-2</v>
      </c>
      <c r="F7" s="37">
        <f>SUM(F9,F21)</f>
        <v>1117405.3500000001</v>
      </c>
      <c r="G7" s="38">
        <f>F7/F5</f>
        <v>2.5896950011258003E-2</v>
      </c>
      <c r="H7" s="37">
        <f>SUM(H9,H21)</f>
        <v>468142.33999999997</v>
      </c>
      <c r="I7" s="38">
        <f>H7/H5</f>
        <v>2.9037761842532563E-2</v>
      </c>
      <c r="J7" s="37">
        <f>SUM(J9,J21)</f>
        <v>3608291.7399999998</v>
      </c>
      <c r="K7" s="38">
        <f>J7/J5</f>
        <v>6.4850766905172677E-2</v>
      </c>
      <c r="L7" s="37">
        <f>SUM(L9,L21)</f>
        <v>21698061.730000004</v>
      </c>
      <c r="M7" s="38">
        <f>L7/L5</f>
        <v>4.9601972062105829E-2</v>
      </c>
      <c r="N7" s="37">
        <f>SUM(N9,N21)</f>
        <v>0</v>
      </c>
      <c r="O7" s="38" t="e">
        <f>N7/N5</f>
        <v>#DIV/0!</v>
      </c>
      <c r="P7" s="38"/>
      <c r="Q7" s="32">
        <v>0.2</v>
      </c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4"/>
      <c r="M8" s="35"/>
      <c r="N8" s="34"/>
      <c r="O8" s="35"/>
      <c r="P8" s="35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44819456.759999998</v>
      </c>
      <c r="E9" s="41">
        <f>D9/D5</f>
        <v>2.8087167003629683E-2</v>
      </c>
      <c r="F9" s="40">
        <f>SUM(F10:F19)</f>
        <v>247730.65000000002</v>
      </c>
      <c r="G9" s="41">
        <f>F9/F5</f>
        <v>5.7413974788168435E-3</v>
      </c>
      <c r="H9" s="40">
        <f>SUM(H10:H19)</f>
        <v>223600.70999999996</v>
      </c>
      <c r="I9" s="41">
        <f>H9/H5</f>
        <v>1.3869423057955382E-2</v>
      </c>
      <c r="J9" s="40">
        <f>SUM(J10:J19)</f>
        <v>2473350.15</v>
      </c>
      <c r="K9" s="41">
        <f>J9/J5</f>
        <v>4.4452795286592843E-2</v>
      </c>
      <c r="L9" s="40">
        <f>SUM(L10:L19)</f>
        <v>12783441.720000001</v>
      </c>
      <c r="M9" s="41">
        <f>L9/L5</f>
        <v>2.9223067338604993E-2</v>
      </c>
      <c r="N9" s="40">
        <f>SUM(N10:N19)</f>
        <v>0</v>
      </c>
      <c r="O9" s="41" t="e">
        <f>N9/N5</f>
        <v>#DIV/0!</v>
      </c>
      <c r="P9" s="41"/>
      <c r="Q9" s="32">
        <v>0.15</v>
      </c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337</v>
      </c>
      <c r="D10" s="44">
        <v>5682040.5499999998</v>
      </c>
      <c r="E10" s="45">
        <f>D10/D5</f>
        <v>3.5607843866522996E-3</v>
      </c>
      <c r="F10" s="44"/>
      <c r="G10" s="45">
        <f>F10/F5</f>
        <v>0</v>
      </c>
      <c r="H10" s="44">
        <v>28633.99</v>
      </c>
      <c r="I10" s="45">
        <f>H10/H5</f>
        <v>1.7760986588426482E-3</v>
      </c>
      <c r="J10" s="44">
        <v>328651.90999999997</v>
      </c>
      <c r="K10" s="45">
        <f>J10/J5</f>
        <v>5.9067641820862819E-3</v>
      </c>
      <c r="L10" s="44">
        <v>1499208.22</v>
      </c>
      <c r="M10" s="45">
        <f>L10/L5</f>
        <v>3.427204013384443E-3</v>
      </c>
      <c r="N10" s="44"/>
      <c r="O10" s="45" t="e">
        <f>N10/N5</f>
        <v>#DIV/0!</v>
      </c>
      <c r="P10" s="45"/>
      <c r="Q10" s="4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362</v>
      </c>
      <c r="D11" s="34">
        <v>1632911.17</v>
      </c>
      <c r="E11" s="35">
        <f>D11/D5</f>
        <v>1.0233022006374344E-3</v>
      </c>
      <c r="F11" s="34"/>
      <c r="G11" s="35">
        <f>F11/F5</f>
        <v>0</v>
      </c>
      <c r="H11" s="34"/>
      <c r="I11" s="35">
        <f>H11/H5</f>
        <v>0</v>
      </c>
      <c r="J11" s="34">
        <v>101895.45</v>
      </c>
      <c r="K11" s="35">
        <f>J11/J5</f>
        <v>1.8313369740573353E-3</v>
      </c>
      <c r="L11" s="34">
        <v>491666.66</v>
      </c>
      <c r="M11" s="35">
        <f>L11/L5</f>
        <v>1.1239545834396002E-3</v>
      </c>
      <c r="N11" s="34"/>
      <c r="O11" s="35" t="e">
        <f>N11/N5</f>
        <v>#DIV/0!</v>
      </c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671</v>
      </c>
      <c r="D12" s="44">
        <v>6716418.3099999996</v>
      </c>
      <c r="E12" s="45">
        <f>D12/D5</f>
        <v>4.2090015447836995E-3</v>
      </c>
      <c r="F12" s="44"/>
      <c r="G12" s="45">
        <f>F12/F5</f>
        <v>0</v>
      </c>
      <c r="H12" s="44">
        <v>31347.55</v>
      </c>
      <c r="I12" s="45">
        <f>H12/H5</f>
        <v>1.9444143660385038E-3</v>
      </c>
      <c r="J12" s="44">
        <v>407195.12</v>
      </c>
      <c r="K12" s="45">
        <f>J12/J5</f>
        <v>7.3183982102411199E-3</v>
      </c>
      <c r="L12" s="44">
        <v>1949817.85</v>
      </c>
      <c r="M12" s="45">
        <f>L12/L5</f>
        <v>4.4573018422275103E-3</v>
      </c>
      <c r="N12" s="44"/>
      <c r="O12" s="45" t="e">
        <f>N12/N5</f>
        <v>#DIV/0!</v>
      </c>
      <c r="P12" s="45"/>
      <c r="Q12" s="4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389</v>
      </c>
      <c r="D13" s="34">
        <v>3944028.83</v>
      </c>
      <c r="E13" s="35">
        <f>D13/D5</f>
        <v>2.4716184537561135E-3</v>
      </c>
      <c r="F13" s="34">
        <v>117684.08</v>
      </c>
      <c r="G13" s="35">
        <f>F13/F5</f>
        <v>2.7274424065366143E-3</v>
      </c>
      <c r="H13" s="34">
        <v>32683.759999999998</v>
      </c>
      <c r="I13" s="35">
        <f>H13/H5</f>
        <v>2.0272963111999057E-3</v>
      </c>
      <c r="J13" s="34">
        <v>154027.43</v>
      </c>
      <c r="K13" s="35">
        <f>J13/J5</f>
        <v>2.7682897281284691E-3</v>
      </c>
      <c r="L13" s="34">
        <v>1205589.25</v>
      </c>
      <c r="M13" s="35">
        <f>L13/L5</f>
        <v>2.7559883016737598E-3</v>
      </c>
      <c r="N13" s="34"/>
      <c r="O13" s="35" t="e">
        <f>N13/N5</f>
        <v>#DIV/0!</v>
      </c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416</v>
      </c>
      <c r="D14" s="44">
        <v>3211622.73</v>
      </c>
      <c r="E14" s="45">
        <f>D14/D5</f>
        <v>2.0126389405653983E-3</v>
      </c>
      <c r="F14" s="44">
        <v>95830.12</v>
      </c>
      <c r="G14" s="45">
        <f>F14/F5</f>
        <v>2.2209557410950787E-3</v>
      </c>
      <c r="H14" s="44">
        <v>26614.44</v>
      </c>
      <c r="I14" s="45">
        <f>H14/H5</f>
        <v>1.6508307500927438E-3</v>
      </c>
      <c r="J14" s="44">
        <v>125424.51</v>
      </c>
      <c r="K14" s="45">
        <f>J14/J5</f>
        <v>2.2542178538494505E-3</v>
      </c>
      <c r="L14" s="44">
        <v>981711.27</v>
      </c>
      <c r="M14" s="45">
        <f>L14/L5</f>
        <v>2.2442011454077665E-3</v>
      </c>
      <c r="N14" s="44"/>
      <c r="O14" s="45" t="e">
        <f>N14/N5</f>
        <v>#DIV/0!</v>
      </c>
      <c r="P14" s="45"/>
      <c r="Q14" s="4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419</v>
      </c>
      <c r="D15" s="34">
        <v>3656407.47</v>
      </c>
      <c r="E15" s="35">
        <f>D15/D5</f>
        <v>2.2913737619163661E-3</v>
      </c>
      <c r="F15" s="34">
        <v>3183.57</v>
      </c>
      <c r="G15" s="35">
        <f>F15/F5</f>
        <v>7.3782314669730762E-5</v>
      </c>
      <c r="H15" s="34">
        <v>2380.9299999999998</v>
      </c>
      <c r="I15" s="35">
        <f>H15/H5</f>
        <v>1.4768345521522588E-4</v>
      </c>
      <c r="J15" s="34">
        <v>175632.24</v>
      </c>
      <c r="K15" s="35">
        <f>J15/J5</f>
        <v>3.156586628240139E-3</v>
      </c>
      <c r="L15" s="34">
        <v>1084376.43</v>
      </c>
      <c r="M15" s="35">
        <f>L15/L5</f>
        <v>2.4788946614203423E-3</v>
      </c>
      <c r="N15" s="34"/>
      <c r="O15" s="35" t="e">
        <f>N15/N5</f>
        <v>#DIV/0!</v>
      </c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420</v>
      </c>
      <c r="D16" s="44">
        <v>1146520</v>
      </c>
      <c r="E16" s="45">
        <f>D16/D5</f>
        <v>7.1849373109183362E-4</v>
      </c>
      <c r="F16" s="44">
        <v>31032.880000000001</v>
      </c>
      <c r="G16" s="45">
        <f>F16/F5</f>
        <v>7.1921701651541964E-4</v>
      </c>
      <c r="H16" s="44">
        <v>10959.94</v>
      </c>
      <c r="I16" s="45">
        <f>H16/H5</f>
        <v>6.7981914972366393E-4</v>
      </c>
      <c r="J16" s="44">
        <v>40500.699999999997</v>
      </c>
      <c r="K16" s="45">
        <f>J16/J5</f>
        <v>7.2790717726065209E-4</v>
      </c>
      <c r="L16" s="44">
        <v>324534.03000000003</v>
      </c>
      <c r="M16" s="45">
        <f>L16/L5</f>
        <v>7.4188782802686831E-4</v>
      </c>
      <c r="N16" s="44"/>
      <c r="O16" s="45" t="e">
        <f>N16/N5</f>
        <v>#DIV/0!</v>
      </c>
      <c r="P16" s="45"/>
      <c r="Q16" s="4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422</v>
      </c>
      <c r="D17" s="34">
        <v>15266594.49</v>
      </c>
      <c r="E17" s="35">
        <f>D17/D5</f>
        <v>9.5671705998902155E-3</v>
      </c>
      <c r="F17" s="34"/>
      <c r="G17" s="35">
        <f>F17/F5</f>
        <v>0</v>
      </c>
      <c r="H17" s="34">
        <v>74351.17</v>
      </c>
      <c r="I17" s="35">
        <f>H17/H5</f>
        <v>4.6118271788312326E-3</v>
      </c>
      <c r="J17" s="34">
        <v>924014.79</v>
      </c>
      <c r="K17" s="35">
        <f>J17/J5</f>
        <v>1.6607046237126624E-2</v>
      </c>
      <c r="L17" s="34">
        <v>4212201.8600000003</v>
      </c>
      <c r="M17" s="35">
        <f>L17/L5</f>
        <v>9.6291328497234464E-3</v>
      </c>
      <c r="N17" s="34"/>
      <c r="O17" s="35" t="e">
        <f>N17/N5</f>
        <v>#DIV/0!</v>
      </c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444</v>
      </c>
      <c r="D18" s="44">
        <v>3562913.21</v>
      </c>
      <c r="E18" s="45">
        <f>D18/D5</f>
        <v>2.2327833843363235E-3</v>
      </c>
      <c r="F18" s="44"/>
      <c r="G18" s="45">
        <f>F18/F5</f>
        <v>0</v>
      </c>
      <c r="H18" s="44">
        <v>16628.93</v>
      </c>
      <c r="I18" s="45">
        <f>H18/H5</f>
        <v>1.0314531880114605E-3</v>
      </c>
      <c r="J18" s="44">
        <v>216008</v>
      </c>
      <c r="K18" s="45">
        <f>J18/J5</f>
        <v>3.8822482956027663E-3</v>
      </c>
      <c r="L18" s="44">
        <v>1034336.15</v>
      </c>
      <c r="M18" s="45">
        <f>L18/L5</f>
        <v>2.3645021133012552E-3</v>
      </c>
      <c r="N18" s="44"/>
      <c r="O18" s="45" t="e">
        <f>N18/N5</f>
        <v>#DIV/0!</v>
      </c>
      <c r="P18" s="45"/>
      <c r="Q18" s="4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4"/>
      <c r="K19" s="35">
        <f>J19/J5</f>
        <v>0</v>
      </c>
      <c r="L19" s="34"/>
      <c r="M19" s="35">
        <f>L19/L5</f>
        <v>0</v>
      </c>
      <c r="N19" s="34"/>
      <c r="O19" s="35" t="e">
        <f>N19/N5</f>
        <v>#DIV/0!</v>
      </c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4"/>
      <c r="K20" s="35"/>
      <c r="L20" s="34"/>
      <c r="M20" s="35"/>
      <c r="N20" s="34"/>
      <c r="O20" s="35"/>
      <c r="P20" s="35"/>
      <c r="Q20" s="46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29228473.149999999</v>
      </c>
      <c r="E21" s="41">
        <f>D21/D5</f>
        <v>1.8316710330095399E-2</v>
      </c>
      <c r="F21" s="40">
        <f>SUM(F22:F33)</f>
        <v>869674.70000000007</v>
      </c>
      <c r="G21" s="41">
        <f>F21/F5</f>
        <v>2.0155552532441161E-2</v>
      </c>
      <c r="H21" s="40">
        <f>SUM(H22:H33)</f>
        <v>244541.63</v>
      </c>
      <c r="I21" s="41">
        <f>H21/H5</f>
        <v>1.5168338784577179E-2</v>
      </c>
      <c r="J21" s="40">
        <f>SUM(J22:J33)</f>
        <v>1134941.5899999999</v>
      </c>
      <c r="K21" s="41">
        <f>J21/J5</f>
        <v>2.0397971618579834E-2</v>
      </c>
      <c r="L21" s="40">
        <f>SUM(L22:L33)</f>
        <v>8914620.0100000016</v>
      </c>
      <c r="M21" s="41">
        <f>L21/L5</f>
        <v>2.0378904723500828E-2</v>
      </c>
      <c r="N21" s="40">
        <f>SUM(N22:N33)</f>
        <v>0</v>
      </c>
      <c r="O21" s="41" t="e">
        <f>N21/N5</f>
        <v>#DIV/0!</v>
      </c>
      <c r="P21" s="41"/>
      <c r="Q21" s="32">
        <v>0.15</v>
      </c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672</v>
      </c>
      <c r="D22" s="44">
        <v>9203712.5099999998</v>
      </c>
      <c r="E22" s="45">
        <f>D22/D5</f>
        <v>5.7677229714322336E-3</v>
      </c>
      <c r="F22" s="44">
        <v>273850.64</v>
      </c>
      <c r="G22" s="45">
        <f>F22/F5</f>
        <v>6.3467535166455138E-3</v>
      </c>
      <c r="H22" s="44">
        <v>77003.37</v>
      </c>
      <c r="I22" s="45">
        <f>H22/H5</f>
        <v>4.7763368703894983E-3</v>
      </c>
      <c r="J22" s="44">
        <v>357380.16</v>
      </c>
      <c r="K22" s="45">
        <f>J22/J5</f>
        <v>6.4230885756186989E-3</v>
      </c>
      <c r="L22" s="44">
        <v>2807112.07</v>
      </c>
      <c r="M22" s="45">
        <f>L22/L5</f>
        <v>6.4170844476319046E-3</v>
      </c>
      <c r="N22" s="44"/>
      <c r="O22" s="45" t="e">
        <f>N22/N5</f>
        <v>#DIV/0!</v>
      </c>
      <c r="P22" s="45"/>
      <c r="Q22" s="4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313</v>
      </c>
      <c r="D23" s="34">
        <v>2690845.78</v>
      </c>
      <c r="E23" s="35">
        <f>D23/D5</f>
        <v>1.6862818130210682E-3</v>
      </c>
      <c r="F23" s="34">
        <v>80064.399999999994</v>
      </c>
      <c r="G23" s="35">
        <f>F23/F5</f>
        <v>1.8555699276733954E-3</v>
      </c>
      <c r="H23" s="34">
        <v>22513.11</v>
      </c>
      <c r="I23" s="35">
        <f>H23/H5</f>
        <v>1.3964349529135482E-3</v>
      </c>
      <c r="J23" s="34">
        <v>104485.53</v>
      </c>
      <c r="K23" s="35">
        <f>J23/J5</f>
        <v>1.877887720629105E-3</v>
      </c>
      <c r="L23" s="34">
        <v>820702.04</v>
      </c>
      <c r="M23" s="35">
        <f>L23/L5</f>
        <v>1.8761325396687057E-3</v>
      </c>
      <c r="N23" s="34"/>
      <c r="O23" s="35" t="e">
        <f>N23/N5</f>
        <v>#DIV/0!</v>
      </c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364</v>
      </c>
      <c r="D24" s="44">
        <v>8489788.0999999996</v>
      </c>
      <c r="E24" s="45">
        <f>D24/D5</f>
        <v>5.3203254440812621E-3</v>
      </c>
      <c r="F24" s="44">
        <v>252608.27</v>
      </c>
      <c r="G24" s="45">
        <f>F24/F5</f>
        <v>5.8544410411319079E-3</v>
      </c>
      <c r="H24" s="44">
        <v>71030.28</v>
      </c>
      <c r="I24" s="45">
        <f>H24/H5</f>
        <v>4.4058402285262295E-3</v>
      </c>
      <c r="J24" s="44">
        <v>329658.46000000002</v>
      </c>
      <c r="K24" s="45">
        <f>J24/J5</f>
        <v>5.924854609394248E-3</v>
      </c>
      <c r="L24" s="44">
        <v>2589366.7000000002</v>
      </c>
      <c r="M24" s="45">
        <f>L24/L5</f>
        <v>5.9193164951857266E-3</v>
      </c>
      <c r="N24" s="44"/>
      <c r="O24" s="45" t="e">
        <f>N24/N5</f>
        <v>#DIV/0!</v>
      </c>
      <c r="P24" s="45"/>
      <c r="Q24" s="4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463</v>
      </c>
      <c r="D25" s="34">
        <v>8844126.7599999998</v>
      </c>
      <c r="E25" s="35">
        <f>D25/D5</f>
        <v>5.5423801015608357E-3</v>
      </c>
      <c r="F25" s="34">
        <v>263151.39</v>
      </c>
      <c r="G25" s="35">
        <f>F25/F5</f>
        <v>6.0987880469903421E-3</v>
      </c>
      <c r="H25" s="34">
        <v>73994.87</v>
      </c>
      <c r="I25" s="35">
        <f>H25/H5</f>
        <v>4.589726732747902E-3</v>
      </c>
      <c r="J25" s="34">
        <v>343417.44</v>
      </c>
      <c r="K25" s="35">
        <f>J25/J5</f>
        <v>6.1721407129377856E-3</v>
      </c>
      <c r="L25" s="34">
        <v>2697439.2</v>
      </c>
      <c r="M25" s="35">
        <f>L25/L5</f>
        <v>6.1663712410144882E-3</v>
      </c>
      <c r="N25" s="34"/>
      <c r="O25" s="35" t="e">
        <f>N25/N5</f>
        <v>#DIV/0!</v>
      </c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/>
      <c r="D26" s="44"/>
      <c r="E26" s="45">
        <f>D26/D5</f>
        <v>0</v>
      </c>
      <c r="F26" s="44"/>
      <c r="G26" s="45">
        <f>F26/F5</f>
        <v>0</v>
      </c>
      <c r="H26" s="44"/>
      <c r="I26" s="45">
        <f>H26/H5</f>
        <v>0</v>
      </c>
      <c r="J26" s="44"/>
      <c r="K26" s="45">
        <f>J26/J5</f>
        <v>0</v>
      </c>
      <c r="L26" s="44"/>
      <c r="M26" s="45">
        <f>L26/L5</f>
        <v>0</v>
      </c>
      <c r="N26" s="44"/>
      <c r="O26" s="45" t="e">
        <f>N26/N5</f>
        <v>#DIV/0!</v>
      </c>
      <c r="P26" s="45"/>
      <c r="Q26" s="4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/>
      <c r="D27" s="34"/>
      <c r="E27" s="35">
        <f>D27/D5</f>
        <v>0</v>
      </c>
      <c r="F27" s="34"/>
      <c r="G27" s="35">
        <f>F27/F5</f>
        <v>0</v>
      </c>
      <c r="H27" s="34"/>
      <c r="I27" s="35">
        <f>H27/H5</f>
        <v>0</v>
      </c>
      <c r="J27" s="34"/>
      <c r="K27" s="35">
        <f>J27/J5</f>
        <v>0</v>
      </c>
      <c r="L27" s="34"/>
      <c r="M27" s="35">
        <f>L27/L5</f>
        <v>0</v>
      </c>
      <c r="N27" s="34"/>
      <c r="O27" s="35" t="e">
        <f>N27/N5</f>
        <v>#DIV/0!</v>
      </c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>
        <f>F28/F5</f>
        <v>0</v>
      </c>
      <c r="H28" s="44"/>
      <c r="I28" s="45">
        <f>H28/H5</f>
        <v>0</v>
      </c>
      <c r="J28" s="44"/>
      <c r="K28" s="45">
        <f>J28/J5</f>
        <v>0</v>
      </c>
      <c r="L28" s="44"/>
      <c r="M28" s="45">
        <f>L28/L5</f>
        <v>0</v>
      </c>
      <c r="N28" s="44"/>
      <c r="O28" s="45" t="e">
        <f>N28/N5</f>
        <v>#DIV/0!</v>
      </c>
      <c r="P28" s="45"/>
      <c r="Q28" s="4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>
        <f>F29/F5</f>
        <v>0</v>
      </c>
      <c r="H29" s="34"/>
      <c r="I29" s="35">
        <f>H29/H5</f>
        <v>0</v>
      </c>
      <c r="J29" s="34"/>
      <c r="K29" s="35">
        <f>J29/J5</f>
        <v>0</v>
      </c>
      <c r="L29" s="34"/>
      <c r="M29" s="35">
        <f>L29/L5</f>
        <v>0</v>
      </c>
      <c r="N29" s="34"/>
      <c r="O29" s="35" t="e">
        <f>N29/N5</f>
        <v>#DIV/0!</v>
      </c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>
        <f>F30/F5</f>
        <v>0</v>
      </c>
      <c r="H30" s="44"/>
      <c r="I30" s="45">
        <f>H30/H5</f>
        <v>0</v>
      </c>
      <c r="J30" s="44"/>
      <c r="K30" s="45">
        <f>J30/J5</f>
        <v>0</v>
      </c>
      <c r="L30" s="44"/>
      <c r="M30" s="45">
        <f>L30/L5</f>
        <v>0</v>
      </c>
      <c r="N30" s="44"/>
      <c r="O30" s="45" t="e">
        <f>N30/N5</f>
        <v>#DIV/0!</v>
      </c>
      <c r="P30" s="45"/>
      <c r="Q30" s="4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>
        <f>F31/F5</f>
        <v>0</v>
      </c>
      <c r="H31" s="34"/>
      <c r="I31" s="35">
        <f>H31/H5</f>
        <v>0</v>
      </c>
      <c r="J31" s="34"/>
      <c r="K31" s="35">
        <f>J31/J5</f>
        <v>0</v>
      </c>
      <c r="L31" s="34"/>
      <c r="M31" s="35">
        <f>L31/L5</f>
        <v>0</v>
      </c>
      <c r="N31" s="34"/>
      <c r="O31" s="35" t="e">
        <f>N31/N5</f>
        <v>#DIV/0!</v>
      </c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>
        <f>F32/F5</f>
        <v>0</v>
      </c>
      <c r="H32" s="44"/>
      <c r="I32" s="45">
        <f>H32/H5</f>
        <v>0</v>
      </c>
      <c r="J32" s="44"/>
      <c r="K32" s="45">
        <f>J32/J5</f>
        <v>0</v>
      </c>
      <c r="L32" s="44"/>
      <c r="M32" s="45">
        <f>L32/L5</f>
        <v>0</v>
      </c>
      <c r="N32" s="44"/>
      <c r="O32" s="45" t="e">
        <f>N32/N5</f>
        <v>#DIV/0!</v>
      </c>
      <c r="P32" s="45"/>
      <c r="Q32" s="4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>
        <f>H33/H5</f>
        <v>0</v>
      </c>
      <c r="J33" s="34"/>
      <c r="K33" s="35">
        <f>J33/J5</f>
        <v>0</v>
      </c>
      <c r="L33" s="34"/>
      <c r="M33" s="35">
        <f>L33/L5</f>
        <v>0</v>
      </c>
      <c r="N33" s="34"/>
      <c r="O33" s="35" t="e">
        <f>N33/N5</f>
        <v>#DIV/0!</v>
      </c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>
        <f>H34/H5</f>
        <v>0</v>
      </c>
      <c r="J34" s="44"/>
      <c r="K34" s="45">
        <f>J34/J5</f>
        <v>0</v>
      </c>
      <c r="L34" s="44"/>
      <c r="M34" s="45">
        <f>L34/L5</f>
        <v>0</v>
      </c>
      <c r="N34" s="44"/>
      <c r="O34" s="45" t="e">
        <f>N34/N5</f>
        <v>#DIV/0!</v>
      </c>
      <c r="P34" s="45"/>
      <c r="Q34" s="4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9"/>
      <c r="L35" s="48"/>
      <c r="M35" s="49"/>
      <c r="N35" s="48"/>
      <c r="O35" s="49"/>
      <c r="P35" s="48"/>
      <c r="Q35" s="48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5"/>
      <c r="L36" s="3"/>
      <c r="M36" s="35"/>
      <c r="N36" s="3"/>
      <c r="O36" s="35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N2:O2"/>
    <mergeCell ref="D3:E3"/>
    <mergeCell ref="N3:O3"/>
    <mergeCell ref="F3:G3"/>
    <mergeCell ref="H3:I3"/>
    <mergeCell ref="J3:K3"/>
    <mergeCell ref="L3:M3"/>
    <mergeCell ref="D2:E2"/>
    <mergeCell ref="F2:G2"/>
    <mergeCell ref="H2:I2"/>
    <mergeCell ref="J2:K2"/>
    <mergeCell ref="L2:M2"/>
  </mergeCells>
  <pageMargins left="0.511811024" right="0.511811024" top="0.78740157499999996" bottom="0.78740157499999996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4.375" customWidth="1"/>
    <col min="7" max="7" width="6.375" customWidth="1"/>
    <col min="8" max="8" width="14" customWidth="1"/>
    <col min="9" max="9" width="6.625" customWidth="1"/>
    <col min="10" max="10" width="11.375" customWidth="1"/>
    <col min="11" max="11" width="6.375" customWidth="1"/>
    <col min="12" max="12" width="12.375" customWidth="1"/>
    <col min="13" max="13" width="6.375" customWidth="1"/>
    <col min="14" max="14" width="0.625" customWidth="1"/>
    <col min="15" max="15" width="7.5" customWidth="1"/>
    <col min="16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78" t="s">
        <v>506</v>
      </c>
      <c r="M2" s="79"/>
      <c r="N2" s="25"/>
      <c r="O2" s="25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44255</v>
      </c>
      <c r="D3" s="82" t="s">
        <v>673</v>
      </c>
      <c r="E3" s="83"/>
      <c r="F3" s="82" t="s">
        <v>530</v>
      </c>
      <c r="G3" s="83"/>
      <c r="H3" s="82"/>
      <c r="I3" s="83"/>
      <c r="J3" s="82"/>
      <c r="K3" s="83"/>
      <c r="L3" s="82"/>
      <c r="M3" s="83"/>
      <c r="N3" s="84"/>
      <c r="O3" s="85" t="s">
        <v>491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1431354321.4400001</v>
      </c>
      <c r="E5" s="32">
        <f>D5/D5</f>
        <v>1</v>
      </c>
      <c r="F5" s="31">
        <v>1486865347.9100001</v>
      </c>
      <c r="G5" s="32">
        <f>F5/F5</f>
        <v>1</v>
      </c>
      <c r="H5" s="31"/>
      <c r="I5" s="32" t="e">
        <f>H5/H5</f>
        <v>#DIV/0!</v>
      </c>
      <c r="J5" s="31"/>
      <c r="K5" s="32" t="e">
        <f>J5/J5</f>
        <v>#DIV/0!</v>
      </c>
      <c r="L5" s="31"/>
      <c r="M5" s="32" t="e">
        <f>L5/L5</f>
        <v>#DIV/0!</v>
      </c>
      <c r="N5" s="32"/>
      <c r="O5" s="3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4"/>
      <c r="M6" s="35"/>
      <c r="N6" s="35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SUM(D9,D23)</f>
        <v>130262914.91</v>
      </c>
      <c r="E7" s="38">
        <f>D7/D5</f>
        <v>9.1006756998469995E-2</v>
      </c>
      <c r="F7" s="37">
        <f>SUM(F9,F23)</f>
        <v>141062325.50999999</v>
      </c>
      <c r="G7" s="38">
        <f>F7/F5</f>
        <v>9.4872293384389572E-2</v>
      </c>
      <c r="H7" s="37">
        <f>SUM(H9,H23)</f>
        <v>0</v>
      </c>
      <c r="I7" s="38" t="e">
        <f>H7/H5</f>
        <v>#DIV/0!</v>
      </c>
      <c r="J7" s="37">
        <f>SUM(J9,J23)</f>
        <v>0</v>
      </c>
      <c r="K7" s="38" t="e">
        <f>J7/J5</f>
        <v>#DIV/0!</v>
      </c>
      <c r="L7" s="37">
        <f>SUM(L9,L23)</f>
        <v>0</v>
      </c>
      <c r="M7" s="38" t="e">
        <f>L7/L5</f>
        <v>#DIV/0!</v>
      </c>
      <c r="N7" s="38"/>
      <c r="O7" s="32">
        <v>0.2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4"/>
      <c r="M8" s="35"/>
      <c r="N8" s="35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SUM(D10:D21)</f>
        <v>73798407.00999999</v>
      </c>
      <c r="E9" s="41">
        <f>D9/D5</f>
        <v>5.1558447761387148E-2</v>
      </c>
      <c r="F9" s="40">
        <f>SUM(F10:F21)</f>
        <v>54214176.879999995</v>
      </c>
      <c r="G9" s="41">
        <f>F9/F5</f>
        <v>3.6462062254800476E-2</v>
      </c>
      <c r="H9" s="40">
        <f>SUM(H10:H21)</f>
        <v>0</v>
      </c>
      <c r="I9" s="41" t="e">
        <f>H9/H5</f>
        <v>#DIV/0!</v>
      </c>
      <c r="J9" s="40">
        <f>SUM(J10:J21)</f>
        <v>0</v>
      </c>
      <c r="K9" s="41" t="e">
        <f>J9/J5</f>
        <v>#DIV/0!</v>
      </c>
      <c r="L9" s="40">
        <f>SUM(L10:L21)</f>
        <v>0</v>
      </c>
      <c r="M9" s="41" t="e">
        <f>L9/L5</f>
        <v>#DIV/0!</v>
      </c>
      <c r="N9" s="41"/>
      <c r="O9" s="32">
        <v>0.15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399</v>
      </c>
      <c r="D10" s="44">
        <v>2365246.27</v>
      </c>
      <c r="E10" s="45">
        <f>D10/D5</f>
        <v>1.6524533685135818E-3</v>
      </c>
      <c r="F10" s="44"/>
      <c r="G10" s="45">
        <f>F10/F5</f>
        <v>0</v>
      </c>
      <c r="H10" s="44"/>
      <c r="I10" s="45" t="e">
        <f>H10/H5</f>
        <v>#DIV/0!</v>
      </c>
      <c r="J10" s="44"/>
      <c r="K10" s="45" t="e">
        <f>J10/J5</f>
        <v>#DIV/0!</v>
      </c>
      <c r="L10" s="44"/>
      <c r="M10" s="45" t="e">
        <f>L10/L5</f>
        <v>#DIV/0!</v>
      </c>
      <c r="N10" s="45"/>
      <c r="O10" s="4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21" si="0">A10+1</f>
        <v>2</v>
      </c>
      <c r="B11" s="3"/>
      <c r="C11" s="3" t="s">
        <v>674</v>
      </c>
      <c r="D11" s="34">
        <v>20861902.199999999</v>
      </c>
      <c r="E11" s="35">
        <f>D11/D5</f>
        <v>1.4574939193960086E-2</v>
      </c>
      <c r="F11" s="34">
        <v>6448005.75</v>
      </c>
      <c r="G11" s="35">
        <f>F11/F5</f>
        <v>4.3366440404731914E-3</v>
      </c>
      <c r="H11" s="34"/>
      <c r="I11" s="35" t="e">
        <f>H11/H5</f>
        <v>#DIV/0!</v>
      </c>
      <c r="J11" s="34"/>
      <c r="K11" s="35" t="e">
        <f>J11/J5</f>
        <v>#DIV/0!</v>
      </c>
      <c r="L11" s="34"/>
      <c r="M11" s="35" t="e">
        <f>L11/L5</f>
        <v>#DIV/0!</v>
      </c>
      <c r="N11" s="35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675</v>
      </c>
      <c r="D12" s="44">
        <v>2707114.08</v>
      </c>
      <c r="E12" s="45">
        <f>D12/D5</f>
        <v>1.8912955649419735E-3</v>
      </c>
      <c r="F12" s="44">
        <v>1804742.72</v>
      </c>
      <c r="G12" s="45">
        <f>F12/F5</f>
        <v>1.2137902887687992E-3</v>
      </c>
      <c r="H12" s="44"/>
      <c r="I12" s="45" t="e">
        <f>H12/H5</f>
        <v>#DIV/0!</v>
      </c>
      <c r="J12" s="44"/>
      <c r="K12" s="45" t="e">
        <f>J12/J5</f>
        <v>#DIV/0!</v>
      </c>
      <c r="L12" s="44"/>
      <c r="M12" s="45" t="e">
        <f>L12/L5</f>
        <v>#DIV/0!</v>
      </c>
      <c r="N12" s="45"/>
      <c r="O12" s="4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676</v>
      </c>
      <c r="D13" s="34">
        <v>5371482.1200000001</v>
      </c>
      <c r="E13" s="35">
        <f>D13/D5</f>
        <v>3.7527270778042387E-3</v>
      </c>
      <c r="F13" s="34">
        <v>2301944.9900000002</v>
      </c>
      <c r="G13" s="35">
        <f>F13/F5</f>
        <v>1.5481865881370562E-3</v>
      </c>
      <c r="H13" s="34"/>
      <c r="I13" s="35" t="e">
        <f>H13/H5</f>
        <v>#DIV/0!</v>
      </c>
      <c r="J13" s="34"/>
      <c r="K13" s="35" t="e">
        <f>J13/J5</f>
        <v>#DIV/0!</v>
      </c>
      <c r="L13" s="34"/>
      <c r="M13" s="35" t="e">
        <f>L13/L5</f>
        <v>#DIV/0!</v>
      </c>
      <c r="N13" s="3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677</v>
      </c>
      <c r="D14" s="44">
        <v>1702198.09</v>
      </c>
      <c r="E14" s="45">
        <f>D14/D5</f>
        <v>1.1892220287479346E-3</v>
      </c>
      <c r="F14" s="44">
        <v>1134798.98</v>
      </c>
      <c r="G14" s="45">
        <f>F14/F5</f>
        <v>7.632157018085873E-4</v>
      </c>
      <c r="H14" s="44"/>
      <c r="I14" s="45" t="e">
        <f>H14/H5</f>
        <v>#DIV/0!</v>
      </c>
      <c r="J14" s="44"/>
      <c r="K14" s="45" t="e">
        <f>J14/J5</f>
        <v>#DIV/0!</v>
      </c>
      <c r="L14" s="44"/>
      <c r="M14" s="45" t="e">
        <f>L14/L5</f>
        <v>#DIV/0!</v>
      </c>
      <c r="N14" s="45"/>
      <c r="O14" s="4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678</v>
      </c>
      <c r="D15" s="34">
        <v>20572229.370000001</v>
      </c>
      <c r="E15" s="35">
        <f>D15/D5</f>
        <v>1.4372562447922406E-2</v>
      </c>
      <c r="F15" s="34">
        <v>10597815.17</v>
      </c>
      <c r="G15" s="35">
        <f>F15/F5</f>
        <v>7.1276226760524954E-3</v>
      </c>
      <c r="H15" s="34"/>
      <c r="I15" s="35" t="e">
        <f>H15/H5</f>
        <v>#DIV/0!</v>
      </c>
      <c r="J15" s="34"/>
      <c r="K15" s="35" t="e">
        <f>J15/J5</f>
        <v>#DIV/0!</v>
      </c>
      <c r="L15" s="34"/>
      <c r="M15" s="35" t="e">
        <f>L15/L5</f>
        <v>#DIV/0!</v>
      </c>
      <c r="N15" s="35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679</v>
      </c>
      <c r="D16" s="44">
        <v>-12749.46</v>
      </c>
      <c r="E16" s="45">
        <f>D16/D5</f>
        <v>-8.9072704144795738E-6</v>
      </c>
      <c r="F16" s="44"/>
      <c r="G16" s="45">
        <f>F16/F5</f>
        <v>0</v>
      </c>
      <c r="H16" s="44"/>
      <c r="I16" s="45" t="e">
        <f>H16/H5</f>
        <v>#DIV/0!</v>
      </c>
      <c r="J16" s="44"/>
      <c r="K16" s="45" t="e">
        <f>J16/J5</f>
        <v>#DIV/0!</v>
      </c>
      <c r="L16" s="44"/>
      <c r="M16" s="45" t="e">
        <f>L16/L5</f>
        <v>#DIV/0!</v>
      </c>
      <c r="N16" s="45"/>
      <c r="O16" s="4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680</v>
      </c>
      <c r="D17" s="34">
        <v>8105055</v>
      </c>
      <c r="E17" s="35">
        <f>D17/D5</f>
        <v>5.6625077932108301E-3</v>
      </c>
      <c r="F17" s="34">
        <v>8105055</v>
      </c>
      <c r="G17" s="35">
        <f>F17/F5</f>
        <v>5.4511022207846885E-3</v>
      </c>
      <c r="H17" s="34"/>
      <c r="I17" s="35" t="e">
        <f>H17/H5</f>
        <v>#DIV/0!</v>
      </c>
      <c r="J17" s="34"/>
      <c r="K17" s="35" t="e">
        <f>J17/J5</f>
        <v>#DIV/0!</v>
      </c>
      <c r="L17" s="34"/>
      <c r="M17" s="35" t="e">
        <f>L17/L5</f>
        <v>#DIV/0!</v>
      </c>
      <c r="N17" s="35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681</v>
      </c>
      <c r="D18" s="44">
        <v>12125929.34</v>
      </c>
      <c r="E18" s="45">
        <f>D18/D5</f>
        <v>8.4716475567005855E-3</v>
      </c>
      <c r="F18" s="44">
        <v>6065954.8300000001</v>
      </c>
      <c r="G18" s="45">
        <f>F18/F5</f>
        <v>4.0796934561199904E-3</v>
      </c>
      <c r="H18" s="44"/>
      <c r="I18" s="45" t="e">
        <f>H18/H5</f>
        <v>#DIV/0!</v>
      </c>
      <c r="J18" s="44"/>
      <c r="K18" s="45" t="e">
        <f>J18/J5</f>
        <v>#DIV/0!</v>
      </c>
      <c r="L18" s="44"/>
      <c r="M18" s="45" t="e">
        <f>L18/L5</f>
        <v>#DIV/0!</v>
      </c>
      <c r="N18" s="45"/>
      <c r="O18" s="4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 t="s">
        <v>682</v>
      </c>
      <c r="D19" s="34"/>
      <c r="E19" s="35">
        <f>D19/D5</f>
        <v>0</v>
      </c>
      <c r="F19" s="34">
        <v>-106442.2</v>
      </c>
      <c r="G19" s="35">
        <f>F19/F5</f>
        <v>-7.1588325163149166E-5</v>
      </c>
      <c r="H19" s="34"/>
      <c r="I19" s="35" t="e">
        <f>H19/H5</f>
        <v>#DIV/0!</v>
      </c>
      <c r="J19" s="34"/>
      <c r="K19" s="35" t="e">
        <f>J19/J5</f>
        <v>#DIV/0!</v>
      </c>
      <c r="L19" s="34"/>
      <c r="M19" s="35" t="e">
        <f>L19/L5</f>
        <v>#DIV/0!</v>
      </c>
      <c r="N19" s="3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42">
        <f t="shared" si="0"/>
        <v>11</v>
      </c>
      <c r="B20" s="43"/>
      <c r="C20" s="43" t="s">
        <v>659</v>
      </c>
      <c r="D20" s="44"/>
      <c r="E20" s="45">
        <f>D20/D5</f>
        <v>0</v>
      </c>
      <c r="F20" s="44">
        <v>7449953.7999999998</v>
      </c>
      <c r="G20" s="45">
        <f>F20/F5</f>
        <v>5.0105100710511313E-3</v>
      </c>
      <c r="H20" s="44"/>
      <c r="I20" s="45" t="e">
        <f>H20/H5</f>
        <v>#DIV/0!</v>
      </c>
      <c r="J20" s="44"/>
      <c r="K20" s="45" t="e">
        <f>J20/J5</f>
        <v>#DIV/0!</v>
      </c>
      <c r="L20" s="44"/>
      <c r="M20" s="45" t="e">
        <f>L20/L5</f>
        <v>#DIV/0!</v>
      </c>
      <c r="N20" s="45"/>
      <c r="O20" s="4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3">
        <f t="shared" si="0"/>
        <v>12</v>
      </c>
      <c r="B21" s="3"/>
      <c r="C21" s="3" t="s">
        <v>683</v>
      </c>
      <c r="D21" s="34"/>
      <c r="E21" s="35">
        <f>D21/D5</f>
        <v>0</v>
      </c>
      <c r="F21" s="34">
        <v>10412347.84</v>
      </c>
      <c r="G21" s="35">
        <f>F21/F5</f>
        <v>7.0028855367676906E-3</v>
      </c>
      <c r="H21" s="34"/>
      <c r="I21" s="35" t="e">
        <f>H21/H5</f>
        <v>#DIV/0!</v>
      </c>
      <c r="J21" s="34"/>
      <c r="K21" s="35" t="e">
        <f>J21/J5</f>
        <v>#DIV/0!</v>
      </c>
      <c r="L21" s="34"/>
      <c r="M21" s="35" t="e">
        <f>L21/L5</f>
        <v>#DIV/0!</v>
      </c>
      <c r="N21" s="35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3" customHeight="1">
      <c r="A22" s="23"/>
      <c r="B22" s="3"/>
      <c r="C22" s="3"/>
      <c r="D22" s="34"/>
      <c r="E22" s="35"/>
      <c r="F22" s="34"/>
      <c r="G22" s="35"/>
      <c r="H22" s="34"/>
      <c r="I22" s="35"/>
      <c r="J22" s="34"/>
      <c r="K22" s="35"/>
      <c r="L22" s="34"/>
      <c r="M22" s="35"/>
      <c r="N22" s="35"/>
      <c r="O22" s="46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9"/>
      <c r="B23" s="39" t="s">
        <v>495</v>
      </c>
      <c r="C23" s="39"/>
      <c r="D23" s="40">
        <f>SUM(D24:D35)</f>
        <v>56464507.900000006</v>
      </c>
      <c r="E23" s="41">
        <f>D23/D5</f>
        <v>3.9448309237082847E-2</v>
      </c>
      <c r="F23" s="40">
        <f>SUM(F24:F35)</f>
        <v>86848148.629999995</v>
      </c>
      <c r="G23" s="41">
        <f>F23/F5</f>
        <v>5.8410231129589089E-2</v>
      </c>
      <c r="H23" s="40">
        <f>SUM(H24:H35)</f>
        <v>0</v>
      </c>
      <c r="I23" s="41" t="e">
        <f>H23/H5</f>
        <v>#DIV/0!</v>
      </c>
      <c r="J23" s="40">
        <f>SUM(J24:J35)</f>
        <v>0</v>
      </c>
      <c r="K23" s="41" t="e">
        <f>J23/J5</f>
        <v>#DIV/0!</v>
      </c>
      <c r="L23" s="40">
        <f>SUM(L24:L35)</f>
        <v>0</v>
      </c>
      <c r="M23" s="41" t="e">
        <f>L23/L5</f>
        <v>#DIV/0!</v>
      </c>
      <c r="N23" s="41"/>
      <c r="O23" s="32">
        <v>0.15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v>1</v>
      </c>
      <c r="B24" s="43"/>
      <c r="C24" s="43" t="s">
        <v>684</v>
      </c>
      <c r="D24" s="44">
        <v>7939928.0099999998</v>
      </c>
      <c r="E24" s="45">
        <f>D24/D5</f>
        <v>5.5471436324809591E-3</v>
      </c>
      <c r="F24" s="44">
        <v>12194455.289999999</v>
      </c>
      <c r="G24" s="45">
        <f>F24/F5</f>
        <v>8.2014523420974421E-3</v>
      </c>
      <c r="H24" s="44"/>
      <c r="I24" s="45" t="e">
        <f>H24/H5</f>
        <v>#DIV/0!</v>
      </c>
      <c r="J24" s="44"/>
      <c r="K24" s="45" t="e">
        <f>J24/J5</f>
        <v>#DIV/0!</v>
      </c>
      <c r="L24" s="44"/>
      <c r="M24" s="45" t="e">
        <f>L24/L5</f>
        <v>#DIV/0!</v>
      </c>
      <c r="N24" s="45"/>
      <c r="O24" s="4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ref="A25:A36" si="1">A24+1</f>
        <v>2</v>
      </c>
      <c r="B25" s="3"/>
      <c r="C25" s="3" t="s">
        <v>415</v>
      </c>
      <c r="D25" s="34">
        <v>13937428.24</v>
      </c>
      <c r="E25" s="35">
        <f>D25/D5</f>
        <v>9.7372313977285418E-3</v>
      </c>
      <c r="F25" s="34">
        <v>21983432.93</v>
      </c>
      <c r="G25" s="35">
        <f>F25/F5</f>
        <v>1.4785086599066169E-2</v>
      </c>
      <c r="H25" s="34"/>
      <c r="I25" s="35" t="e">
        <f>H25/H5</f>
        <v>#DIV/0!</v>
      </c>
      <c r="J25" s="34"/>
      <c r="K25" s="35" t="e">
        <f>J25/J5</f>
        <v>#DIV/0!</v>
      </c>
      <c r="L25" s="34"/>
      <c r="M25" s="35" t="e">
        <f>L25/L5</f>
        <v>#DIV/0!</v>
      </c>
      <c r="N25" s="35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3</v>
      </c>
      <c r="B26" s="43"/>
      <c r="C26" s="43" t="s">
        <v>685</v>
      </c>
      <c r="D26" s="44">
        <v>11641823.17</v>
      </c>
      <c r="E26" s="45">
        <f>D26/D5</f>
        <v>8.1334320898880288E-3</v>
      </c>
      <c r="F26" s="44">
        <v>17494245.440000001</v>
      </c>
      <c r="G26" s="45">
        <f>F26/F5</f>
        <v>1.1765857254384631E-2</v>
      </c>
      <c r="H26" s="44"/>
      <c r="I26" s="45" t="e">
        <f>H26/H5</f>
        <v>#DIV/0!</v>
      </c>
      <c r="J26" s="44"/>
      <c r="K26" s="45" t="e">
        <f>J26/J5</f>
        <v>#DIV/0!</v>
      </c>
      <c r="L26" s="44"/>
      <c r="M26" s="45" t="e">
        <f>L26/L5</f>
        <v>#DIV/0!</v>
      </c>
      <c r="N26" s="45"/>
      <c r="O26" s="4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4</v>
      </c>
      <c r="B27" s="3"/>
      <c r="C27" s="3" t="s">
        <v>686</v>
      </c>
      <c r="D27" s="34">
        <v>13639773.25</v>
      </c>
      <c r="E27" s="35">
        <f>D27/D5</f>
        <v>9.5292780031416956E-3</v>
      </c>
      <c r="F27" s="34">
        <v>20729241.82</v>
      </c>
      <c r="G27" s="35">
        <f>F27/F5</f>
        <v>1.3941573020810449E-2</v>
      </c>
      <c r="H27" s="34"/>
      <c r="I27" s="35" t="e">
        <f>H27/H5</f>
        <v>#DIV/0!</v>
      </c>
      <c r="J27" s="34"/>
      <c r="K27" s="35" t="e">
        <f>J27/J5</f>
        <v>#DIV/0!</v>
      </c>
      <c r="L27" s="34"/>
      <c r="M27" s="35" t="e">
        <f>L27/L5</f>
        <v>#DIV/0!</v>
      </c>
      <c r="N27" s="35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5</v>
      </c>
      <c r="B28" s="43"/>
      <c r="C28" s="43" t="s">
        <v>687</v>
      </c>
      <c r="D28" s="44">
        <v>9305555.2300000004</v>
      </c>
      <c r="E28" s="45">
        <f>D28/D5</f>
        <v>6.5012241138436202E-3</v>
      </c>
      <c r="F28" s="44">
        <v>14446773.15</v>
      </c>
      <c r="G28" s="45">
        <f>F28/F5</f>
        <v>9.7162619132303996E-3</v>
      </c>
      <c r="H28" s="44"/>
      <c r="I28" s="45" t="e">
        <f>H28/H5</f>
        <v>#DIV/0!</v>
      </c>
      <c r="J28" s="44"/>
      <c r="K28" s="45" t="e">
        <f>J28/J5</f>
        <v>#DIV/0!</v>
      </c>
      <c r="L28" s="44"/>
      <c r="M28" s="45" t="e">
        <f>L28/L5</f>
        <v>#DIV/0!</v>
      </c>
      <c r="N28" s="45"/>
      <c r="O28" s="4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6</v>
      </c>
      <c r="B29" s="3"/>
      <c r="C29" s="3"/>
      <c r="D29" s="34"/>
      <c r="E29" s="35">
        <f>D29/D5</f>
        <v>0</v>
      </c>
      <c r="F29" s="34"/>
      <c r="G29" s="35">
        <f>F29/F5</f>
        <v>0</v>
      </c>
      <c r="H29" s="34"/>
      <c r="I29" s="35" t="e">
        <f>H29/H5</f>
        <v>#DIV/0!</v>
      </c>
      <c r="J29" s="34"/>
      <c r="K29" s="35" t="e">
        <f>J29/J5</f>
        <v>#DIV/0!</v>
      </c>
      <c r="L29" s="34"/>
      <c r="M29" s="35" t="e">
        <f>L29/L5</f>
        <v>#DIV/0!</v>
      </c>
      <c r="N29" s="35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7</v>
      </c>
      <c r="B30" s="43"/>
      <c r="C30" s="43"/>
      <c r="D30" s="44"/>
      <c r="E30" s="45">
        <f>D30/D5</f>
        <v>0</v>
      </c>
      <c r="F30" s="44"/>
      <c r="G30" s="45">
        <f>F30/F5</f>
        <v>0</v>
      </c>
      <c r="H30" s="44"/>
      <c r="I30" s="45" t="e">
        <f>H30/H5</f>
        <v>#DIV/0!</v>
      </c>
      <c r="J30" s="44"/>
      <c r="K30" s="45" t="e">
        <f>J30/J5</f>
        <v>#DIV/0!</v>
      </c>
      <c r="L30" s="44"/>
      <c r="M30" s="45" t="e">
        <f>L30/L5</f>
        <v>#DIV/0!</v>
      </c>
      <c r="N30" s="45"/>
      <c r="O30" s="4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8</v>
      </c>
      <c r="B31" s="3"/>
      <c r="C31" s="3"/>
      <c r="D31" s="34"/>
      <c r="E31" s="35">
        <f>D31/D5</f>
        <v>0</v>
      </c>
      <c r="F31" s="34"/>
      <c r="G31" s="35">
        <f>F31/F5</f>
        <v>0</v>
      </c>
      <c r="H31" s="34"/>
      <c r="I31" s="35" t="e">
        <f>H31/H5</f>
        <v>#DIV/0!</v>
      </c>
      <c r="J31" s="34"/>
      <c r="K31" s="35" t="e">
        <f>J31/J5</f>
        <v>#DIV/0!</v>
      </c>
      <c r="L31" s="34"/>
      <c r="M31" s="35" t="e">
        <f>L31/L5</f>
        <v>#DIV/0!</v>
      </c>
      <c r="N31" s="3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9</v>
      </c>
      <c r="B32" s="43"/>
      <c r="C32" s="43"/>
      <c r="D32" s="44"/>
      <c r="E32" s="45">
        <f>D32/D5</f>
        <v>0</v>
      </c>
      <c r="F32" s="44"/>
      <c r="G32" s="45">
        <f>F32/F5</f>
        <v>0</v>
      </c>
      <c r="H32" s="44"/>
      <c r="I32" s="45" t="e">
        <f>H32/H5</f>
        <v>#DIV/0!</v>
      </c>
      <c r="J32" s="44"/>
      <c r="K32" s="45" t="e">
        <f>J32/J5</f>
        <v>#DIV/0!</v>
      </c>
      <c r="L32" s="44"/>
      <c r="M32" s="45" t="e">
        <f>L32/L5</f>
        <v>#DIV/0!</v>
      </c>
      <c r="N32" s="45"/>
      <c r="O32" s="4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10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 t="e">
        <f>H33/H5</f>
        <v>#DIV/0!</v>
      </c>
      <c r="J33" s="34"/>
      <c r="K33" s="35" t="e">
        <f>J33/J5</f>
        <v>#DIV/0!</v>
      </c>
      <c r="L33" s="34"/>
      <c r="M33" s="35" t="e">
        <f>L33/L5</f>
        <v>#DIV/0!</v>
      </c>
      <c r="N33" s="35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11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 t="e">
        <f>H34/H5</f>
        <v>#DIV/0!</v>
      </c>
      <c r="J34" s="44"/>
      <c r="K34" s="45" t="e">
        <f>J34/J5</f>
        <v>#DIV/0!</v>
      </c>
      <c r="L34" s="44"/>
      <c r="M34" s="45" t="e">
        <f>L34/L5</f>
        <v>#DIV/0!</v>
      </c>
      <c r="N34" s="45"/>
      <c r="O34" s="4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>
        <f t="shared" si="1"/>
        <v>12</v>
      </c>
      <c r="B35" s="3"/>
      <c r="C35" s="3"/>
      <c r="D35" s="34"/>
      <c r="E35" s="35">
        <f>D35/D5</f>
        <v>0</v>
      </c>
      <c r="F35" s="34"/>
      <c r="G35" s="35">
        <f>F35/F5</f>
        <v>0</v>
      </c>
      <c r="H35" s="34"/>
      <c r="I35" s="35" t="e">
        <f>H35/H5</f>
        <v>#DIV/0!</v>
      </c>
      <c r="J35" s="34"/>
      <c r="K35" s="35" t="e">
        <f>J35/J5</f>
        <v>#DIV/0!</v>
      </c>
      <c r="L35" s="34"/>
      <c r="M35" s="35" t="e">
        <f>L35/L5</f>
        <v>#DIV/0!</v>
      </c>
      <c r="N35" s="35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42">
        <f t="shared" si="1"/>
        <v>13</v>
      </c>
      <c r="B36" s="43"/>
      <c r="C36" s="43"/>
      <c r="D36" s="44"/>
      <c r="E36" s="45">
        <f>D36/D5</f>
        <v>0</v>
      </c>
      <c r="F36" s="44"/>
      <c r="G36" s="45">
        <f>F36/F5</f>
        <v>0</v>
      </c>
      <c r="H36" s="44"/>
      <c r="I36" s="45" t="e">
        <f>H36/H5</f>
        <v>#DIV/0!</v>
      </c>
      <c r="J36" s="44"/>
      <c r="K36" s="45" t="e">
        <f>J36/J5</f>
        <v>#DIV/0!</v>
      </c>
      <c r="L36" s="44"/>
      <c r="M36" s="45" t="e">
        <f>L36/L5</f>
        <v>#DIV/0!</v>
      </c>
      <c r="N36" s="45"/>
      <c r="O36" s="4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3" customHeight="1">
      <c r="A37" s="47"/>
      <c r="B37" s="48"/>
      <c r="C37" s="48"/>
      <c r="D37" s="48"/>
      <c r="E37" s="49"/>
      <c r="F37" s="48"/>
      <c r="G37" s="49"/>
      <c r="H37" s="48"/>
      <c r="I37" s="49"/>
      <c r="J37" s="49"/>
      <c r="K37" s="49"/>
      <c r="L37" s="49"/>
      <c r="M37" s="49"/>
      <c r="N37" s="48"/>
      <c r="O37" s="48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5"/>
      <c r="F38" s="3"/>
      <c r="G38" s="35"/>
      <c r="H38" s="3"/>
      <c r="I38" s="35"/>
      <c r="J38" s="35"/>
      <c r="K38" s="35"/>
      <c r="L38" s="35"/>
      <c r="M38" s="3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L2:M2"/>
    <mergeCell ref="D3:E3"/>
    <mergeCell ref="F3:G3"/>
    <mergeCell ref="L3:M3"/>
    <mergeCell ref="H3:I3"/>
    <mergeCell ref="J3:K3"/>
    <mergeCell ref="D2:E2"/>
    <mergeCell ref="F2:G2"/>
    <mergeCell ref="H2:I2"/>
    <mergeCell ref="J2:K2"/>
  </mergeCells>
  <pageMargins left="0.511811024" right="0.511811024" top="0.78740157499999996" bottom="0.78740157499999996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3.875" customWidth="1"/>
    <col min="5" max="5" width="6.375" customWidth="1"/>
    <col min="6" max="6" width="12.375" customWidth="1"/>
    <col min="7" max="7" width="6.375" customWidth="1"/>
    <col min="8" max="8" width="12.375" customWidth="1"/>
    <col min="9" max="9" width="6.375" customWidth="1"/>
    <col min="10" max="10" width="12.375" customWidth="1"/>
    <col min="11" max="11" width="6.375" customWidth="1"/>
    <col min="12" max="12" width="12.375" customWidth="1"/>
    <col min="13" max="13" width="6.375" customWidth="1"/>
    <col min="14" max="14" width="12.375" customWidth="1"/>
    <col min="15" max="15" width="6.375" customWidth="1"/>
    <col min="16" max="16" width="0.625" customWidth="1"/>
    <col min="17" max="17" width="7.375" customWidth="1"/>
    <col min="18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78" t="s">
        <v>506</v>
      </c>
      <c r="M2" s="79"/>
      <c r="N2" s="78" t="s">
        <v>506</v>
      </c>
      <c r="O2" s="79"/>
      <c r="P2" s="25"/>
      <c r="Q2" s="25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44286</v>
      </c>
      <c r="D3" s="82" t="s">
        <v>688</v>
      </c>
      <c r="E3" s="83"/>
      <c r="F3" s="82" t="s">
        <v>689</v>
      </c>
      <c r="G3" s="83"/>
      <c r="H3" s="82" t="s">
        <v>690</v>
      </c>
      <c r="I3" s="83"/>
      <c r="J3" s="82" t="s">
        <v>691</v>
      </c>
      <c r="K3" s="83"/>
      <c r="L3" s="82" t="s">
        <v>692</v>
      </c>
      <c r="M3" s="83"/>
      <c r="N3" s="82" t="s">
        <v>693</v>
      </c>
      <c r="O3" s="83"/>
      <c r="P3" s="84"/>
      <c r="Q3" s="85" t="s">
        <v>491</v>
      </c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1262062076.9400001</v>
      </c>
      <c r="E5" s="32">
        <f>D5/D5</f>
        <v>1</v>
      </c>
      <c r="F5" s="31">
        <v>528088445.31999999</v>
      </c>
      <c r="G5" s="32">
        <f>F5/F5</f>
        <v>1</v>
      </c>
      <c r="H5" s="31">
        <v>201824665.68000001</v>
      </c>
      <c r="I5" s="32">
        <f>H5/H5</f>
        <v>1</v>
      </c>
      <c r="J5" s="31">
        <v>778720562.10000002</v>
      </c>
      <c r="K5" s="32">
        <f>J5/J5</f>
        <v>1</v>
      </c>
      <c r="L5" s="31">
        <v>223798926.43000001</v>
      </c>
      <c r="M5" s="32">
        <f>L5/L5</f>
        <v>1</v>
      </c>
      <c r="N5" s="31">
        <v>131338546.15000001</v>
      </c>
      <c r="O5" s="32">
        <f>N5/N5</f>
        <v>1</v>
      </c>
      <c r="P5" s="32"/>
      <c r="Q5" s="3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4"/>
      <c r="M6" s="35"/>
      <c r="N6" s="34"/>
      <c r="O6" s="35"/>
      <c r="P6" s="35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79337264.300000012</v>
      </c>
      <c r="E7" s="38">
        <f>D7/D5</f>
        <v>6.2863202808820157E-2</v>
      </c>
      <c r="F7" s="37">
        <f>SUM(F9,F21)</f>
        <v>778040.89</v>
      </c>
      <c r="G7" s="38">
        <f>F7/F5</f>
        <v>1.4733154964762371E-3</v>
      </c>
      <c r="H7" s="37">
        <f>SUM(H9,H21)</f>
        <v>0</v>
      </c>
      <c r="I7" s="38">
        <f>H7/H5</f>
        <v>0</v>
      </c>
      <c r="J7" s="37">
        <f>SUM(J9,J21)</f>
        <v>27405334.16</v>
      </c>
      <c r="K7" s="38">
        <f>J7/J5</f>
        <v>3.5192770672569866E-2</v>
      </c>
      <c r="L7" s="37">
        <f>SUM(L9,L21)</f>
        <v>9351447.4699999988</v>
      </c>
      <c r="M7" s="38">
        <f>L7/L5</f>
        <v>4.1785041685286864E-2</v>
      </c>
      <c r="N7" s="37">
        <f>SUM(N9,N21)</f>
        <v>0</v>
      </c>
      <c r="O7" s="38">
        <f>N7/N5</f>
        <v>0</v>
      </c>
      <c r="P7" s="38"/>
      <c r="Q7" s="32">
        <v>0.2</v>
      </c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4"/>
      <c r="M8" s="35"/>
      <c r="N8" s="34"/>
      <c r="O8" s="35"/>
      <c r="P8" s="35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25197957.310000002</v>
      </c>
      <c r="E9" s="41">
        <f>D9/D5</f>
        <v>1.9965703565941111E-2</v>
      </c>
      <c r="F9" s="40">
        <f>SUM(F10:F19)</f>
        <v>778040.89</v>
      </c>
      <c r="G9" s="41">
        <f>F9/F5</f>
        <v>1.4733154964762371E-3</v>
      </c>
      <c r="H9" s="40">
        <f>SUM(H10:H19)</f>
        <v>0</v>
      </c>
      <c r="I9" s="41">
        <f>H9/H5</f>
        <v>0</v>
      </c>
      <c r="J9" s="40">
        <f>SUM(J10:J19)</f>
        <v>889189.62</v>
      </c>
      <c r="K9" s="41">
        <f>J9/J5</f>
        <v>1.1418596904672642E-3</v>
      </c>
      <c r="L9" s="40">
        <f>SUM(L10:L19)</f>
        <v>0</v>
      </c>
      <c r="M9" s="41">
        <f>L9/L5</f>
        <v>0</v>
      </c>
      <c r="N9" s="40">
        <f>SUM(N10:N19)</f>
        <v>0</v>
      </c>
      <c r="O9" s="41">
        <f>N9/N5</f>
        <v>0</v>
      </c>
      <c r="P9" s="41"/>
      <c r="Q9" s="32">
        <v>0.15</v>
      </c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694</v>
      </c>
      <c r="D10" s="44">
        <v>3686607.06</v>
      </c>
      <c r="E10" s="45">
        <f>D10/D5</f>
        <v>2.9210980405484964E-3</v>
      </c>
      <c r="F10" s="44"/>
      <c r="G10" s="45">
        <f>F10/F5</f>
        <v>0</v>
      </c>
      <c r="H10" s="44"/>
      <c r="I10" s="45">
        <f>H10/H5</f>
        <v>0</v>
      </c>
      <c r="J10" s="44"/>
      <c r="K10" s="45">
        <f>J10/J5</f>
        <v>0</v>
      </c>
      <c r="L10" s="44"/>
      <c r="M10" s="45">
        <f>L10/L5</f>
        <v>0</v>
      </c>
      <c r="N10" s="44"/>
      <c r="O10" s="45">
        <f>N10/N5</f>
        <v>0</v>
      </c>
      <c r="P10" s="45"/>
      <c r="Q10" s="4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695</v>
      </c>
      <c r="D11" s="34">
        <v>9745783.7400000002</v>
      </c>
      <c r="E11" s="35">
        <f>D11/D5</f>
        <v>7.7221112321429232E-3</v>
      </c>
      <c r="F11" s="34"/>
      <c r="G11" s="35">
        <f>F11/F5</f>
        <v>0</v>
      </c>
      <c r="H11" s="34"/>
      <c r="I11" s="35">
        <f>H11/H5</f>
        <v>0</v>
      </c>
      <c r="J11" s="34"/>
      <c r="K11" s="35">
        <f>J11/J5</f>
        <v>0</v>
      </c>
      <c r="L11" s="34"/>
      <c r="M11" s="35">
        <f>L11/L5</f>
        <v>0</v>
      </c>
      <c r="N11" s="34"/>
      <c r="O11" s="35">
        <f>N11/N5</f>
        <v>0</v>
      </c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696</v>
      </c>
      <c r="D12" s="44">
        <v>10098335.98</v>
      </c>
      <c r="E12" s="45">
        <f>D12/D5</f>
        <v>8.0014574278980469E-3</v>
      </c>
      <c r="F12" s="44"/>
      <c r="G12" s="45">
        <f>F12/F5</f>
        <v>0</v>
      </c>
      <c r="H12" s="44"/>
      <c r="I12" s="45">
        <f>H12/H5</f>
        <v>0</v>
      </c>
      <c r="J12" s="44"/>
      <c r="K12" s="45">
        <f>J12/J5</f>
        <v>0</v>
      </c>
      <c r="L12" s="44"/>
      <c r="M12" s="45">
        <f>L12/L5</f>
        <v>0</v>
      </c>
      <c r="N12" s="44"/>
      <c r="O12" s="45">
        <f>N12/N5</f>
        <v>0</v>
      </c>
      <c r="P12" s="45"/>
      <c r="Q12" s="4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697</v>
      </c>
      <c r="D13" s="34">
        <v>1667230.53</v>
      </c>
      <c r="E13" s="35">
        <f>D13/D5</f>
        <v>1.3210368653516417E-3</v>
      </c>
      <c r="F13" s="34">
        <v>778040.89</v>
      </c>
      <c r="G13" s="35">
        <f>F13/F5</f>
        <v>1.4733154964762371E-3</v>
      </c>
      <c r="H13" s="34"/>
      <c r="I13" s="35">
        <f>H13/H5</f>
        <v>0</v>
      </c>
      <c r="J13" s="34">
        <v>889189.62</v>
      </c>
      <c r="K13" s="35">
        <f>J13/J5</f>
        <v>1.1418596904672642E-3</v>
      </c>
      <c r="L13" s="34"/>
      <c r="M13" s="35">
        <f>L13/L5</f>
        <v>0</v>
      </c>
      <c r="N13" s="34"/>
      <c r="O13" s="35">
        <f>N13/N5</f>
        <v>0</v>
      </c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>
        <f>F14/F5</f>
        <v>0</v>
      </c>
      <c r="H14" s="44"/>
      <c r="I14" s="45">
        <f>H14/H5</f>
        <v>0</v>
      </c>
      <c r="J14" s="44"/>
      <c r="K14" s="45">
        <f>J14/J5</f>
        <v>0</v>
      </c>
      <c r="L14" s="44"/>
      <c r="M14" s="45">
        <f>L14/L5</f>
        <v>0</v>
      </c>
      <c r="N14" s="44"/>
      <c r="O14" s="45">
        <f>N14/N5</f>
        <v>0</v>
      </c>
      <c r="P14" s="45"/>
      <c r="Q14" s="4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>
        <f>F15/F5</f>
        <v>0</v>
      </c>
      <c r="H15" s="34"/>
      <c r="I15" s="35">
        <f>H15/H5</f>
        <v>0</v>
      </c>
      <c r="J15" s="34"/>
      <c r="K15" s="35">
        <f>J15/J5</f>
        <v>0</v>
      </c>
      <c r="L15" s="34"/>
      <c r="M15" s="35">
        <f>L15/L5</f>
        <v>0</v>
      </c>
      <c r="N15" s="34"/>
      <c r="O15" s="35">
        <f>N15/N5</f>
        <v>0</v>
      </c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>
        <f>F16/F5</f>
        <v>0</v>
      </c>
      <c r="H16" s="44"/>
      <c r="I16" s="45">
        <f>H16/H5</f>
        <v>0</v>
      </c>
      <c r="J16" s="44"/>
      <c r="K16" s="45">
        <f>J16/J5</f>
        <v>0</v>
      </c>
      <c r="L16" s="44"/>
      <c r="M16" s="45">
        <f>L16/L5</f>
        <v>0</v>
      </c>
      <c r="N16" s="44"/>
      <c r="O16" s="45">
        <f>N16/N5</f>
        <v>0</v>
      </c>
      <c r="P16" s="45"/>
      <c r="Q16" s="4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4"/>
      <c r="I17" s="35">
        <f>H17/H5</f>
        <v>0</v>
      </c>
      <c r="J17" s="34"/>
      <c r="K17" s="35">
        <f>J17/J5</f>
        <v>0</v>
      </c>
      <c r="L17" s="34"/>
      <c r="M17" s="35">
        <f>L17/L5</f>
        <v>0</v>
      </c>
      <c r="N17" s="34"/>
      <c r="O17" s="35">
        <f>N17/N5</f>
        <v>0</v>
      </c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4"/>
      <c r="I18" s="45">
        <f>H18/H5</f>
        <v>0</v>
      </c>
      <c r="J18" s="44"/>
      <c r="K18" s="45">
        <f>J18/J5</f>
        <v>0</v>
      </c>
      <c r="L18" s="44"/>
      <c r="M18" s="45">
        <f>L18/L5</f>
        <v>0</v>
      </c>
      <c r="N18" s="44"/>
      <c r="O18" s="45">
        <f>N18/N5</f>
        <v>0</v>
      </c>
      <c r="P18" s="45"/>
      <c r="Q18" s="4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4"/>
      <c r="K19" s="35">
        <f>J19/J5</f>
        <v>0</v>
      </c>
      <c r="L19" s="34"/>
      <c r="M19" s="35">
        <f>L19/L5</f>
        <v>0</v>
      </c>
      <c r="N19" s="34"/>
      <c r="O19" s="35">
        <f>N19/N5</f>
        <v>0</v>
      </c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4"/>
      <c r="K20" s="35"/>
      <c r="L20" s="34"/>
      <c r="M20" s="35"/>
      <c r="N20" s="34"/>
      <c r="O20" s="35"/>
      <c r="P20" s="35"/>
      <c r="Q20" s="46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54139306.990000002</v>
      </c>
      <c r="E21" s="41">
        <f>D21/D5</f>
        <v>4.2897499242879042E-2</v>
      </c>
      <c r="F21" s="40">
        <f>SUM(F22:F33)</f>
        <v>0</v>
      </c>
      <c r="G21" s="41">
        <f>F21/F5</f>
        <v>0</v>
      </c>
      <c r="H21" s="40">
        <f>SUM(H22:H33)</f>
        <v>0</v>
      </c>
      <c r="I21" s="41">
        <f>H21/H5</f>
        <v>0</v>
      </c>
      <c r="J21" s="40">
        <f>SUM(J22:J33)</f>
        <v>26516144.539999999</v>
      </c>
      <c r="K21" s="41">
        <f>J21/J5</f>
        <v>3.4050910982102597E-2</v>
      </c>
      <c r="L21" s="40">
        <f>SUM(L22:L33)</f>
        <v>9351447.4699999988</v>
      </c>
      <c r="M21" s="41">
        <f>L21/L5</f>
        <v>4.1785041685286864E-2</v>
      </c>
      <c r="N21" s="40">
        <f>SUM(N22:N33)</f>
        <v>0</v>
      </c>
      <c r="O21" s="41">
        <f>N21/N5</f>
        <v>0</v>
      </c>
      <c r="P21" s="41"/>
      <c r="Q21" s="32">
        <v>0.15</v>
      </c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698</v>
      </c>
      <c r="D22" s="44">
        <v>11378187.300000001</v>
      </c>
      <c r="E22" s="45">
        <f>D22/D5</f>
        <v>9.0155528067110552E-3</v>
      </c>
      <c r="F22" s="44"/>
      <c r="G22" s="45">
        <f>F22/F5</f>
        <v>0</v>
      </c>
      <c r="H22" s="44"/>
      <c r="I22" s="45">
        <f>H22/H5</f>
        <v>0</v>
      </c>
      <c r="J22" s="44"/>
      <c r="K22" s="45">
        <f>J22/J5</f>
        <v>0</v>
      </c>
      <c r="L22" s="44"/>
      <c r="M22" s="45">
        <f>L22/L5</f>
        <v>0</v>
      </c>
      <c r="N22" s="44"/>
      <c r="O22" s="45">
        <f>N22/N5</f>
        <v>0</v>
      </c>
      <c r="P22" s="45"/>
      <c r="Q22" s="4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699</v>
      </c>
      <c r="D23" s="34">
        <v>12621921.300000001</v>
      </c>
      <c r="E23" s="35">
        <f>D23/D5</f>
        <v>1.0001030480690105E-2</v>
      </c>
      <c r="F23" s="34"/>
      <c r="G23" s="35">
        <f>F23/F5</f>
        <v>0</v>
      </c>
      <c r="H23" s="34"/>
      <c r="I23" s="35">
        <f>H23/H5</f>
        <v>0</v>
      </c>
      <c r="J23" s="34"/>
      <c r="K23" s="35">
        <f>J23/J5</f>
        <v>0</v>
      </c>
      <c r="L23" s="34">
        <v>2360368</v>
      </c>
      <c r="M23" s="35">
        <f>L23/L5</f>
        <v>1.054682449845566E-2</v>
      </c>
      <c r="N23" s="34"/>
      <c r="O23" s="35">
        <f>N23/N5</f>
        <v>0</v>
      </c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700</v>
      </c>
      <c r="D24" s="44">
        <v>8676585.2400000002</v>
      </c>
      <c r="E24" s="45">
        <f>D24/D5</f>
        <v>6.8749274687321862E-3</v>
      </c>
      <c r="F24" s="44"/>
      <c r="G24" s="45">
        <f>F24/F5</f>
        <v>0</v>
      </c>
      <c r="H24" s="44"/>
      <c r="I24" s="45">
        <f>H24/H5</f>
        <v>0</v>
      </c>
      <c r="J24" s="44"/>
      <c r="K24" s="45">
        <f>J24/J5</f>
        <v>0</v>
      </c>
      <c r="L24" s="44"/>
      <c r="M24" s="45">
        <f>L24/L5</f>
        <v>0</v>
      </c>
      <c r="N24" s="44"/>
      <c r="O24" s="45">
        <f>N24/N5</f>
        <v>0</v>
      </c>
      <c r="P24" s="45"/>
      <c r="Q24" s="4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701</v>
      </c>
      <c r="D25" s="34">
        <v>10609125.4</v>
      </c>
      <c r="E25" s="35">
        <f>D25/D5</f>
        <v>8.4061834943356516E-3</v>
      </c>
      <c r="F25" s="34"/>
      <c r="G25" s="35">
        <f>F25/F5</f>
        <v>0</v>
      </c>
      <c r="H25" s="34"/>
      <c r="I25" s="35">
        <f>H25/H5</f>
        <v>0</v>
      </c>
      <c r="J25" s="34"/>
      <c r="K25" s="35">
        <f>J25/J5</f>
        <v>0</v>
      </c>
      <c r="L25" s="34"/>
      <c r="M25" s="35">
        <f>L25/L5</f>
        <v>0</v>
      </c>
      <c r="N25" s="34"/>
      <c r="O25" s="35">
        <f>N25/N5</f>
        <v>0</v>
      </c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702</v>
      </c>
      <c r="D26" s="44">
        <v>10853487.75</v>
      </c>
      <c r="E26" s="45">
        <f>D26/D5</f>
        <v>8.5998049924100421E-3</v>
      </c>
      <c r="F26" s="44"/>
      <c r="G26" s="45">
        <f>F26/F5</f>
        <v>0</v>
      </c>
      <c r="H26" s="44"/>
      <c r="I26" s="45">
        <f>H26/H5</f>
        <v>0</v>
      </c>
      <c r="J26" s="44">
        <v>26516144.539999999</v>
      </c>
      <c r="K26" s="45">
        <f>J26/J5</f>
        <v>3.4050910982102597E-2</v>
      </c>
      <c r="L26" s="44"/>
      <c r="M26" s="45">
        <f>L26/L5</f>
        <v>0</v>
      </c>
      <c r="N26" s="44"/>
      <c r="O26" s="45">
        <f>N26/N5</f>
        <v>0</v>
      </c>
      <c r="P26" s="45"/>
      <c r="Q26" s="4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703</v>
      </c>
      <c r="D27" s="34"/>
      <c r="E27" s="35">
        <f>D27/D5</f>
        <v>0</v>
      </c>
      <c r="F27" s="34"/>
      <c r="G27" s="35">
        <f>F27/F5</f>
        <v>0</v>
      </c>
      <c r="H27" s="34"/>
      <c r="I27" s="35">
        <f>H27/H5</f>
        <v>0</v>
      </c>
      <c r="J27" s="34"/>
      <c r="K27" s="35">
        <f>J27/J5</f>
        <v>0</v>
      </c>
      <c r="L27" s="34">
        <v>6991079.4699999997</v>
      </c>
      <c r="M27" s="35">
        <f>L27/L5</f>
        <v>3.1238217186831209E-2</v>
      </c>
      <c r="N27" s="34"/>
      <c r="O27" s="35">
        <f>N27/N5</f>
        <v>0</v>
      </c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>
        <f>F28/F5</f>
        <v>0</v>
      </c>
      <c r="H28" s="44"/>
      <c r="I28" s="45">
        <f>H28/H5</f>
        <v>0</v>
      </c>
      <c r="J28" s="44"/>
      <c r="K28" s="45">
        <f>J28/J5</f>
        <v>0</v>
      </c>
      <c r="L28" s="44"/>
      <c r="M28" s="45">
        <f>L28/L5</f>
        <v>0</v>
      </c>
      <c r="N28" s="44"/>
      <c r="O28" s="45">
        <f>N28/N5</f>
        <v>0</v>
      </c>
      <c r="P28" s="45"/>
      <c r="Q28" s="4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>
        <f>F29/F5</f>
        <v>0</v>
      </c>
      <c r="H29" s="34"/>
      <c r="I29" s="35">
        <f>H29/H5</f>
        <v>0</v>
      </c>
      <c r="J29" s="34"/>
      <c r="K29" s="35">
        <f>J29/J5</f>
        <v>0</v>
      </c>
      <c r="L29" s="34"/>
      <c r="M29" s="35">
        <f>L29/L5</f>
        <v>0</v>
      </c>
      <c r="N29" s="34"/>
      <c r="O29" s="35">
        <f>N29/N5</f>
        <v>0</v>
      </c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>
        <f>F30/F5</f>
        <v>0</v>
      </c>
      <c r="H30" s="44"/>
      <c r="I30" s="45">
        <f>H30/H5</f>
        <v>0</v>
      </c>
      <c r="J30" s="44"/>
      <c r="K30" s="45">
        <f>J30/J5</f>
        <v>0</v>
      </c>
      <c r="L30" s="44"/>
      <c r="M30" s="45">
        <f>L30/L5</f>
        <v>0</v>
      </c>
      <c r="N30" s="44"/>
      <c r="O30" s="45">
        <f>N30/N5</f>
        <v>0</v>
      </c>
      <c r="P30" s="45"/>
      <c r="Q30" s="4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>
        <f>F31/F5</f>
        <v>0</v>
      </c>
      <c r="H31" s="34"/>
      <c r="I31" s="35">
        <f>H31/H5</f>
        <v>0</v>
      </c>
      <c r="J31" s="34"/>
      <c r="K31" s="35">
        <f>J31/J5</f>
        <v>0</v>
      </c>
      <c r="L31" s="34"/>
      <c r="M31" s="35">
        <f>L31/L5</f>
        <v>0</v>
      </c>
      <c r="N31" s="34"/>
      <c r="O31" s="35">
        <f>N31/N5</f>
        <v>0</v>
      </c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>
        <f>F32/F5</f>
        <v>0</v>
      </c>
      <c r="H32" s="44"/>
      <c r="I32" s="45">
        <f>H32/H5</f>
        <v>0</v>
      </c>
      <c r="J32" s="44"/>
      <c r="K32" s="45">
        <f>J32/J5</f>
        <v>0</v>
      </c>
      <c r="L32" s="44"/>
      <c r="M32" s="45">
        <f>L32/L5</f>
        <v>0</v>
      </c>
      <c r="N32" s="44"/>
      <c r="O32" s="45">
        <f>N32/N5</f>
        <v>0</v>
      </c>
      <c r="P32" s="45"/>
      <c r="Q32" s="4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>
        <f>H33/H5</f>
        <v>0</v>
      </c>
      <c r="J33" s="34"/>
      <c r="K33" s="35">
        <f>J33/J5</f>
        <v>0</v>
      </c>
      <c r="L33" s="34"/>
      <c r="M33" s="35">
        <f>L33/L5</f>
        <v>0</v>
      </c>
      <c r="N33" s="34"/>
      <c r="O33" s="35">
        <f>N33/N5</f>
        <v>0</v>
      </c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>
        <f>H34/H5</f>
        <v>0</v>
      </c>
      <c r="J34" s="44"/>
      <c r="K34" s="45">
        <f>J34/J5</f>
        <v>0</v>
      </c>
      <c r="L34" s="44"/>
      <c r="M34" s="45">
        <f>L34/L5</f>
        <v>0</v>
      </c>
      <c r="N34" s="44"/>
      <c r="O34" s="45">
        <f>N34/N5</f>
        <v>0</v>
      </c>
      <c r="P34" s="45"/>
      <c r="Q34" s="4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9"/>
      <c r="K35" s="49"/>
      <c r="L35" s="49"/>
      <c r="M35" s="49"/>
      <c r="N35" s="49"/>
      <c r="O35" s="49"/>
      <c r="P35" s="48"/>
      <c r="Q35" s="48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5"/>
      <c r="K36" s="35"/>
      <c r="L36" s="35"/>
      <c r="M36" s="35"/>
      <c r="N36" s="35"/>
      <c r="O36" s="35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N2:O2"/>
    <mergeCell ref="D3:E3"/>
    <mergeCell ref="N3:O3"/>
    <mergeCell ref="F3:G3"/>
    <mergeCell ref="H3:I3"/>
    <mergeCell ref="J3:K3"/>
    <mergeCell ref="L3:M3"/>
    <mergeCell ref="D2:E2"/>
    <mergeCell ref="F2:G2"/>
    <mergeCell ref="H2:I2"/>
    <mergeCell ref="J2:K2"/>
    <mergeCell ref="L2:M2"/>
  </mergeCells>
  <pageMargins left="0.511811024" right="0.511811024" top="0.78740157499999996" bottom="0.78740157499999996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4.875" customWidth="1"/>
    <col min="5" max="5" width="6.375" customWidth="1"/>
    <col min="6" max="6" width="0.625" customWidth="1"/>
    <col min="7" max="7" width="7.375" customWidth="1"/>
    <col min="8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25"/>
      <c r="G2" s="25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704</v>
      </c>
      <c r="E3" s="83"/>
      <c r="F3" s="84"/>
      <c r="G3" s="85" t="s">
        <v>491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3431538262.53</f>
        <v>3431538262.5300002</v>
      </c>
      <c r="E5" s="32">
        <f>D5/D5</f>
        <v>1</v>
      </c>
      <c r="F5" s="32"/>
      <c r="G5" s="3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5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529138937.39999998</v>
      </c>
      <c r="E7" s="38">
        <f>D7/D5</f>
        <v>0.15419875779262829</v>
      </c>
      <c r="F7" s="38"/>
      <c r="G7" s="32">
        <v>0.2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5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96742183.319999993</v>
      </c>
      <c r="E9" s="41">
        <f>D9/D5</f>
        <v>2.8192074783591089E-2</v>
      </c>
      <c r="F9" s="41"/>
      <c r="G9" s="32">
        <v>0.15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705</v>
      </c>
      <c r="D10" s="44">
        <v>91229027.859999999</v>
      </c>
      <c r="E10" s="45">
        <f>D10/D5</f>
        <v>2.6585461353048932E-2</v>
      </c>
      <c r="F10" s="45"/>
      <c r="G10" s="4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706</v>
      </c>
      <c r="D11" s="34">
        <v>5513155.46</v>
      </c>
      <c r="E11" s="35">
        <f>D11/D5</f>
        <v>1.6066134305421579E-3</v>
      </c>
      <c r="F11" s="35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/>
      <c r="D12" s="44"/>
      <c r="E12" s="45">
        <f>D12/D5</f>
        <v>0</v>
      </c>
      <c r="F12" s="45"/>
      <c r="G12" s="4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5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5"/>
      <c r="G14" s="4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5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5"/>
      <c r="G16" s="4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5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5"/>
      <c r="G18" s="4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5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5"/>
      <c r="G20" s="46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SUM(D22:D29)</f>
        <v>432396754.07999998</v>
      </c>
      <c r="E21" s="41">
        <f>D21/D5</f>
        <v>0.1260066830090372</v>
      </c>
      <c r="F21" s="41"/>
      <c r="G21" s="32">
        <v>0.15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663</v>
      </c>
      <c r="D22" s="44">
        <v>121600378.45999999</v>
      </c>
      <c r="E22" s="45">
        <f>D22/D5</f>
        <v>3.5436113240464528E-2</v>
      </c>
      <c r="F22" s="45"/>
      <c r="G22" s="4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29" si="1">A22+1</f>
        <v>2</v>
      </c>
      <c r="B23" s="3"/>
      <c r="C23" s="3" t="s">
        <v>707</v>
      </c>
      <c r="D23" s="34">
        <v>55507044.43</v>
      </c>
      <c r="E23" s="35">
        <f>D23/D5</f>
        <v>1.6175557485719489E-2</v>
      </c>
      <c r="F23" s="35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708</v>
      </c>
      <c r="D24" s="44">
        <v>172056531.72999999</v>
      </c>
      <c r="E24" s="45">
        <f>D24/D5</f>
        <v>5.0139767814550422E-2</v>
      </c>
      <c r="F24" s="45"/>
      <c r="G24" s="4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394</v>
      </c>
      <c r="D25" s="34">
        <v>83232799.459999993</v>
      </c>
      <c r="E25" s="35">
        <f>D25/D5</f>
        <v>2.4255244468302743E-2</v>
      </c>
      <c r="F25" s="35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/>
      <c r="D26" s="44"/>
      <c r="E26" s="45">
        <f>D26/D5</f>
        <v>0</v>
      </c>
      <c r="F26" s="45"/>
      <c r="G26" s="4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/>
      <c r="D27" s="34"/>
      <c r="E27" s="35">
        <f>D27/D5</f>
        <v>0</v>
      </c>
      <c r="F27" s="35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5"/>
      <c r="G28" s="4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5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3" customHeight="1">
      <c r="A30" s="47"/>
      <c r="B30" s="48"/>
      <c r="C30" s="48"/>
      <c r="D30" s="48"/>
      <c r="E30" s="49"/>
      <c r="F30" s="48"/>
      <c r="G30" s="48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/>
      <c r="B31" s="3"/>
      <c r="C31" s="3"/>
      <c r="D31" s="3"/>
      <c r="E31" s="35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2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2:E2"/>
    <mergeCell ref="D3:E3"/>
  </mergeCells>
  <pageMargins left="0.511811024" right="0.511811024" top="0.78740157499999996" bottom="0.78740157499999996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2.375" customWidth="1"/>
    <col min="7" max="7" width="6.625" customWidth="1"/>
    <col min="8" max="8" width="12.375" customWidth="1"/>
    <col min="9" max="9" width="6.625" customWidth="1"/>
    <col min="10" max="10" width="0.625" customWidth="1"/>
    <col min="11" max="11" width="7.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44286</v>
      </c>
      <c r="D3" s="82" t="s">
        <v>709</v>
      </c>
      <c r="E3" s="83"/>
      <c r="F3" s="82"/>
      <c r="G3" s="83"/>
      <c r="H3" s="82"/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907265219</v>
      </c>
      <c r="E5" s="32">
        <f>D5/D5</f>
        <v>1</v>
      </c>
      <c r="F5" s="31"/>
      <c r="G5" s="32" t="e">
        <f>F5/F5</f>
        <v>#DIV/0!</v>
      </c>
      <c r="H5" s="31"/>
      <c r="I5" s="32" t="e">
        <f>H5/H5</f>
        <v>#DIV/0!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21921702</v>
      </c>
      <c r="E7" s="38">
        <f>D7/D5</f>
        <v>2.4162396552754879E-2</v>
      </c>
      <c r="F7" s="37">
        <f>SUM(F9,F21)</f>
        <v>0</v>
      </c>
      <c r="G7" s="38" t="e">
        <f>F7/F5</f>
        <v>#DIV/0!</v>
      </c>
      <c r="H7" s="37">
        <f>SUM(H9,H21)</f>
        <v>0</v>
      </c>
      <c r="I7" s="38" t="e">
        <f>H7/H5</f>
        <v>#DIV/0!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0</v>
      </c>
      <c r="E9" s="41">
        <f>D9/D5</f>
        <v>0</v>
      </c>
      <c r="F9" s="40">
        <f>SUM(F10:F19)</f>
        <v>0</v>
      </c>
      <c r="G9" s="41" t="e">
        <f>F9/F5</f>
        <v>#DIV/0!</v>
      </c>
      <c r="H9" s="40">
        <f>SUM(H10:H19)</f>
        <v>0</v>
      </c>
      <c r="I9" s="41" t="e">
        <f>H9/H5</f>
        <v>#DIV/0!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/>
      <c r="D10" s="44"/>
      <c r="E10" s="45">
        <f>D10/D5</f>
        <v>0</v>
      </c>
      <c r="F10" s="44"/>
      <c r="G10" s="45" t="e">
        <f>F10/F5</f>
        <v>#DIV/0!</v>
      </c>
      <c r="H10" s="44"/>
      <c r="I10" s="45" t="e">
        <f>H10/H5</f>
        <v>#DIV/0!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/>
      <c r="D11" s="34"/>
      <c r="E11" s="35">
        <f>D11/D5</f>
        <v>0</v>
      </c>
      <c r="F11" s="34"/>
      <c r="G11" s="35" t="e">
        <f>F11/F5</f>
        <v>#DIV/0!</v>
      </c>
      <c r="H11" s="34"/>
      <c r="I11" s="35" t="e">
        <f>H11/H5</f>
        <v>#DIV/0!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/>
      <c r="D12" s="44"/>
      <c r="E12" s="45">
        <f>D12/D5</f>
        <v>0</v>
      </c>
      <c r="F12" s="44"/>
      <c r="G12" s="45" t="e">
        <f>F12/F5</f>
        <v>#DIV/0!</v>
      </c>
      <c r="H12" s="44"/>
      <c r="I12" s="45" t="e">
        <f>H12/H5</f>
        <v>#DIV/0!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4"/>
      <c r="G13" s="35" t="e">
        <f>F13/F5</f>
        <v>#DIV/0!</v>
      </c>
      <c r="H13" s="34"/>
      <c r="I13" s="35" t="e">
        <f>H13/H5</f>
        <v>#DIV/0!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 t="e">
        <f>F14/F5</f>
        <v>#DIV/0!</v>
      </c>
      <c r="H14" s="44"/>
      <c r="I14" s="45" t="e">
        <f>H14/H5</f>
        <v>#DIV/0!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 t="e">
        <f>F15/F5</f>
        <v>#DIV/0!</v>
      </c>
      <c r="H15" s="34"/>
      <c r="I15" s="35" t="e">
        <f>H15/H5</f>
        <v>#DIV/0!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 t="e">
        <f>F16/F5</f>
        <v>#DIV/0!</v>
      </c>
      <c r="H16" s="44"/>
      <c r="I16" s="45" t="e">
        <f>H16/H5</f>
        <v>#DIV/0!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 t="e">
        <f>F17/F5</f>
        <v>#DIV/0!</v>
      </c>
      <c r="H17" s="34"/>
      <c r="I17" s="35" t="e">
        <f>H17/H5</f>
        <v>#DIV/0!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 t="e">
        <f>F18/F5</f>
        <v>#DIV/0!</v>
      </c>
      <c r="H18" s="44"/>
      <c r="I18" s="45" t="e">
        <f>H18/H5</f>
        <v>#DIV/0!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 t="e">
        <f>F19/F5</f>
        <v>#DIV/0!</v>
      </c>
      <c r="H19" s="34"/>
      <c r="I19" s="35" t="e">
        <f>H19/H5</f>
        <v>#DIV/0!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21921702</v>
      </c>
      <c r="E21" s="41">
        <f>D21/D5</f>
        <v>2.4162396552754879E-2</v>
      </c>
      <c r="F21" s="40">
        <f>SUM(F22:F33)</f>
        <v>0</v>
      </c>
      <c r="G21" s="41" t="e">
        <f>F21/F5</f>
        <v>#DIV/0!</v>
      </c>
      <c r="H21" s="40">
        <f>SUM(H22:H33)</f>
        <v>0</v>
      </c>
      <c r="I21" s="41" t="e">
        <f>H21/H5</f>
        <v>#DIV/0!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710</v>
      </c>
      <c r="D22" s="44">
        <v>1306557</v>
      </c>
      <c r="E22" s="45">
        <f>D22/D5</f>
        <v>1.4401048035767366E-3</v>
      </c>
      <c r="F22" s="44"/>
      <c r="G22" s="45" t="e">
        <f>F22/F5</f>
        <v>#DIV/0!</v>
      </c>
      <c r="H22" s="44"/>
      <c r="I22" s="45" t="e">
        <f>H22/H5</f>
        <v>#DIV/0!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711</v>
      </c>
      <c r="D23" s="34">
        <v>2005177</v>
      </c>
      <c r="E23" s="35">
        <f>D23/D5</f>
        <v>2.2101332201515818E-3</v>
      </c>
      <c r="F23" s="34"/>
      <c r="G23" s="35" t="e">
        <f>F23/F5</f>
        <v>#DIV/0!</v>
      </c>
      <c r="H23" s="34"/>
      <c r="I23" s="35" t="e">
        <f>H23/H5</f>
        <v>#DIV/0!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712</v>
      </c>
      <c r="D24" s="44">
        <v>1842259</v>
      </c>
      <c r="E24" s="45">
        <f>D24/D5</f>
        <v>2.0305627962136173E-3</v>
      </c>
      <c r="F24" s="44"/>
      <c r="G24" s="45" t="e">
        <f>F24/F5</f>
        <v>#DIV/0!</v>
      </c>
      <c r="H24" s="44"/>
      <c r="I24" s="45" t="e">
        <f>H24/H5</f>
        <v>#DIV/0!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713</v>
      </c>
      <c r="D25" s="34">
        <v>1087856</v>
      </c>
      <c r="E25" s="35">
        <f>D25/D5</f>
        <v>1.1990496022751204E-3</v>
      </c>
      <c r="F25" s="34"/>
      <c r="G25" s="35" t="e">
        <f>F25/F5</f>
        <v>#DIV/0!</v>
      </c>
      <c r="H25" s="34"/>
      <c r="I25" s="35" t="e">
        <f>H25/H5</f>
        <v>#DIV/0!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714</v>
      </c>
      <c r="D26" s="44">
        <v>556168</v>
      </c>
      <c r="E26" s="45">
        <f>D26/D5</f>
        <v>6.1301589474907449E-4</v>
      </c>
      <c r="F26" s="44"/>
      <c r="G26" s="45" t="e">
        <f>F26/F5</f>
        <v>#DIV/0!</v>
      </c>
      <c r="H26" s="44"/>
      <c r="I26" s="45" t="e">
        <f>H26/H5</f>
        <v>#DIV/0!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715</v>
      </c>
      <c r="D27" s="34">
        <v>2503291</v>
      </c>
      <c r="E27" s="35">
        <f>D27/D5</f>
        <v>2.7591612106095736E-3</v>
      </c>
      <c r="F27" s="34"/>
      <c r="G27" s="35" t="e">
        <f>F27/F5</f>
        <v>#DIV/0!</v>
      </c>
      <c r="H27" s="34"/>
      <c r="I27" s="35" t="e">
        <f>H27/H5</f>
        <v>#DIV/0!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 t="s">
        <v>716</v>
      </c>
      <c r="D28" s="44">
        <v>2426458</v>
      </c>
      <c r="E28" s="45">
        <f>D28/D5</f>
        <v>2.6744748384320022E-3</v>
      </c>
      <c r="F28" s="44"/>
      <c r="G28" s="45" t="e">
        <f>F28/F5</f>
        <v>#DIV/0!</v>
      </c>
      <c r="H28" s="44"/>
      <c r="I28" s="45" t="e">
        <f>H28/H5</f>
        <v>#DIV/0!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 t="s">
        <v>717</v>
      </c>
      <c r="D29" s="34">
        <v>1087456</v>
      </c>
      <c r="E29" s="35">
        <f>D29/D5</f>
        <v>1.1986087168629794E-3</v>
      </c>
      <c r="F29" s="34"/>
      <c r="G29" s="35" t="e">
        <f>F29/F5</f>
        <v>#DIV/0!</v>
      </c>
      <c r="H29" s="34"/>
      <c r="I29" s="35" t="e">
        <f>H29/H5</f>
        <v>#DIV/0!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 t="s">
        <v>718</v>
      </c>
      <c r="D30" s="44">
        <v>2726436</v>
      </c>
      <c r="E30" s="45">
        <f>D30/D5</f>
        <v>3.0051146488400764E-3</v>
      </c>
      <c r="F30" s="44"/>
      <c r="G30" s="45" t="e">
        <f>F30/F5</f>
        <v>#DIV/0!</v>
      </c>
      <c r="H30" s="44"/>
      <c r="I30" s="45" t="e">
        <f>H30/H5</f>
        <v>#DIV/0!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 t="s">
        <v>719</v>
      </c>
      <c r="D31" s="34">
        <v>2503419</v>
      </c>
      <c r="E31" s="35">
        <f>D31/D5</f>
        <v>2.7593022939414588E-3</v>
      </c>
      <c r="F31" s="34"/>
      <c r="G31" s="35" t="e">
        <f>F31/F5</f>
        <v>#DIV/0!</v>
      </c>
      <c r="H31" s="34"/>
      <c r="I31" s="35" t="e">
        <f>H31/H5</f>
        <v>#DIV/0!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 t="s">
        <v>720</v>
      </c>
      <c r="D32" s="44">
        <v>754126</v>
      </c>
      <c r="E32" s="45">
        <f>D32/D5</f>
        <v>8.3120788079058937E-4</v>
      </c>
      <c r="F32" s="44"/>
      <c r="G32" s="45" t="e">
        <f>F32/F5</f>
        <v>#DIV/0!</v>
      </c>
      <c r="H32" s="44"/>
      <c r="I32" s="45" t="e">
        <f>H32/H5</f>
        <v>#DIV/0!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 t="s">
        <v>721</v>
      </c>
      <c r="D33" s="34">
        <v>3122499</v>
      </c>
      <c r="E33" s="35">
        <f>D33/D5</f>
        <v>3.4416606463120681E-3</v>
      </c>
      <c r="F33" s="34"/>
      <c r="G33" s="35" t="e">
        <f>F33/F5</f>
        <v>#DIV/0!</v>
      </c>
      <c r="H33" s="34"/>
      <c r="I33" s="35" t="e">
        <f>H33/H5</f>
        <v>#DIV/0!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 t="e">
        <f>F34/F5</f>
        <v>#DIV/0!</v>
      </c>
      <c r="H34" s="44"/>
      <c r="I34" s="45" t="e">
        <f>H34/H5</f>
        <v>#DIV/0!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4" customWidth="1"/>
    <col min="7" max="7" width="6.375" customWidth="1"/>
    <col min="8" max="8" width="12.375" customWidth="1"/>
    <col min="9" max="9" width="6.625" customWidth="1"/>
    <col min="10" max="10" width="0.625" customWidth="1"/>
    <col min="11" max="11" width="7.5" customWidth="1"/>
    <col min="12" max="12" width="0.625" customWidth="1"/>
    <col min="13" max="13" width="8.625" customWidth="1"/>
    <col min="14" max="14" width="7.5" customWidth="1"/>
    <col min="15" max="15" width="10.5" customWidth="1"/>
    <col min="16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44196</v>
      </c>
      <c r="D3" s="82" t="s">
        <v>722</v>
      </c>
      <c r="E3" s="83"/>
      <c r="F3" s="82" t="s">
        <v>723</v>
      </c>
      <c r="G3" s="83"/>
      <c r="H3" s="82"/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926482459.42999995</v>
      </c>
      <c r="E5" s="32">
        <f>D5/D5</f>
        <v>1</v>
      </c>
      <c r="F5" s="31">
        <v>778328666.38999999</v>
      </c>
      <c r="G5" s="32">
        <f>F5/F5</f>
        <v>1</v>
      </c>
      <c r="H5" s="31"/>
      <c r="I5" s="32" t="e">
        <f>H5/H5</f>
        <v>#DIV/0!</v>
      </c>
      <c r="J5" s="32"/>
      <c r="K5" s="33"/>
      <c r="L5" s="3"/>
      <c r="M5" s="3"/>
      <c r="N5" s="3"/>
      <c r="O5" s="20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70418418.609999999</v>
      </c>
      <c r="E7" s="38">
        <f>D7/D5</f>
        <v>7.6006208097370284E-2</v>
      </c>
      <c r="F7" s="37">
        <f>SUM(F9,F21)</f>
        <v>122288665.41999999</v>
      </c>
      <c r="G7" s="38">
        <f>F7/F5</f>
        <v>0.15711700044043395</v>
      </c>
      <c r="H7" s="37">
        <f>SUM(H9,H21)</f>
        <v>0</v>
      </c>
      <c r="I7" s="38" t="e">
        <f>H7/H5</f>
        <v>#DIV/0!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37275340.200000003</v>
      </c>
      <c r="E9" s="41">
        <f>D9/D5</f>
        <v>4.0233185011330837E-2</v>
      </c>
      <c r="F9" s="40">
        <f>SUM(F10:F19)</f>
        <v>42845729.259999998</v>
      </c>
      <c r="G9" s="41">
        <f>F9/F5</f>
        <v>5.5048376232529936E-2</v>
      </c>
      <c r="H9" s="40">
        <f>SUM(H10:H19)</f>
        <v>0</v>
      </c>
      <c r="I9" s="41" t="e">
        <f>H9/H5</f>
        <v>#DIV/0!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724</v>
      </c>
      <c r="D10" s="44">
        <v>3540612.38</v>
      </c>
      <c r="E10" s="45">
        <f>D10/D5</f>
        <v>3.8215643954860102E-3</v>
      </c>
      <c r="F10" s="44">
        <v>7081224.7400000002</v>
      </c>
      <c r="G10" s="45">
        <f>F10/F5</f>
        <v>9.0979878369940245E-3</v>
      </c>
      <c r="H10" s="44"/>
      <c r="I10" s="45" t="e">
        <f>H10/H5</f>
        <v>#DIV/0!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419</v>
      </c>
      <c r="D11" s="34">
        <v>9733110.0399999991</v>
      </c>
      <c r="E11" s="35">
        <f>D11/D5</f>
        <v>1.0505444480824929E-2</v>
      </c>
      <c r="F11" s="34"/>
      <c r="G11" s="35">
        <f>F11/F5</f>
        <v>0</v>
      </c>
      <c r="H11" s="34"/>
      <c r="I11" s="35" t="e">
        <f>H11/H5</f>
        <v>#DIV/0!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422</v>
      </c>
      <c r="D12" s="44">
        <v>9375169.7300000004</v>
      </c>
      <c r="E12" s="45">
        <f>D12/D5</f>
        <v>1.0119101160067173E-2</v>
      </c>
      <c r="F12" s="44"/>
      <c r="G12" s="45">
        <f>F12/F5</f>
        <v>0</v>
      </c>
      <c r="H12" s="44"/>
      <c r="I12" s="45" t="e">
        <f>H12/H5</f>
        <v>#DIV/0!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725</v>
      </c>
      <c r="D13" s="34">
        <v>4265988.03</v>
      </c>
      <c r="E13" s="35">
        <f>D13/D5</f>
        <v>4.6044995094937525E-3</v>
      </c>
      <c r="F13" s="34">
        <v>12795880.609999999</v>
      </c>
      <c r="G13" s="35">
        <f>F13/F5</f>
        <v>1.6440202144100805E-2</v>
      </c>
      <c r="H13" s="34"/>
      <c r="I13" s="35" t="e">
        <f>H13/H5</f>
        <v>#DIV/0!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726</v>
      </c>
      <c r="D14" s="44">
        <v>10360460.02</v>
      </c>
      <c r="E14" s="45">
        <f>D14/D5</f>
        <v>1.1182575465458967E-2</v>
      </c>
      <c r="F14" s="44">
        <v>2581012.9</v>
      </c>
      <c r="G14" s="45">
        <f>F14/F5</f>
        <v>3.3160964146047812E-3</v>
      </c>
      <c r="H14" s="44"/>
      <c r="I14" s="45" t="e">
        <f>H14/H5</f>
        <v>#DIV/0!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416</v>
      </c>
      <c r="D15" s="34"/>
      <c r="E15" s="35">
        <f>D15/D5</f>
        <v>0</v>
      </c>
      <c r="F15" s="34">
        <v>7181431.0099999998</v>
      </c>
      <c r="G15" s="35">
        <f>F15/F5</f>
        <v>9.2267332813379555E-3</v>
      </c>
      <c r="H15" s="34"/>
      <c r="I15" s="35" t="e">
        <f>H15/H5</f>
        <v>#DIV/0!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727</v>
      </c>
      <c r="D16" s="44"/>
      <c r="E16" s="45">
        <f>D16/D5</f>
        <v>0</v>
      </c>
      <c r="F16" s="44">
        <v>13206180</v>
      </c>
      <c r="G16" s="45">
        <f>F16/F5</f>
        <v>1.696735655549237E-2</v>
      </c>
      <c r="H16" s="44"/>
      <c r="I16" s="45" t="e">
        <f>H16/H5</f>
        <v>#DIV/0!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4"/>
      <c r="I17" s="35" t="e">
        <f>H17/H5</f>
        <v>#DIV/0!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4"/>
      <c r="I18" s="45" t="e">
        <f>H18/H5</f>
        <v>#DIV/0!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 t="e">
        <f>H19/H5</f>
        <v>#DIV/0!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5"/>
      <c r="K20" s="4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33143078.41</v>
      </c>
      <c r="E21" s="41">
        <f>D21/D5</f>
        <v>3.5773023086039454E-2</v>
      </c>
      <c r="F21" s="40">
        <f>SUM(F22:F33)</f>
        <v>79442936.159999996</v>
      </c>
      <c r="G21" s="41">
        <f>F21/F5</f>
        <v>0.10206862420790401</v>
      </c>
      <c r="H21" s="40">
        <f>SUM(H22:H33)</f>
        <v>0</v>
      </c>
      <c r="I21" s="41" t="e">
        <f>H21/H5</f>
        <v>#DIV/0!</v>
      </c>
      <c r="J21" s="41"/>
      <c r="K21" s="32">
        <v>0.15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728</v>
      </c>
      <c r="D22" s="44">
        <v>3278457.91</v>
      </c>
      <c r="E22" s="45">
        <f>D22/D5</f>
        <v>3.5386076407933364E-3</v>
      </c>
      <c r="F22" s="44">
        <v>7543724.25</v>
      </c>
      <c r="G22" s="45">
        <f>F22/F5</f>
        <v>9.6922091858557321E-3</v>
      </c>
      <c r="H22" s="44"/>
      <c r="I22" s="45" t="e">
        <f>H22/H5</f>
        <v>#DIV/0!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729</v>
      </c>
      <c r="D23" s="34">
        <v>4067642.19</v>
      </c>
      <c r="E23" s="35">
        <f>D23/D5</f>
        <v>4.3904146793049235E-3</v>
      </c>
      <c r="F23" s="34">
        <v>9359635.5</v>
      </c>
      <c r="G23" s="35">
        <f>F23/F5</f>
        <v>1.202529972769901E-2</v>
      </c>
      <c r="H23" s="34"/>
      <c r="I23" s="35" t="e">
        <f>H23/H5</f>
        <v>#DIV/0!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730</v>
      </c>
      <c r="D24" s="44">
        <v>2895294.36</v>
      </c>
      <c r="E24" s="45">
        <f>D24/D5</f>
        <v>3.1250395844312829E-3</v>
      </c>
      <c r="F24" s="44">
        <v>6662065.7999999998</v>
      </c>
      <c r="G24" s="45">
        <f>F24/F5</f>
        <v>8.5594506378643565E-3</v>
      </c>
      <c r="H24" s="44"/>
      <c r="I24" s="45" t="e">
        <f>H24/H5</f>
        <v>#DIV/0!</v>
      </c>
      <c r="J24" s="45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731</v>
      </c>
      <c r="D25" s="34">
        <v>3146004.91</v>
      </c>
      <c r="E25" s="35">
        <f>D25/D5</f>
        <v>3.395644329775566E-3</v>
      </c>
      <c r="F25" s="34">
        <v>7238950.1900000004</v>
      </c>
      <c r="G25" s="35">
        <f>F25/F5</f>
        <v>9.3006341698492097E-3</v>
      </c>
      <c r="H25" s="34"/>
      <c r="I25" s="35" t="e">
        <f>H25/H5</f>
        <v>#DIV/0!</v>
      </c>
      <c r="J25" s="3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732</v>
      </c>
      <c r="D26" s="44">
        <v>3267857.99</v>
      </c>
      <c r="E26" s="45">
        <f>D26/D5</f>
        <v>3.5271666038993177E-3</v>
      </c>
      <c r="F26" s="44">
        <v>7519333.8600000003</v>
      </c>
      <c r="G26" s="45">
        <f>F26/F5</f>
        <v>9.6608723084500407E-3</v>
      </c>
      <c r="H26" s="44"/>
      <c r="I26" s="45" t="e">
        <f>H26/H5</f>
        <v>#DIV/0!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463</v>
      </c>
      <c r="D27" s="34">
        <v>4549376.66</v>
      </c>
      <c r="E27" s="35">
        <f>D27/D5</f>
        <v>4.9103753813093389E-3</v>
      </c>
      <c r="F27" s="34">
        <v>10468105.43</v>
      </c>
      <c r="G27" s="35">
        <f>F27/F5</f>
        <v>1.3449466635415826E-2</v>
      </c>
      <c r="H27" s="34"/>
      <c r="I27" s="35" t="e">
        <f>H27/H5</f>
        <v>#DIV/0!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 t="s">
        <v>733</v>
      </c>
      <c r="D28" s="44">
        <v>5409296.7000000002</v>
      </c>
      <c r="E28" s="45">
        <f>D28/D5</f>
        <v>5.8385311507440337E-3</v>
      </c>
      <c r="F28" s="44">
        <v>12446779.49</v>
      </c>
      <c r="G28" s="45">
        <f>F28/F5</f>
        <v>1.5991675531790379E-2</v>
      </c>
      <c r="H28" s="44"/>
      <c r="I28" s="45" t="e">
        <f>H28/H5</f>
        <v>#DIV/0!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 t="s">
        <v>734</v>
      </c>
      <c r="D29" s="34">
        <v>5812378.1600000001</v>
      </c>
      <c r="E29" s="35">
        <f>D29/D5</f>
        <v>6.2735976281471659E-3</v>
      </c>
      <c r="F29" s="34">
        <v>13374269.039999999</v>
      </c>
      <c r="G29" s="35">
        <f>F29/F5</f>
        <v>1.7183318073111423E-2</v>
      </c>
      <c r="H29" s="34"/>
      <c r="I29" s="35" t="e">
        <f>H29/H5</f>
        <v>#DIV/0!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 t="s">
        <v>735</v>
      </c>
      <c r="D30" s="44">
        <v>716769.53</v>
      </c>
      <c r="E30" s="45">
        <f>D30/D5</f>
        <v>7.736460876344905E-4</v>
      </c>
      <c r="F30" s="44">
        <v>4830072.5999999996</v>
      </c>
      <c r="G30" s="45">
        <f>F30/F5</f>
        <v>6.2056979378680337E-3</v>
      </c>
      <c r="H30" s="44"/>
      <c r="I30" s="45" t="e">
        <f>H30/H5</f>
        <v>#DIV/0!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>
        <f>F31/F5</f>
        <v>0</v>
      </c>
      <c r="H31" s="34"/>
      <c r="I31" s="35" t="e">
        <f>H31/H5</f>
        <v>#DIV/0!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>
        <f>F32/F5</f>
        <v>0</v>
      </c>
      <c r="H32" s="44"/>
      <c r="I32" s="45" t="e">
        <f>H32/H5</f>
        <v>#DIV/0!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 t="e">
        <f>H33/H5</f>
        <v>#DIV/0!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 t="e">
        <f>H34/H5</f>
        <v>#DIV/0!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8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4.875" customWidth="1"/>
    <col min="5" max="5" width="5.375" customWidth="1"/>
    <col min="6" max="6" width="13.875" customWidth="1"/>
    <col min="7" max="7" width="5.375" customWidth="1"/>
    <col min="8" max="8" width="7.375" customWidth="1"/>
    <col min="9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25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44196</v>
      </c>
      <c r="D3" s="82" t="s">
        <v>329</v>
      </c>
      <c r="E3" s="83"/>
      <c r="F3" s="82" t="s">
        <v>390</v>
      </c>
      <c r="G3" s="83"/>
      <c r="H3" s="85" t="s">
        <v>491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16283193865.57</f>
        <v>16283193865.57</v>
      </c>
      <c r="E5" s="32">
        <f>D5/D5</f>
        <v>1</v>
      </c>
      <c r="F5" s="31">
        <f>1902433772.76</f>
        <v>1902433772.76</v>
      </c>
      <c r="G5" s="32">
        <f>F5/F5</f>
        <v>1</v>
      </c>
      <c r="H5" s="3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73"/>
      <c r="E6" s="74"/>
      <c r="F6" s="73"/>
      <c r="G6" s="74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SUM(D9,D17)</f>
        <v>109874770.5</v>
      </c>
      <c r="E7" s="38">
        <f>D7/D5</f>
        <v>6.7477407323832655E-3</v>
      </c>
      <c r="F7" s="37">
        <f>SUM(F9,F17)</f>
        <v>5548735.75</v>
      </c>
      <c r="G7" s="38">
        <f>F7/F5</f>
        <v>2.9166512019759001E-3</v>
      </c>
      <c r="H7" s="32">
        <v>0.2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73"/>
      <c r="E8" s="74"/>
      <c r="F8" s="73"/>
      <c r="G8" s="74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SUM(D10:D15)</f>
        <v>109874770.5</v>
      </c>
      <c r="E9" s="41">
        <f>D9/D5</f>
        <v>6.7477407323832655E-3</v>
      </c>
      <c r="F9" s="40">
        <f>SUM(F10:F15)</f>
        <v>5548735.75</v>
      </c>
      <c r="G9" s="41">
        <f>F9/F5</f>
        <v>2.9166512019759001E-3</v>
      </c>
      <c r="H9" s="32">
        <v>0.15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736</v>
      </c>
      <c r="D10" s="75">
        <f>19784019.77</f>
        <v>19784019.77</v>
      </c>
      <c r="E10" s="76">
        <f>D10/D5</f>
        <v>1.2149962675217128E-3</v>
      </c>
      <c r="F10" s="75">
        <f>604301.33</f>
        <v>604301.32999999996</v>
      </c>
      <c r="G10" s="76">
        <f>F10/F5</f>
        <v>3.1764644775165855E-4</v>
      </c>
      <c r="H10" s="4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5" si="0">A10+1</f>
        <v>2</v>
      </c>
      <c r="B11" s="3"/>
      <c r="C11" s="3" t="s">
        <v>737</v>
      </c>
      <c r="D11" s="73">
        <v>12117183.810000001</v>
      </c>
      <c r="E11" s="74">
        <f>D11/D5</f>
        <v>7.4415276941590565E-4</v>
      </c>
      <c r="F11" s="73">
        <f>1053668.16</f>
        <v>1053668.1599999999</v>
      </c>
      <c r="G11" s="74">
        <f>F11/F5</f>
        <v>5.538527412028469E-4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738</v>
      </c>
      <c r="D12" s="75">
        <f>41315818.09</f>
        <v>41315818.090000004</v>
      </c>
      <c r="E12" s="76">
        <f>D12/D5</f>
        <v>2.5373288822262466E-3</v>
      </c>
      <c r="F12" s="75">
        <f>2174516.74</f>
        <v>2174516.7400000002</v>
      </c>
      <c r="G12" s="76">
        <f>F12/F5</f>
        <v>1.1430183647577227E-3</v>
      </c>
      <c r="H12" s="4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739</v>
      </c>
      <c r="D13" s="73">
        <f>1331797.12</f>
        <v>1331797.1200000001</v>
      </c>
      <c r="E13" s="74">
        <f>D13/D5</f>
        <v>8.178967412627928E-5</v>
      </c>
      <c r="F13" s="73"/>
      <c r="G13" s="74">
        <f>F13/F5</f>
        <v>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374</v>
      </c>
      <c r="D14" s="75">
        <f>5239005.16</f>
        <v>5239005.16</v>
      </c>
      <c r="E14" s="76">
        <f>D14/D5</f>
        <v>3.2174309310887802E-4</v>
      </c>
      <c r="F14" s="75">
        <f>211982.85</f>
        <v>211982.85</v>
      </c>
      <c r="G14" s="76">
        <f>F14/F5</f>
        <v>1.1142719028398079E-4</v>
      </c>
      <c r="H14" s="4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725</v>
      </c>
      <c r="D15" s="73">
        <f>30086946.55</f>
        <v>30086946.550000001</v>
      </c>
      <c r="E15" s="74">
        <f>D15/D5</f>
        <v>1.847730045984243E-3</v>
      </c>
      <c r="F15" s="73">
        <v>1504266.67</v>
      </c>
      <c r="G15" s="74">
        <f>F15/F5</f>
        <v>7.9070645797969102E-4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3" customHeight="1">
      <c r="A16" s="23"/>
      <c r="B16" s="3"/>
      <c r="C16" s="3"/>
      <c r="D16" s="73"/>
      <c r="E16" s="74"/>
      <c r="F16" s="73"/>
      <c r="G16" s="74"/>
      <c r="H16" s="46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9"/>
      <c r="B17" s="39" t="s">
        <v>495</v>
      </c>
      <c r="C17" s="39"/>
      <c r="D17" s="40">
        <f>SUM(D18:D25)</f>
        <v>0</v>
      </c>
      <c r="E17" s="41">
        <f>D17/D5</f>
        <v>0</v>
      </c>
      <c r="F17" s="40">
        <f>SUM(F18:F25)</f>
        <v>0</v>
      </c>
      <c r="G17" s="41">
        <f>F17/F5</f>
        <v>0</v>
      </c>
      <c r="H17" s="32">
        <v>0.15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v>1</v>
      </c>
      <c r="B18" s="43"/>
      <c r="C18" s="43"/>
      <c r="D18" s="75"/>
      <c r="E18" s="76">
        <f>D18/D5</f>
        <v>0</v>
      </c>
      <c r="F18" s="75"/>
      <c r="G18" s="76">
        <f>F18/F5</f>
        <v>0</v>
      </c>
      <c r="H18" s="4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ref="A19:A25" si="1">A18+1</f>
        <v>2</v>
      </c>
      <c r="B19" s="3"/>
      <c r="C19" s="3"/>
      <c r="D19" s="73"/>
      <c r="E19" s="74">
        <f>D19/D5</f>
        <v>0</v>
      </c>
      <c r="F19" s="73"/>
      <c r="G19" s="74">
        <f>F19/F5</f>
        <v>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42">
        <f t="shared" si="1"/>
        <v>3</v>
      </c>
      <c r="B20" s="43"/>
      <c r="C20" s="43"/>
      <c r="D20" s="75"/>
      <c r="E20" s="76">
        <f>D20/D5</f>
        <v>0</v>
      </c>
      <c r="F20" s="75"/>
      <c r="G20" s="76">
        <f>F20/F5</f>
        <v>0</v>
      </c>
      <c r="H20" s="4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3">
        <f t="shared" si="1"/>
        <v>4</v>
      </c>
      <c r="B21" s="3"/>
      <c r="C21" s="3"/>
      <c r="D21" s="73"/>
      <c r="E21" s="74">
        <f>D21/D5</f>
        <v>0</v>
      </c>
      <c r="F21" s="73"/>
      <c r="G21" s="74">
        <f>F21/F5</f>
        <v>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f t="shared" si="1"/>
        <v>5</v>
      </c>
      <c r="B22" s="43"/>
      <c r="C22" s="43"/>
      <c r="D22" s="75"/>
      <c r="E22" s="76">
        <f>D22/D5</f>
        <v>0</v>
      </c>
      <c r="F22" s="75"/>
      <c r="G22" s="76">
        <f>F22/F5</f>
        <v>0</v>
      </c>
      <c r="H22" s="4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si="1"/>
        <v>6</v>
      </c>
      <c r="B23" s="3"/>
      <c r="C23" s="3"/>
      <c r="D23" s="73"/>
      <c r="E23" s="74">
        <f>D23/D5</f>
        <v>0</v>
      </c>
      <c r="F23" s="73"/>
      <c r="G23" s="74">
        <f>F23/F5</f>
        <v>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7</v>
      </c>
      <c r="B24" s="43"/>
      <c r="C24" s="43"/>
      <c r="D24" s="75"/>
      <c r="E24" s="76">
        <f>D24/D5</f>
        <v>0</v>
      </c>
      <c r="F24" s="75"/>
      <c r="G24" s="76">
        <f>F24/F5</f>
        <v>0</v>
      </c>
      <c r="H24" s="4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8</v>
      </c>
      <c r="B25" s="3"/>
      <c r="C25" s="3"/>
      <c r="D25" s="73"/>
      <c r="E25" s="74">
        <f>D25/D5</f>
        <v>0</v>
      </c>
      <c r="F25" s="73"/>
      <c r="G25" s="74">
        <f>F25/F5</f>
        <v>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3" customHeight="1">
      <c r="A26" s="47"/>
      <c r="B26" s="48"/>
      <c r="C26" s="48"/>
      <c r="D26" s="48"/>
      <c r="E26" s="77"/>
      <c r="F26" s="48"/>
      <c r="G26" s="77"/>
      <c r="H26" s="48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/>
      <c r="B27" s="3"/>
      <c r="C27" s="3"/>
      <c r="D27" s="3"/>
      <c r="E27" s="74"/>
      <c r="F27" s="3"/>
      <c r="G27" s="74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2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2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2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4">
    <mergeCell ref="D2:E2"/>
    <mergeCell ref="F2:G2"/>
    <mergeCell ref="D3:E3"/>
    <mergeCell ref="F3:G3"/>
  </mergeCells>
  <pageMargins left="0.511811024" right="0.511811024" top="0.78740157499999996" bottom="0.78740157499999996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3.875" customWidth="1"/>
    <col min="5" max="5" width="6.375" customWidth="1"/>
    <col min="6" max="6" width="12.375" customWidth="1"/>
    <col min="7" max="7" width="6.375" customWidth="1"/>
    <col min="8" max="8" width="11.375" customWidth="1"/>
    <col min="9" max="9" width="6.375" customWidth="1"/>
    <col min="10" max="10" width="0.625" customWidth="1"/>
    <col min="11" max="11" width="7.375" customWidth="1"/>
    <col min="12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25"/>
      <c r="K2" s="2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44253</v>
      </c>
      <c r="D3" s="82" t="s">
        <v>329</v>
      </c>
      <c r="E3" s="83"/>
      <c r="F3" s="82" t="s">
        <v>740</v>
      </c>
      <c r="G3" s="83"/>
      <c r="H3" s="82" t="s">
        <v>741</v>
      </c>
      <c r="I3" s="83"/>
      <c r="J3" s="84"/>
      <c r="K3" s="85" t="s">
        <v>491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2389652*1000</f>
        <v>2389652000</v>
      </c>
      <c r="E5" s="32">
        <f>D5/D5</f>
        <v>1</v>
      </c>
      <c r="F5" s="31">
        <f>964836.944*1000</f>
        <v>964836944</v>
      </c>
      <c r="G5" s="32">
        <f>F5/F5</f>
        <v>1</v>
      </c>
      <c r="H5" s="31">
        <f>81408.368*1000</f>
        <v>81408368</v>
      </c>
      <c r="I5" s="32">
        <f>H5/H5</f>
        <v>1</v>
      </c>
      <c r="J5" s="32"/>
      <c r="K5" s="3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SUM(D9,D25)</f>
        <v>268899000</v>
      </c>
      <c r="E7" s="38">
        <f>D7/D5</f>
        <v>0.11252642644200912</v>
      </c>
      <c r="F7" s="37">
        <f>SUM(F9,F25)</f>
        <v>169798000</v>
      </c>
      <c r="G7" s="38">
        <f>F7/F5</f>
        <v>0.17598621306524101</v>
      </c>
      <c r="H7" s="37">
        <f>SUM(H9,H25)</f>
        <v>14838490</v>
      </c>
      <c r="I7" s="38">
        <f>H7/H5</f>
        <v>0.18227229417005386</v>
      </c>
      <c r="J7" s="38"/>
      <c r="K7" s="32">
        <v>0.2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SUM(D10:D23)</f>
        <v>227612000</v>
      </c>
      <c r="E9" s="41">
        <f>D9/D5</f>
        <v>9.5249015337798143E-2</v>
      </c>
      <c r="F9" s="40">
        <f>SUM(F10:F23)</f>
        <v>93809000</v>
      </c>
      <c r="G9" s="41">
        <f>F9/F5</f>
        <v>9.7227827544713083E-2</v>
      </c>
      <c r="H9" s="40">
        <f>SUM(H10:H23)</f>
        <v>6777490</v>
      </c>
      <c r="I9" s="41">
        <f>H9/H5</f>
        <v>8.3252989422414173E-2</v>
      </c>
      <c r="J9" s="41"/>
      <c r="K9" s="32">
        <v>0.15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742</v>
      </c>
      <c r="D10" s="44">
        <f>22450*1000</f>
        <v>22450000</v>
      </c>
      <c r="E10" s="45">
        <f>D10/D5</f>
        <v>9.3946733666659416E-3</v>
      </c>
      <c r="F10" s="44">
        <f>7473*1000</f>
        <v>7473000</v>
      </c>
      <c r="G10" s="45">
        <f>F10/F5</f>
        <v>7.7453501821961746E-3</v>
      </c>
      <c r="H10" s="44">
        <f>611 *1000</f>
        <v>611000</v>
      </c>
      <c r="I10" s="45">
        <f>H10/H5</f>
        <v>7.5053709466329065E-3</v>
      </c>
      <c r="J10" s="45"/>
      <c r="K10" s="4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23" si="0">A10+1</f>
        <v>2</v>
      </c>
      <c r="B11" s="3"/>
      <c r="C11" s="3" t="s">
        <v>743</v>
      </c>
      <c r="D11" s="34">
        <f>4432*1000</f>
        <v>4432000</v>
      </c>
      <c r="E11" s="35">
        <f>D11/D5</f>
        <v>1.8546633568402428E-3</v>
      </c>
      <c r="F11" s="34">
        <f>1220*1000</f>
        <v>1220000</v>
      </c>
      <c r="G11" s="35">
        <f>F11/F5</f>
        <v>1.2644623608028011E-3</v>
      </c>
      <c r="H11" s="34">
        <f>137*1000</f>
        <v>137000</v>
      </c>
      <c r="I11" s="35">
        <f>H11/H5</f>
        <v>1.6828736819782457E-3</v>
      </c>
      <c r="J11" s="3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744</v>
      </c>
      <c r="D12" s="44">
        <f>9606*1000</f>
        <v>9606000</v>
      </c>
      <c r="E12" s="45">
        <f>D12/D5</f>
        <v>4.0198321764005809E-3</v>
      </c>
      <c r="F12" s="44">
        <f>2521*1000</f>
        <v>2521000</v>
      </c>
      <c r="G12" s="45">
        <f>F12/F5</f>
        <v>2.6128767308064441E-3</v>
      </c>
      <c r="H12" s="44">
        <f>191*1000</f>
        <v>191000</v>
      </c>
      <c r="I12" s="45">
        <f>H12/H5</f>
        <v>2.3461961551667515E-3</v>
      </c>
      <c r="J12" s="45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745</v>
      </c>
      <c r="D13" s="34">
        <f>(52169+541)*1000</f>
        <v>52710000</v>
      </c>
      <c r="E13" s="35">
        <f>D13/D5</f>
        <v>2.2057605040399188E-2</v>
      </c>
      <c r="F13" s="34">
        <f>(13733+1190)*1000</f>
        <v>14923000</v>
      </c>
      <c r="G13" s="35">
        <f>F13/F5</f>
        <v>1.5466862139557542E-2</v>
      </c>
      <c r="H13" s="34">
        <f>836*1000</f>
        <v>836000</v>
      </c>
      <c r="I13" s="35">
        <f>H13/H5</f>
        <v>1.0269214584918347E-2</v>
      </c>
      <c r="J13" s="3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746</v>
      </c>
      <c r="D14" s="44">
        <f>11454*1000</f>
        <v>11454000</v>
      </c>
      <c r="E14" s="45">
        <f>D14/D5</f>
        <v>4.7931665363827036E-3</v>
      </c>
      <c r="F14" s="44">
        <f>3190*1000</f>
        <v>3190000</v>
      </c>
      <c r="G14" s="45">
        <f>F14/F5</f>
        <v>3.3062581401319142E-3</v>
      </c>
      <c r="H14" s="44">
        <f>256*1000</f>
        <v>256000</v>
      </c>
      <c r="I14" s="45">
        <f>H14/H5</f>
        <v>3.1446398728936565E-3</v>
      </c>
      <c r="J14" s="45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747</v>
      </c>
      <c r="D15" s="34">
        <f>16023*1000</f>
        <v>16023000</v>
      </c>
      <c r="E15" s="35">
        <f>D15/D5</f>
        <v>6.7051604166631796E-3</v>
      </c>
      <c r="F15" s="34">
        <f>2137*1000</f>
        <v>2137000</v>
      </c>
      <c r="G15" s="35">
        <f>F15/F5</f>
        <v>2.2148820205209721E-3</v>
      </c>
      <c r="H15" s="34">
        <f>301*1000</f>
        <v>301000</v>
      </c>
      <c r="I15" s="35">
        <f>H15/H5</f>
        <v>3.6974086005507442E-3</v>
      </c>
      <c r="J15" s="3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748</v>
      </c>
      <c r="D16" s="44">
        <f>13269*1000</f>
        <v>13269000</v>
      </c>
      <c r="E16" s="45">
        <f>D16/D5</f>
        <v>5.552691354222288E-3</v>
      </c>
      <c r="F16" s="44">
        <f>2075*1000</f>
        <v>2075000</v>
      </c>
      <c r="G16" s="45">
        <f>F16/F5</f>
        <v>2.1506224579227969E-3</v>
      </c>
      <c r="H16" s="44">
        <f>306*1000</f>
        <v>306000</v>
      </c>
      <c r="I16" s="45">
        <f>H16/H5</f>
        <v>3.7588273480681986E-3</v>
      </c>
      <c r="J16" s="45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749</v>
      </c>
      <c r="D17" s="34">
        <f>24*1000</f>
        <v>24000</v>
      </c>
      <c r="E17" s="35">
        <f>D17/D5</f>
        <v>1.0043303376391207E-5</v>
      </c>
      <c r="F17" s="34">
        <f>7*1000</f>
        <v>7000</v>
      </c>
      <c r="G17" s="35">
        <f>F17/F5</f>
        <v>7.2551119062455803E-6</v>
      </c>
      <c r="H17" s="34">
        <f>0.49*1000</f>
        <v>490</v>
      </c>
      <c r="I17" s="35">
        <f>H17/H5</f>
        <v>6.019037256710514E-6</v>
      </c>
      <c r="J17" s="3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750</v>
      </c>
      <c r="D18" s="44">
        <f>23593*1000</f>
        <v>23593000</v>
      </c>
      <c r="E18" s="45">
        <f>D18/D5</f>
        <v>9.8729856899665725E-3</v>
      </c>
      <c r="F18" s="44">
        <f>6479*1000</f>
        <v>6479000</v>
      </c>
      <c r="G18" s="45">
        <f>F18/F5</f>
        <v>6.7151242915093022E-3</v>
      </c>
      <c r="H18" s="44">
        <f>531*1000</f>
        <v>531000</v>
      </c>
      <c r="I18" s="45">
        <f>H18/H5</f>
        <v>6.5226709863536389E-3</v>
      </c>
      <c r="J18" s="45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 t="s">
        <v>751</v>
      </c>
      <c r="D19" s="34">
        <f>38019*1000</f>
        <v>38019000</v>
      </c>
      <c r="E19" s="35">
        <f>D19/D5</f>
        <v>1.5909847961125722E-2</v>
      </c>
      <c r="F19" s="34">
        <f>10440*1000</f>
        <v>10440000</v>
      </c>
      <c r="G19" s="35">
        <f>F19/F5</f>
        <v>1.0820481185886265E-2</v>
      </c>
      <c r="H19" s="34">
        <f>858*1000</f>
        <v>858000</v>
      </c>
      <c r="I19" s="35">
        <f>H19/H5</f>
        <v>1.0539457073995145E-2</v>
      </c>
      <c r="J19" s="3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42">
        <f t="shared" si="0"/>
        <v>11</v>
      </c>
      <c r="B20" s="43"/>
      <c r="C20" s="43" t="s">
        <v>752</v>
      </c>
      <c r="D20" s="44">
        <f>12119*1000</f>
        <v>12119000</v>
      </c>
      <c r="E20" s="45">
        <f>D20/D5</f>
        <v>5.0714497341035432E-3</v>
      </c>
      <c r="F20" s="44">
        <f>17867*1000</f>
        <v>17867000</v>
      </c>
      <c r="G20" s="45">
        <f>F20/F5</f>
        <v>1.8518154918412827E-2</v>
      </c>
      <c r="H20" s="44">
        <f>1088*1000</f>
        <v>1088000</v>
      </c>
      <c r="I20" s="45">
        <f>H20/H5</f>
        <v>1.3364719459798039E-2</v>
      </c>
      <c r="J20" s="45"/>
      <c r="K20" s="4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3">
        <f t="shared" si="0"/>
        <v>12</v>
      </c>
      <c r="B21" s="3"/>
      <c r="C21" s="3" t="s">
        <v>753</v>
      </c>
      <c r="D21" s="34">
        <f>9930*1000</f>
        <v>9930000</v>
      </c>
      <c r="E21" s="35">
        <f>D21/D5</f>
        <v>4.1554167719818616E-3</v>
      </c>
      <c r="F21" s="34">
        <f>20822*1000</f>
        <v>20822000</v>
      </c>
      <c r="G21" s="35">
        <f>F21/F5</f>
        <v>2.1580848587406495E-2</v>
      </c>
      <c r="H21" s="34">
        <f>1281*1000</f>
        <v>1281000</v>
      </c>
      <c r="I21" s="35">
        <f>H21/H5</f>
        <v>1.5735483113971771E-2</v>
      </c>
      <c r="J21" s="35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f t="shared" si="0"/>
        <v>13</v>
      </c>
      <c r="B22" s="43"/>
      <c r="C22" s="43" t="s">
        <v>754</v>
      </c>
      <c r="D22" s="44">
        <f>9910*1000</f>
        <v>9910000</v>
      </c>
      <c r="E22" s="45">
        <f>D22/D5</f>
        <v>4.1470473525015358E-3</v>
      </c>
      <c r="F22" s="44">
        <f>3299*1000</f>
        <v>3299000</v>
      </c>
      <c r="G22" s="45">
        <f>F22/F5</f>
        <v>3.4192305969577385E-3</v>
      </c>
      <c r="H22" s="44">
        <f>270*1000</f>
        <v>270000</v>
      </c>
      <c r="I22" s="45">
        <f>H22/H5</f>
        <v>3.316612365942528E-3</v>
      </c>
      <c r="J22" s="45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si="0"/>
        <v>14</v>
      </c>
      <c r="B23" s="3"/>
      <c r="C23" s="3" t="s">
        <v>755</v>
      </c>
      <c r="D23" s="34">
        <f>4073*1000</f>
        <v>4073000</v>
      </c>
      <c r="E23" s="35">
        <f>D23/D5</f>
        <v>1.704432277168391E-3</v>
      </c>
      <c r="F23" s="34">
        <f>1356*1000</f>
        <v>1356000</v>
      </c>
      <c r="G23" s="35">
        <f>F23/F5</f>
        <v>1.4054188206955723E-3</v>
      </c>
      <c r="H23" s="34">
        <f>111*1000</f>
        <v>111000</v>
      </c>
      <c r="I23" s="35">
        <f>H23/H5</f>
        <v>1.3634961948874838E-3</v>
      </c>
      <c r="J23" s="3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3" customHeight="1">
      <c r="A24" s="23"/>
      <c r="B24" s="3"/>
      <c r="C24" s="3"/>
      <c r="D24" s="34"/>
      <c r="E24" s="35"/>
      <c r="F24" s="34"/>
      <c r="G24" s="35"/>
      <c r="H24" s="34"/>
      <c r="I24" s="35"/>
      <c r="J24" s="35"/>
      <c r="K24" s="46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9"/>
      <c r="B25" s="39" t="s">
        <v>495</v>
      </c>
      <c r="C25" s="39"/>
      <c r="D25" s="40">
        <f>SUM(D26:D35)</f>
        <v>41287000</v>
      </c>
      <c r="E25" s="41">
        <f>D25/D5</f>
        <v>1.727741110421099E-2</v>
      </c>
      <c r="F25" s="40">
        <f>SUM(F26:F35)</f>
        <v>75989000</v>
      </c>
      <c r="G25" s="41">
        <f>F25/F5</f>
        <v>7.8758385520527913E-2</v>
      </c>
      <c r="H25" s="40">
        <f>SUM(H26:H35)</f>
        <v>8061000</v>
      </c>
      <c r="I25" s="41">
        <f>H25/H5</f>
        <v>9.9019304747639703E-2</v>
      </c>
      <c r="J25" s="41"/>
      <c r="K25" s="32">
        <v>0.15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v>1</v>
      </c>
      <c r="B26" s="43"/>
      <c r="C26" s="43" t="s">
        <v>756</v>
      </c>
      <c r="D26" s="44">
        <f>6837*1000</f>
        <v>6837000</v>
      </c>
      <c r="E26" s="45">
        <f>D26/D5</f>
        <v>2.8610860493494452E-3</v>
      </c>
      <c r="F26" s="44">
        <f>1139*1000</f>
        <v>1139000</v>
      </c>
      <c r="G26" s="45">
        <f>F26/F5</f>
        <v>1.1805103516019594E-3</v>
      </c>
      <c r="H26" s="44">
        <f>1139*1000</f>
        <v>1139000</v>
      </c>
      <c r="I26" s="45">
        <f>H26/H5</f>
        <v>1.3991190684476072E-2</v>
      </c>
      <c r="J26" s="45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ref="A27:A35" si="1">A26+1</f>
        <v>2</v>
      </c>
      <c r="B27" s="3"/>
      <c r="C27" s="3" t="s">
        <v>757</v>
      </c>
      <c r="D27" s="34">
        <f>2598*1000</f>
        <v>2598000</v>
      </c>
      <c r="E27" s="35">
        <f>D27/D5</f>
        <v>1.0871875904943482E-3</v>
      </c>
      <c r="F27" s="34">
        <f>21763*1000</f>
        <v>21763000</v>
      </c>
      <c r="G27" s="35">
        <f>F27/F5</f>
        <v>2.2556142916517509E-2</v>
      </c>
      <c r="H27" s="34">
        <f>1614*1000</f>
        <v>1614000</v>
      </c>
      <c r="I27" s="35">
        <f>H27/H5</f>
        <v>1.9825971698634225E-2</v>
      </c>
      <c r="J27" s="3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3</v>
      </c>
      <c r="B28" s="43"/>
      <c r="C28" s="43" t="s">
        <v>758</v>
      </c>
      <c r="D28" s="44">
        <f>3917*1000</f>
        <v>3917000</v>
      </c>
      <c r="E28" s="45">
        <f>D28/D5</f>
        <v>1.6391508052218482E-3</v>
      </c>
      <c r="F28" s="44">
        <f>6528*1000</f>
        <v>6528000</v>
      </c>
      <c r="G28" s="45">
        <f>F28/F5</f>
        <v>6.7659100748530213E-3</v>
      </c>
      <c r="H28" s="44">
        <f>653*1000</f>
        <v>653000</v>
      </c>
      <c r="I28" s="45">
        <f>H28/H5</f>
        <v>8.0212884257795224E-3</v>
      </c>
      <c r="J28" s="45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4</v>
      </c>
      <c r="B29" s="3"/>
      <c r="C29" s="3" t="s">
        <v>759</v>
      </c>
      <c r="D29" s="34">
        <f>6915*1000</f>
        <v>6915000</v>
      </c>
      <c r="E29" s="35">
        <f>D29/D5</f>
        <v>2.8937267853227163E-3</v>
      </c>
      <c r="F29" s="34">
        <f>11525*1000</f>
        <v>11525000</v>
      </c>
      <c r="G29" s="35">
        <f>F29/F5</f>
        <v>1.1945023531354329E-2</v>
      </c>
      <c r="H29" s="34">
        <f>1152*1000</f>
        <v>1152000</v>
      </c>
      <c r="I29" s="35">
        <f>H29/H5</f>
        <v>1.4150879428021453E-2</v>
      </c>
      <c r="J29" s="3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5</v>
      </c>
      <c r="B30" s="43"/>
      <c r="C30" s="43" t="s">
        <v>760</v>
      </c>
      <c r="D30" s="44">
        <f>3248*1000</f>
        <v>3248000</v>
      </c>
      <c r="E30" s="45">
        <f>D30/D5</f>
        <v>1.3591937236049434E-3</v>
      </c>
      <c r="F30" s="44">
        <f>5414*1000</f>
        <v>5414000</v>
      </c>
      <c r="G30" s="45">
        <f>F30/F5</f>
        <v>5.6113108372019384E-3</v>
      </c>
      <c r="H30" s="44">
        <f>541*1000</f>
        <v>541000</v>
      </c>
      <c r="I30" s="45">
        <f>H30/H5</f>
        <v>6.6455084813885476E-3</v>
      </c>
      <c r="J30" s="45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6</v>
      </c>
      <c r="B31" s="3"/>
      <c r="C31" s="3" t="s">
        <v>761</v>
      </c>
      <c r="D31" s="34">
        <f>3916*1000</f>
        <v>3916000</v>
      </c>
      <c r="E31" s="35">
        <f>D31/D5</f>
        <v>1.6387323342478318E-3</v>
      </c>
      <c r="F31" s="34">
        <f>6526*1000</f>
        <v>6526000</v>
      </c>
      <c r="G31" s="35">
        <f>F31/F5</f>
        <v>6.763837185736951E-3</v>
      </c>
      <c r="H31" s="34">
        <f>653*1000</f>
        <v>653000</v>
      </c>
      <c r="I31" s="35">
        <f>H31/H5</f>
        <v>8.0212884257795224E-3</v>
      </c>
      <c r="J31" s="3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7</v>
      </c>
      <c r="B32" s="43"/>
      <c r="C32" s="43" t="s">
        <v>762</v>
      </c>
      <c r="D32" s="44">
        <f>7213*1000</f>
        <v>7213000</v>
      </c>
      <c r="E32" s="45">
        <f>D32/D5</f>
        <v>3.0184311355795738E-3</v>
      </c>
      <c r="F32" s="44">
        <f>12022*1000</f>
        <v>12022000</v>
      </c>
      <c r="G32" s="45">
        <f>F32/F5</f>
        <v>1.2460136476697766E-2</v>
      </c>
      <c r="H32" s="44">
        <f>1202*1000</f>
        <v>1202000</v>
      </c>
      <c r="I32" s="45">
        <f>H32/H5</f>
        <v>1.4765066903195996E-2</v>
      </c>
      <c r="J32" s="45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8</v>
      </c>
      <c r="B33" s="3"/>
      <c r="C33" s="3" t="s">
        <v>763</v>
      </c>
      <c r="D33" s="34">
        <f>6643*1000</f>
        <v>6643000</v>
      </c>
      <c r="E33" s="35">
        <f>D33/D5</f>
        <v>2.7799026803902826E-3</v>
      </c>
      <c r="F33" s="34">
        <f>11072*1000</f>
        <v>11072000</v>
      </c>
      <c r="G33" s="35">
        <f>F33/F5</f>
        <v>1.1475514146564437E-2</v>
      </c>
      <c r="H33" s="34">
        <f>1107*1000</f>
        <v>1107000</v>
      </c>
      <c r="I33" s="35">
        <f>H33/H5</f>
        <v>1.3598110700364366E-2</v>
      </c>
      <c r="J33" s="3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9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>
        <f>H34/H5</f>
        <v>0</v>
      </c>
      <c r="J34" s="45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>
        <f t="shared" si="1"/>
        <v>10</v>
      </c>
      <c r="B35" s="3"/>
      <c r="C35" s="3"/>
      <c r="D35" s="34"/>
      <c r="E35" s="35">
        <f>D35/D5</f>
        <v>0</v>
      </c>
      <c r="F35" s="34"/>
      <c r="G35" s="35">
        <f>F35/F5</f>
        <v>0</v>
      </c>
      <c r="H35" s="34"/>
      <c r="I35" s="35">
        <f>H35/H5</f>
        <v>0</v>
      </c>
      <c r="J35" s="35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3" customHeight="1">
      <c r="A36" s="47"/>
      <c r="B36" s="48"/>
      <c r="C36" s="48"/>
      <c r="D36" s="48"/>
      <c r="E36" s="49"/>
      <c r="F36" s="48"/>
      <c r="G36" s="49"/>
      <c r="H36" s="48"/>
      <c r="I36" s="49"/>
      <c r="J36" s="48"/>
      <c r="K36" s="48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5"/>
      <c r="F37" s="3"/>
      <c r="G37" s="35"/>
      <c r="H37" s="3"/>
      <c r="I37" s="3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D2:E2"/>
    <mergeCell ref="F2:G2"/>
    <mergeCell ref="H2:I2"/>
    <mergeCell ref="D3:E3"/>
    <mergeCell ref="F3:G3"/>
    <mergeCell ref="H3:I3"/>
  </mergeCells>
  <pageMargins left="0.511811024" right="0.511811024" top="0.78740157499999996" bottom="0.78740157499999996" header="0" footer="0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5" customWidth="1"/>
    <col min="7" max="7" width="6.375" customWidth="1"/>
    <col min="8" max="8" width="14" customWidth="1"/>
    <col min="9" max="9" width="6.375" customWidth="1"/>
    <col min="10" max="10" width="11.375" customWidth="1"/>
    <col min="11" max="11" width="6.625" customWidth="1"/>
    <col min="12" max="12" width="0.625" customWidth="1"/>
    <col min="13" max="13" width="7.5" customWidth="1"/>
    <col min="14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25"/>
      <c r="M2" s="2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764</v>
      </c>
      <c r="E3" s="83"/>
      <c r="F3" s="82" t="s">
        <v>765</v>
      </c>
      <c r="G3" s="83"/>
      <c r="H3" s="82" t="s">
        <v>766</v>
      </c>
      <c r="I3" s="83"/>
      <c r="J3" s="82"/>
      <c r="K3" s="83"/>
      <c r="L3" s="84"/>
      <c r="M3" s="85" t="s">
        <v>491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2344599439.8400002</v>
      </c>
      <c r="E5" s="32">
        <f>D5/D5</f>
        <v>1</v>
      </c>
      <c r="F5" s="31">
        <v>1514168170.4400001</v>
      </c>
      <c r="G5" s="32">
        <f>F5/F5</f>
        <v>1</v>
      </c>
      <c r="H5" s="31">
        <v>2461589760.8099999</v>
      </c>
      <c r="I5" s="32">
        <f>H5/H5</f>
        <v>1</v>
      </c>
      <c r="J5" s="31"/>
      <c r="K5" s="32" t="e">
        <f>J5/J5</f>
        <v>#DIV/0!</v>
      </c>
      <c r="L5" s="32"/>
      <c r="M5" s="3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5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125032403.38000001</v>
      </c>
      <c r="E7" s="38">
        <f>D7/D5</f>
        <v>5.3327831294087684E-2</v>
      </c>
      <c r="F7" s="37">
        <f>SUM(F9,F21)</f>
        <v>135045454.66</v>
      </c>
      <c r="G7" s="38">
        <f>F7/F5</f>
        <v>8.9187883681874858E-2</v>
      </c>
      <c r="H7" s="37">
        <f>SUM(H9,H21)</f>
        <v>224325091.21999997</v>
      </c>
      <c r="I7" s="38">
        <f>H7/H5</f>
        <v>9.1130169125412899E-2</v>
      </c>
      <c r="J7" s="37">
        <f>SUM(J9,J21)</f>
        <v>0</v>
      </c>
      <c r="K7" s="38" t="e">
        <f>J7/J5</f>
        <v>#DIV/0!</v>
      </c>
      <c r="L7" s="38"/>
      <c r="M7" s="32">
        <v>0.2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5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14539044.390000001</v>
      </c>
      <c r="E9" s="41">
        <f>D9/D5</f>
        <v>6.2010781641200817E-3</v>
      </c>
      <c r="F9" s="40">
        <f>SUM(F10:F19)</f>
        <v>47173670.460000001</v>
      </c>
      <c r="G9" s="41">
        <f>F9/F5</f>
        <v>3.1154842230167783E-2</v>
      </c>
      <c r="H9" s="40">
        <f>SUM(H10:H19)</f>
        <v>81884779.549999997</v>
      </c>
      <c r="I9" s="41">
        <f>H9/H5</f>
        <v>3.3264998438673775E-2</v>
      </c>
      <c r="J9" s="40">
        <f>SUM(J10:J19)</f>
        <v>0</v>
      </c>
      <c r="K9" s="41" t="e">
        <f>J9/J5</f>
        <v>#DIV/0!</v>
      </c>
      <c r="L9" s="41"/>
      <c r="M9" s="32">
        <v>0.15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767</v>
      </c>
      <c r="D10" s="44">
        <v>364319.3</v>
      </c>
      <c r="E10" s="45">
        <f>D10/D5</f>
        <v>1.553865849361722E-4</v>
      </c>
      <c r="F10" s="44">
        <v>451401.73</v>
      </c>
      <c r="G10" s="45">
        <f>F10/F5</f>
        <v>2.9811862302509489E-4</v>
      </c>
      <c r="H10" s="44">
        <v>280956.57</v>
      </c>
      <c r="I10" s="45">
        <f>H10/H5</f>
        <v>1.1413622792595207E-4</v>
      </c>
      <c r="J10" s="44"/>
      <c r="K10" s="45" t="e">
        <f>J10/J5</f>
        <v>#DIV/0!</v>
      </c>
      <c r="L10" s="45"/>
      <c r="M10" s="4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768</v>
      </c>
      <c r="D11" s="34">
        <v>4518244.79</v>
      </c>
      <c r="E11" s="35">
        <f>D11/D5</f>
        <v>1.927086014448734E-3</v>
      </c>
      <c r="F11" s="34">
        <v>5813530.9199999999</v>
      </c>
      <c r="G11" s="35">
        <f>F11/F5</f>
        <v>3.8394222210539888E-3</v>
      </c>
      <c r="H11" s="34">
        <v>13299767.48</v>
      </c>
      <c r="I11" s="35">
        <f>H11/H5</f>
        <v>5.4029179401622295E-3</v>
      </c>
      <c r="J11" s="34"/>
      <c r="K11" s="35" t="e">
        <f>J11/J5</f>
        <v>#DIV/0!</v>
      </c>
      <c r="L11" s="35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769</v>
      </c>
      <c r="D12" s="44">
        <v>814398.04</v>
      </c>
      <c r="E12" s="45">
        <f>D12/D5</f>
        <v>3.4735060759699579E-4</v>
      </c>
      <c r="F12" s="44">
        <v>2845243.26</v>
      </c>
      <c r="G12" s="45">
        <f>F12/F5</f>
        <v>1.8790800886886985E-3</v>
      </c>
      <c r="H12" s="44">
        <v>2120317.9</v>
      </c>
      <c r="I12" s="45">
        <f>H12/H5</f>
        <v>8.613611958242373E-4</v>
      </c>
      <c r="J12" s="44"/>
      <c r="K12" s="45" t="e">
        <f>J12/J5</f>
        <v>#DIV/0!</v>
      </c>
      <c r="L12" s="45"/>
      <c r="M12" s="4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770</v>
      </c>
      <c r="D13" s="34"/>
      <c r="E13" s="35">
        <f>D13/D5</f>
        <v>0</v>
      </c>
      <c r="F13" s="34">
        <v>22373256</v>
      </c>
      <c r="G13" s="35">
        <f>F13/F5</f>
        <v>1.477593865514858E-2</v>
      </c>
      <c r="H13" s="34">
        <v>28933140.379999999</v>
      </c>
      <c r="I13" s="35">
        <f>H13/H5</f>
        <v>1.175384332541235E-2</v>
      </c>
      <c r="J13" s="34"/>
      <c r="K13" s="35" t="e">
        <f>J13/J5</f>
        <v>#DIV/0!</v>
      </c>
      <c r="L13" s="3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771</v>
      </c>
      <c r="D14" s="44"/>
      <c r="E14" s="45">
        <f>D14/D5</f>
        <v>0</v>
      </c>
      <c r="F14" s="44">
        <v>10287366.310000001</v>
      </c>
      <c r="G14" s="45">
        <f>F14/F5</f>
        <v>6.794071167808665E-3</v>
      </c>
      <c r="H14" s="44">
        <v>12996782.300000001</v>
      </c>
      <c r="I14" s="45">
        <f>H14/H5</f>
        <v>5.2798327759225553E-3</v>
      </c>
      <c r="J14" s="44"/>
      <c r="K14" s="45" t="e">
        <f>J14/J5</f>
        <v>#DIV/0!</v>
      </c>
      <c r="L14" s="45"/>
      <c r="M14" s="4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772</v>
      </c>
      <c r="D15" s="34">
        <v>8842082.2599999998</v>
      </c>
      <c r="E15" s="35">
        <f>D15/D5</f>
        <v>3.7712549571381798E-3</v>
      </c>
      <c r="F15" s="34">
        <v>5402872.2400000002</v>
      </c>
      <c r="G15" s="35">
        <f>F15/F5</f>
        <v>3.5682114744427541E-3</v>
      </c>
      <c r="H15" s="34">
        <v>24253814.920000002</v>
      </c>
      <c r="I15" s="35">
        <f>H15/H5</f>
        <v>9.8529069734264521E-3</v>
      </c>
      <c r="J15" s="34"/>
      <c r="K15" s="35" t="e">
        <f>J15/J5</f>
        <v>#DIV/0!</v>
      </c>
      <c r="L15" s="35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773</v>
      </c>
      <c r="D16" s="44">
        <v>25471328.100000001</v>
      </c>
      <c r="E16" s="45">
        <f>D16/D5</f>
        <v>1.0863829303711773E-2</v>
      </c>
      <c r="F16" s="44">
        <v>35267188.270000003</v>
      </c>
      <c r="G16" s="45">
        <f>F16/F5</f>
        <v>2.3291460591033136E-2</v>
      </c>
      <c r="H16" s="44">
        <v>32159184.719999999</v>
      </c>
      <c r="I16" s="45">
        <f>H16/H5</f>
        <v>1.3064396526177391E-2</v>
      </c>
      <c r="J16" s="44"/>
      <c r="K16" s="45" t="e">
        <f>J16/J5</f>
        <v>#DIV/0!</v>
      </c>
      <c r="L16" s="45"/>
      <c r="M16" s="4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774</v>
      </c>
      <c r="D17" s="34">
        <f>-D16</f>
        <v>-25471328.100000001</v>
      </c>
      <c r="E17" s="35">
        <f>D17/D5</f>
        <v>-1.0863829303711773E-2</v>
      </c>
      <c r="F17" s="34">
        <f>-F16</f>
        <v>-35267188.270000003</v>
      </c>
      <c r="G17" s="35">
        <f>F17/F5</f>
        <v>-2.3291460591033136E-2</v>
      </c>
      <c r="H17" s="34">
        <f>-H16</f>
        <v>-32159184.719999999</v>
      </c>
      <c r="I17" s="35">
        <f>H17/H5</f>
        <v>-1.3064396526177391E-2</v>
      </c>
      <c r="J17" s="34"/>
      <c r="K17" s="35" t="e">
        <f>J17/J5</f>
        <v>#DIV/0!</v>
      </c>
      <c r="L17" s="35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775</v>
      </c>
      <c r="D18" s="44"/>
      <c r="E18" s="45">
        <f>D18/D5</f>
        <v>0</v>
      </c>
      <c r="F18" s="44"/>
      <c r="G18" s="45">
        <f>F18/F5</f>
        <v>0</v>
      </c>
      <c r="H18" s="44"/>
      <c r="I18" s="45">
        <f>H18/H5</f>
        <v>0</v>
      </c>
      <c r="J18" s="44"/>
      <c r="K18" s="45" t="e">
        <f>J18/J5</f>
        <v>#DIV/0!</v>
      </c>
      <c r="L18" s="45"/>
      <c r="M18" s="4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4"/>
      <c r="K19" s="35" t="e">
        <f>J19/J5</f>
        <v>#DIV/0!</v>
      </c>
      <c r="L19" s="3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4"/>
      <c r="K20" s="35"/>
      <c r="L20" s="35"/>
      <c r="M20" s="46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SUM(D22:D33)</f>
        <v>110493358.99000001</v>
      </c>
      <c r="E21" s="41">
        <f>D21/D5</f>
        <v>4.71267531299676E-2</v>
      </c>
      <c r="F21" s="40">
        <f>SUM(F22:F33)</f>
        <v>87871784.199999988</v>
      </c>
      <c r="G21" s="41">
        <f>F21/F5</f>
        <v>5.8033041451707075E-2</v>
      </c>
      <c r="H21" s="40">
        <f>SUM(H22:H33)</f>
        <v>142440311.66999999</v>
      </c>
      <c r="I21" s="41">
        <f>H21/H5</f>
        <v>5.7865170686739124E-2</v>
      </c>
      <c r="J21" s="40"/>
      <c r="K21" s="41" t="e">
        <f>J21/J5</f>
        <v>#DIV/0!</v>
      </c>
      <c r="L21" s="41"/>
      <c r="M21" s="32">
        <v>0.15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776</v>
      </c>
      <c r="D22" s="44">
        <v>34154821.189999998</v>
      </c>
      <c r="E22" s="45">
        <f>D22/D5</f>
        <v>1.456744406299559E-2</v>
      </c>
      <c r="F22" s="44">
        <v>27983053.449999999</v>
      </c>
      <c r="G22" s="45">
        <f>F22/F5</f>
        <v>1.8480809461123755E-2</v>
      </c>
      <c r="H22" s="44">
        <v>46352578.969999999</v>
      </c>
      <c r="I22" s="45">
        <f>H22/H5</f>
        <v>1.8830342776022687E-2</v>
      </c>
      <c r="J22" s="44"/>
      <c r="K22" s="45" t="e">
        <f>J22/J5</f>
        <v>#DIV/0!</v>
      </c>
      <c r="L22" s="45"/>
      <c r="M22" s="4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4" si="1">A22+1</f>
        <v>2</v>
      </c>
      <c r="B23" s="3"/>
      <c r="C23" s="3" t="s">
        <v>777</v>
      </c>
      <c r="D23" s="34">
        <v>13205733.630000001</v>
      </c>
      <c r="E23" s="35">
        <f>D23/D5</f>
        <v>5.6324050094037322E-3</v>
      </c>
      <c r="F23" s="34">
        <v>10809282.74</v>
      </c>
      <c r="G23" s="35">
        <f>F23/F5</f>
        <v>7.1387597170656054E-3</v>
      </c>
      <c r="H23" s="34">
        <v>17904959.780000001</v>
      </c>
      <c r="I23" s="35">
        <f>H23/H5</f>
        <v>7.2737383235248242E-3</v>
      </c>
      <c r="J23" s="34"/>
      <c r="K23" s="35" t="e">
        <f>J23/J5</f>
        <v>#DIV/0!</v>
      </c>
      <c r="L23" s="35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778</v>
      </c>
      <c r="D24" s="44">
        <v>20921334.079999998</v>
      </c>
      <c r="E24" s="45">
        <f>D24/D5</f>
        <v>8.9232018589186848E-3</v>
      </c>
      <c r="F24" s="44">
        <v>17268113.93</v>
      </c>
      <c r="G24" s="45">
        <f>F24/F5</f>
        <v>1.1404356706944964E-2</v>
      </c>
      <c r="H24" s="44">
        <v>28265738.879999999</v>
      </c>
      <c r="I24" s="45">
        <f>H24/H5</f>
        <v>1.1482717116396762E-2</v>
      </c>
      <c r="J24" s="44"/>
      <c r="K24" s="45" t="e">
        <f>J24/J5</f>
        <v>#DIV/0!</v>
      </c>
      <c r="L24" s="45"/>
      <c r="M24" s="4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779</v>
      </c>
      <c r="D25" s="34">
        <v>24536912.73</v>
      </c>
      <c r="E25" s="35">
        <f>D25/D5</f>
        <v>1.0465289854233884E-2</v>
      </c>
      <c r="F25" s="34">
        <v>20252351.149999999</v>
      </c>
      <c r="G25" s="35">
        <f>F25/F5</f>
        <v>1.3375232385260678E-2</v>
      </c>
      <c r="H25" s="34">
        <v>33150561.309999999</v>
      </c>
      <c r="I25" s="35">
        <f>H25/H5</f>
        <v>1.3467134872665225E-2</v>
      </c>
      <c r="J25" s="34"/>
      <c r="K25" s="35" t="e">
        <f>J25/J5</f>
        <v>#DIV/0!</v>
      </c>
      <c r="L25" s="3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780</v>
      </c>
      <c r="D26" s="44">
        <v>17674557.359999999</v>
      </c>
      <c r="E26" s="45">
        <f>D26/D5</f>
        <v>7.538412344415703E-3</v>
      </c>
      <c r="F26" s="44">
        <v>11558982.93</v>
      </c>
      <c r="G26" s="45">
        <f>F26/F5</f>
        <v>7.6338831813120801E-3</v>
      </c>
      <c r="H26" s="44">
        <v>16766472.73</v>
      </c>
      <c r="I26" s="45">
        <f>H26/H5</f>
        <v>6.8112375981296321E-3</v>
      </c>
      <c r="J26" s="44"/>
      <c r="K26" s="45" t="e">
        <f>J26/J5</f>
        <v>#DIV/0!</v>
      </c>
      <c r="L26" s="45"/>
      <c r="M26" s="4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/>
      <c r="D27" s="34"/>
      <c r="E27" s="35">
        <f>D27/D5</f>
        <v>0</v>
      </c>
      <c r="F27" s="34"/>
      <c r="G27" s="35">
        <f>F27/F5</f>
        <v>0</v>
      </c>
      <c r="H27" s="34"/>
      <c r="I27" s="35">
        <f>H27/H5</f>
        <v>0</v>
      </c>
      <c r="J27" s="34"/>
      <c r="K27" s="35" t="e">
        <f>J27/J5</f>
        <v>#DIV/0!</v>
      </c>
      <c r="L27" s="35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>
        <f>F28/F5</f>
        <v>0</v>
      </c>
      <c r="H28" s="44"/>
      <c r="I28" s="45">
        <f>H28/H5</f>
        <v>0</v>
      </c>
      <c r="J28" s="44"/>
      <c r="K28" s="45" t="e">
        <f>J28/J5</f>
        <v>#DIV/0!</v>
      </c>
      <c r="L28" s="45"/>
      <c r="M28" s="4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>
        <f>F29/F5</f>
        <v>0</v>
      </c>
      <c r="H29" s="34"/>
      <c r="I29" s="35">
        <f>H29/H5</f>
        <v>0</v>
      </c>
      <c r="J29" s="34"/>
      <c r="K29" s="35" t="e">
        <f>J29/J5</f>
        <v>#DIV/0!</v>
      </c>
      <c r="L29" s="35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>
        <f>F30/F5</f>
        <v>0</v>
      </c>
      <c r="H30" s="44"/>
      <c r="I30" s="45">
        <f>H30/H5</f>
        <v>0</v>
      </c>
      <c r="J30" s="44"/>
      <c r="K30" s="45" t="e">
        <f>J30/J5</f>
        <v>#DIV/0!</v>
      </c>
      <c r="L30" s="45"/>
      <c r="M30" s="4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>
        <f>F31/F5</f>
        <v>0</v>
      </c>
      <c r="H31" s="34"/>
      <c r="I31" s="35">
        <f>H31/H5</f>
        <v>0</v>
      </c>
      <c r="J31" s="34"/>
      <c r="K31" s="35" t="e">
        <f>J31/J5</f>
        <v>#DIV/0!</v>
      </c>
      <c r="L31" s="35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>
        <f>F32/F5</f>
        <v>0</v>
      </c>
      <c r="H32" s="44"/>
      <c r="I32" s="45">
        <f>H32/H5</f>
        <v>0</v>
      </c>
      <c r="J32" s="44"/>
      <c r="K32" s="45" t="e">
        <f>J32/J5</f>
        <v>#DIV/0!</v>
      </c>
      <c r="L32" s="45"/>
      <c r="M32" s="4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>
        <f>H33/H5</f>
        <v>0</v>
      </c>
      <c r="J33" s="34"/>
      <c r="K33" s="35" t="e">
        <f>J33/J5</f>
        <v>#DIV/0!</v>
      </c>
      <c r="L33" s="35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>
        <f>H34/H5</f>
        <v>0</v>
      </c>
      <c r="J34" s="44"/>
      <c r="K34" s="45" t="e">
        <f>J34/J5</f>
        <v>#DIV/0!</v>
      </c>
      <c r="L34" s="45"/>
      <c r="M34" s="4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3" customHeight="1">
      <c r="A35" s="47"/>
      <c r="B35" s="48"/>
      <c r="C35" s="48"/>
      <c r="D35" s="48"/>
      <c r="E35" s="49"/>
      <c r="F35" s="48"/>
      <c r="G35" s="49"/>
      <c r="H35" s="48"/>
      <c r="I35" s="49"/>
      <c r="J35" s="48"/>
      <c r="K35" s="49"/>
      <c r="L35" s="48"/>
      <c r="M35" s="48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5"/>
      <c r="F36" s="3"/>
      <c r="G36" s="35"/>
      <c r="H36" s="3"/>
      <c r="I36" s="35"/>
      <c r="J36" s="3"/>
      <c r="K36" s="35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D2:E2"/>
    <mergeCell ref="F2:G2"/>
    <mergeCell ref="H2:I2"/>
    <mergeCell ref="J2:K2"/>
    <mergeCell ref="D3:E3"/>
    <mergeCell ref="F3:G3"/>
    <mergeCell ref="H3:I3"/>
    <mergeCell ref="J3:K3"/>
  </mergeCells>
  <pageMargins left="0.511811024" right="0.511811024" top="0.78740157499999996" bottom="0.78740157499999996" header="0" footer="0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3.875" customWidth="1"/>
    <col min="5" max="5" width="6.375" customWidth="1"/>
    <col min="6" max="6" width="14.875" customWidth="1"/>
    <col min="7" max="7" width="6.375" customWidth="1"/>
    <col min="8" max="8" width="0.625" customWidth="1"/>
    <col min="9" max="9" width="7.375" customWidth="1"/>
    <col min="10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25"/>
      <c r="I2" s="25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781</v>
      </c>
      <c r="E3" s="83"/>
      <c r="F3" s="82" t="s">
        <v>782</v>
      </c>
      <c r="G3" s="83"/>
      <c r="H3" s="84"/>
      <c r="I3" s="85" t="s">
        <v>491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5327699609.8199997</v>
      </c>
      <c r="E5" s="32">
        <f>D5/D5</f>
        <v>1</v>
      </c>
      <c r="F5" s="31">
        <v>3713184010.5</v>
      </c>
      <c r="G5" s="32">
        <f>F5/F5</f>
        <v>1</v>
      </c>
      <c r="H5" s="32"/>
      <c r="I5" s="3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44388809.849999994</v>
      </c>
      <c r="E7" s="38">
        <f>D7/D5</f>
        <v>8.3317028175129617E-3</v>
      </c>
      <c r="F7" s="37">
        <f>SUM(F9,F21)</f>
        <v>31905272.039999999</v>
      </c>
      <c r="G7" s="38">
        <f>F7/F5</f>
        <v>8.5924295563536545E-3</v>
      </c>
      <c r="H7" s="38"/>
      <c r="I7" s="32">
        <v>0.2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0</v>
      </c>
      <c r="E9" s="41">
        <f>D9/D5</f>
        <v>0</v>
      </c>
      <c r="F9" s="40">
        <f>SUM(F10:F19)</f>
        <v>809921.09</v>
      </c>
      <c r="G9" s="41">
        <f>F9/F5</f>
        <v>2.1812037531933134E-4</v>
      </c>
      <c r="H9" s="41"/>
      <c r="I9" s="32">
        <v>0.15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783</v>
      </c>
      <c r="D10" s="44"/>
      <c r="E10" s="45">
        <f>D10/D5</f>
        <v>0</v>
      </c>
      <c r="F10" s="44">
        <v>809921.09</v>
      </c>
      <c r="G10" s="45">
        <f>F10/F5</f>
        <v>2.1812037531933134E-4</v>
      </c>
      <c r="H10" s="45"/>
      <c r="I10" s="4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/>
      <c r="D11" s="34"/>
      <c r="E11" s="35">
        <f>D11/D5</f>
        <v>0</v>
      </c>
      <c r="F11" s="34"/>
      <c r="G11" s="35">
        <f>F11/F5</f>
        <v>0</v>
      </c>
      <c r="H11" s="3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/>
      <c r="D12" s="44"/>
      <c r="E12" s="45">
        <f>D12/D5</f>
        <v>0</v>
      </c>
      <c r="F12" s="44"/>
      <c r="G12" s="45">
        <f>F12/F5</f>
        <v>0</v>
      </c>
      <c r="H12" s="45"/>
      <c r="I12" s="4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4"/>
      <c r="G13" s="35">
        <f>F13/F5</f>
        <v>0</v>
      </c>
      <c r="H13" s="3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>
        <f>F14/F5</f>
        <v>0</v>
      </c>
      <c r="H14" s="45"/>
      <c r="I14" s="4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>
        <f>F15/F5</f>
        <v>0</v>
      </c>
      <c r="H15" s="3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>
        <f>F16/F5</f>
        <v>0</v>
      </c>
      <c r="H16" s="45"/>
      <c r="I16" s="4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5"/>
      <c r="I18" s="4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5"/>
      <c r="I20" s="46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SUM(D22:D35)</f>
        <v>44388809.849999994</v>
      </c>
      <c r="E21" s="41">
        <f>D21/D5</f>
        <v>8.3317028175129617E-3</v>
      </c>
      <c r="F21" s="40">
        <f>SUM(F22:F35)</f>
        <v>31095350.949999999</v>
      </c>
      <c r="G21" s="41">
        <f>F21/F5</f>
        <v>8.3743091810343229E-3</v>
      </c>
      <c r="H21" s="41"/>
      <c r="I21" s="32">
        <v>0.15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665</v>
      </c>
      <c r="D22" s="44">
        <v>10479082.109999999</v>
      </c>
      <c r="E22" s="45">
        <f>D22/D5</f>
        <v>1.9669055835439724E-3</v>
      </c>
      <c r="F22" s="44">
        <v>7306773.6299999999</v>
      </c>
      <c r="G22" s="45">
        <f>F22/F5</f>
        <v>1.9677919568053142E-3</v>
      </c>
      <c r="H22" s="45"/>
      <c r="I22" s="4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5" si="1">A22+1</f>
        <v>2</v>
      </c>
      <c r="B23" s="3"/>
      <c r="C23" s="3" t="s">
        <v>784</v>
      </c>
      <c r="D23" s="34">
        <v>5926981.9100000001</v>
      </c>
      <c r="E23" s="35">
        <f>D23/D5</f>
        <v>1.1124842510030794E-3</v>
      </c>
      <c r="F23" s="34">
        <v>4161497.93</v>
      </c>
      <c r="G23" s="35">
        <f>F23/F5</f>
        <v>1.1207357131325232E-3</v>
      </c>
      <c r="H23" s="3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785</v>
      </c>
      <c r="D24" s="44">
        <v>15122200.49</v>
      </c>
      <c r="E24" s="45">
        <f>D24/D5</f>
        <v>2.8384108710120979E-3</v>
      </c>
      <c r="F24" s="44">
        <v>10614863.689999999</v>
      </c>
      <c r="G24" s="45">
        <f>F24/F5</f>
        <v>2.8586958416237096E-3</v>
      </c>
      <c r="H24" s="45"/>
      <c r="I24" s="4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786</v>
      </c>
      <c r="D25" s="34">
        <v>12860545.34</v>
      </c>
      <c r="E25" s="35">
        <f>D25/D5</f>
        <v>2.4139021119538124E-3</v>
      </c>
      <c r="F25" s="34">
        <v>9012215.6999999993</v>
      </c>
      <c r="G25" s="35">
        <f>F25/F5</f>
        <v>2.4270856694727757E-3</v>
      </c>
      <c r="H25" s="3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/>
      <c r="D26" s="44"/>
      <c r="E26" s="45">
        <f>D26/D5</f>
        <v>0</v>
      </c>
      <c r="F26" s="44"/>
      <c r="G26" s="45">
        <f>F26/F5</f>
        <v>0</v>
      </c>
      <c r="H26" s="45"/>
      <c r="I26" s="4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/>
      <c r="D27" s="34"/>
      <c r="E27" s="35">
        <f>D27/D5</f>
        <v>0</v>
      </c>
      <c r="F27" s="34"/>
      <c r="G27" s="35">
        <f>F27/F5</f>
        <v>0</v>
      </c>
      <c r="H27" s="3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>
        <f>F28/F5</f>
        <v>0</v>
      </c>
      <c r="H28" s="45"/>
      <c r="I28" s="4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>
        <f>F29/F5</f>
        <v>0</v>
      </c>
      <c r="H29" s="3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>
        <f>F30/F5</f>
        <v>0</v>
      </c>
      <c r="H30" s="45"/>
      <c r="I30" s="4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>
        <f>F31/F5</f>
        <v>0</v>
      </c>
      <c r="H31" s="3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>
        <f>F32/F5</f>
        <v>0</v>
      </c>
      <c r="H32" s="45"/>
      <c r="I32" s="4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5"/>
      <c r="I34" s="4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>
        <f t="shared" si="1"/>
        <v>14</v>
      </c>
      <c r="B35" s="3"/>
      <c r="C35" s="3"/>
      <c r="D35" s="34"/>
      <c r="E35" s="35">
        <f>D35/D5</f>
        <v>0</v>
      </c>
      <c r="F35" s="34"/>
      <c r="G35" s="35">
        <f>F35/F5</f>
        <v>0</v>
      </c>
      <c r="H35" s="3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3" customHeight="1">
      <c r="A36" s="47"/>
      <c r="B36" s="48"/>
      <c r="C36" s="48"/>
      <c r="D36" s="48"/>
      <c r="E36" s="49"/>
      <c r="F36" s="48"/>
      <c r="G36" s="49"/>
      <c r="H36" s="48"/>
      <c r="I36" s="48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5"/>
      <c r="F37" s="3"/>
      <c r="G37" s="35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4">
    <mergeCell ref="D2:E2"/>
    <mergeCell ref="F2:G2"/>
    <mergeCell ref="D3:E3"/>
    <mergeCell ref="F3:G3"/>
  </mergeCells>
  <pageMargins left="0.511811024" right="0.511811024" top="0.78740157499999996" bottom="0.78740157499999996" header="0" footer="0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3.875" customWidth="1"/>
    <col min="5" max="5" width="6.375" customWidth="1"/>
    <col min="6" max="6" width="14.875" customWidth="1"/>
    <col min="7" max="7" width="6.375" customWidth="1"/>
    <col min="8" max="8" width="13.875" customWidth="1"/>
    <col min="9" max="9" width="6.375" customWidth="1"/>
    <col min="10" max="10" width="13.875" customWidth="1"/>
    <col min="11" max="11" width="6.375" customWidth="1"/>
    <col min="12" max="12" width="0.625" customWidth="1"/>
    <col min="13" max="13" width="7.375" customWidth="1"/>
    <col min="14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25"/>
      <c r="M2" s="2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2" t="s">
        <v>787</v>
      </c>
      <c r="E3" s="83"/>
      <c r="F3" s="82" t="s">
        <v>788</v>
      </c>
      <c r="G3" s="83"/>
      <c r="H3" s="82" t="s">
        <v>789</v>
      </c>
      <c r="I3" s="83"/>
      <c r="J3" s="82" t="s">
        <v>782</v>
      </c>
      <c r="K3" s="83"/>
      <c r="L3" s="84"/>
      <c r="M3" s="85" t="s">
        <v>491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1992565292.32</f>
        <v>1992565292.3199999</v>
      </c>
      <c r="E5" s="32">
        <f>D5/D5</f>
        <v>1</v>
      </c>
      <c r="F5" s="31">
        <f>4705296578.05</f>
        <v>4705296578.0500002</v>
      </c>
      <c r="G5" s="32">
        <f>F5/F5</f>
        <v>1</v>
      </c>
      <c r="H5" s="31">
        <f>768618320.68</f>
        <v>768618320.67999995</v>
      </c>
      <c r="I5" s="32">
        <f>H5/H5</f>
        <v>1</v>
      </c>
      <c r="J5" s="31">
        <f>1323748576.99</f>
        <v>1323748576.99</v>
      </c>
      <c r="K5" s="32">
        <f>J5/J5</f>
        <v>1</v>
      </c>
      <c r="L5" s="32"/>
      <c r="M5" s="3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5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93831838.860000014</v>
      </c>
      <c r="E7" s="38">
        <f>D7/D5</f>
        <v>4.7090973240203816E-2</v>
      </c>
      <c r="F7" s="37">
        <f>SUM(F9,F21)</f>
        <v>259339355.14000002</v>
      </c>
      <c r="G7" s="38">
        <f>F7/F5</f>
        <v>5.5116473709607719E-2</v>
      </c>
      <c r="H7" s="37">
        <f>SUM(H9,H21)</f>
        <v>73762554.389999986</v>
      </c>
      <c r="I7" s="38">
        <f>H7/H5</f>
        <v>9.5967728592185955E-2</v>
      </c>
      <c r="J7" s="37">
        <f>SUM(J9,J21)</f>
        <v>32917823.93</v>
      </c>
      <c r="K7" s="38">
        <f>J7/J5</f>
        <v>2.4867126962168338E-2</v>
      </c>
      <c r="L7" s="38"/>
      <c r="M7" s="32">
        <v>0.2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5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0</v>
      </c>
      <c r="E9" s="41">
        <f>D9/D5</f>
        <v>0</v>
      </c>
      <c r="F9" s="40">
        <f>SUM(F10:F19)</f>
        <v>0</v>
      </c>
      <c r="G9" s="41">
        <f>F9/F5</f>
        <v>0</v>
      </c>
      <c r="H9" s="40">
        <f>SUM(H10:H19)</f>
        <v>614240.16000000015</v>
      </c>
      <c r="I9" s="41">
        <f>H9/H5</f>
        <v>7.9914847652418596E-4</v>
      </c>
      <c r="J9" s="40">
        <f>SUM(J10:J19)</f>
        <v>10596428.16</v>
      </c>
      <c r="K9" s="41">
        <f>J9/J5</f>
        <v>8.0048646277638639E-3</v>
      </c>
      <c r="L9" s="41"/>
      <c r="M9" s="32">
        <v>0.15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790</v>
      </c>
      <c r="D10" s="44"/>
      <c r="E10" s="45">
        <f>D10/D5</f>
        <v>0</v>
      </c>
      <c r="F10" s="44"/>
      <c r="G10" s="45">
        <f>F10/F5</f>
        <v>0</v>
      </c>
      <c r="H10" s="44">
        <v>354340.9</v>
      </c>
      <c r="I10" s="45">
        <f>H10/H5</f>
        <v>4.610102185523149E-4</v>
      </c>
      <c r="J10" s="44">
        <v>4754404.42</v>
      </c>
      <c r="K10" s="45">
        <f>J10/J5</f>
        <v>3.5916219308131624E-3</v>
      </c>
      <c r="L10" s="45"/>
      <c r="M10" s="4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19" si="0">A10+1</f>
        <v>2</v>
      </c>
      <c r="B11" s="3"/>
      <c r="C11" s="3" t="s">
        <v>791</v>
      </c>
      <c r="D11" s="34"/>
      <c r="E11" s="35">
        <f>D11/D5</f>
        <v>0</v>
      </c>
      <c r="F11" s="34"/>
      <c r="G11" s="35">
        <f>F11/F5</f>
        <v>0</v>
      </c>
      <c r="H11" s="34">
        <v>80969.16</v>
      </c>
      <c r="I11" s="35">
        <f>H11/H5</f>
        <v>1.0534378093975985E-4</v>
      </c>
      <c r="J11" s="34">
        <v>5172185.25</v>
      </c>
      <c r="K11" s="35">
        <f>J11/J5</f>
        <v>3.9072262965228269E-3</v>
      </c>
      <c r="L11" s="35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792</v>
      </c>
      <c r="D12" s="44"/>
      <c r="E12" s="45">
        <f>D12/D5</f>
        <v>0</v>
      </c>
      <c r="F12" s="44"/>
      <c r="G12" s="45">
        <f>F12/F5</f>
        <v>0</v>
      </c>
      <c r="H12" s="44">
        <v>5.76</v>
      </c>
      <c r="I12" s="45">
        <f>H12/H5</f>
        <v>7.4939665696546278E-9</v>
      </c>
      <c r="J12" s="44">
        <v>66.03</v>
      </c>
      <c r="K12" s="45">
        <f>J12/J5</f>
        <v>4.9881073451381557E-8</v>
      </c>
      <c r="L12" s="45"/>
      <c r="M12" s="4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793</v>
      </c>
      <c r="D13" s="34"/>
      <c r="E13" s="35">
        <f>D13/D5</f>
        <v>0</v>
      </c>
      <c r="F13" s="34"/>
      <c r="G13" s="35">
        <f>F13/F5</f>
        <v>0</v>
      </c>
      <c r="H13" s="34">
        <v>60888.41</v>
      </c>
      <c r="I13" s="35">
        <f>H13/H5</f>
        <v>7.9218005038094548E-5</v>
      </c>
      <c r="J13" s="34">
        <v>669772.46</v>
      </c>
      <c r="K13" s="35">
        <f>J13/J5</f>
        <v>5.0596651935442237E-4</v>
      </c>
      <c r="L13" s="3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794</v>
      </c>
      <c r="D14" s="44"/>
      <c r="E14" s="45">
        <f>D14/D5</f>
        <v>0</v>
      </c>
      <c r="F14" s="44"/>
      <c r="G14" s="45">
        <f>F14/F5</f>
        <v>0</v>
      </c>
      <c r="H14" s="44">
        <v>118035.93</v>
      </c>
      <c r="I14" s="45">
        <f>H14/H5</f>
        <v>1.5356897802744682E-4</v>
      </c>
      <c r="J14" s="44"/>
      <c r="K14" s="45">
        <f>J14/J5</f>
        <v>0</v>
      </c>
      <c r="L14" s="45"/>
      <c r="M14" s="4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>
        <f>F15/F5</f>
        <v>0</v>
      </c>
      <c r="H15" s="34"/>
      <c r="I15" s="35">
        <f>H15/H5</f>
        <v>0</v>
      </c>
      <c r="J15" s="34"/>
      <c r="K15" s="35">
        <f>J15/J5</f>
        <v>0</v>
      </c>
      <c r="L15" s="35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>
        <f>F16/F5</f>
        <v>0</v>
      </c>
      <c r="H16" s="44"/>
      <c r="I16" s="45">
        <f>H16/H5</f>
        <v>0</v>
      </c>
      <c r="J16" s="44"/>
      <c r="K16" s="45">
        <f>J16/J5</f>
        <v>0</v>
      </c>
      <c r="L16" s="45"/>
      <c r="M16" s="4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4"/>
      <c r="I17" s="35">
        <f>H17/H5</f>
        <v>0</v>
      </c>
      <c r="J17" s="34"/>
      <c r="K17" s="35">
        <f>J17/J5</f>
        <v>0</v>
      </c>
      <c r="L17" s="35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4"/>
      <c r="I18" s="45">
        <f>H18/H5</f>
        <v>0</v>
      </c>
      <c r="J18" s="44"/>
      <c r="K18" s="45">
        <f>J18/J5</f>
        <v>0</v>
      </c>
      <c r="L18" s="45"/>
      <c r="M18" s="4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4"/>
      <c r="K19" s="35">
        <f>J19/J5</f>
        <v>0</v>
      </c>
      <c r="L19" s="3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4"/>
      <c r="K20" s="35"/>
      <c r="L20" s="35"/>
      <c r="M20" s="46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9"/>
      <c r="B21" s="39" t="s">
        <v>495</v>
      </c>
      <c r="C21" s="39"/>
      <c r="D21" s="40">
        <f>SUM(D22:D35)</f>
        <v>93831838.860000014</v>
      </c>
      <c r="E21" s="41">
        <f>D21/D5</f>
        <v>4.7090973240203816E-2</v>
      </c>
      <c r="F21" s="40">
        <f>SUM(F22:F35)</f>
        <v>259339355.14000002</v>
      </c>
      <c r="G21" s="41">
        <f>F21/F5</f>
        <v>5.5116473709607719E-2</v>
      </c>
      <c r="H21" s="40">
        <f>SUM(H22:H35)</f>
        <v>73148314.229999989</v>
      </c>
      <c r="I21" s="41">
        <f>H21/H5</f>
        <v>9.5168580115661774E-2</v>
      </c>
      <c r="J21" s="40">
        <f>SUM(J22:J35)</f>
        <v>22321395.77</v>
      </c>
      <c r="K21" s="41">
        <f>J21/J5</f>
        <v>1.6862262334404476E-2</v>
      </c>
      <c r="L21" s="41"/>
      <c r="M21" s="32">
        <v>0.15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v>1</v>
      </c>
      <c r="B22" s="43"/>
      <c r="C22" s="43" t="s">
        <v>795</v>
      </c>
      <c r="D22" s="44">
        <v>8039014.9000000004</v>
      </c>
      <c r="E22" s="45">
        <f>D22/D5</f>
        <v>4.034505133149212E-3</v>
      </c>
      <c r="F22" s="44">
        <v>35576562.299999997</v>
      </c>
      <c r="G22" s="45">
        <f>F22/F5</f>
        <v>7.5609606556923704E-3</v>
      </c>
      <c r="H22" s="44">
        <v>4019507.45</v>
      </c>
      <c r="I22" s="45">
        <f>H22/H5</f>
        <v>5.2295233431905765E-3</v>
      </c>
      <c r="J22" s="44"/>
      <c r="K22" s="45">
        <f>J22/J5</f>
        <v>0</v>
      </c>
      <c r="L22" s="45"/>
      <c r="M22" s="4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ref="A23:A35" si="1">A22+1</f>
        <v>2</v>
      </c>
      <c r="B23" s="3"/>
      <c r="C23" s="3" t="s">
        <v>796</v>
      </c>
      <c r="D23" s="34">
        <v>25564851.440000001</v>
      </c>
      <c r="E23" s="35">
        <f>D23/D5</f>
        <v>1.2830119815162556E-2</v>
      </c>
      <c r="F23" s="34">
        <v>21316988.32</v>
      </c>
      <c r="G23" s="35">
        <f>F23/F5</f>
        <v>4.5304239523270024E-3</v>
      </c>
      <c r="H23" s="34">
        <v>16595545.52</v>
      </c>
      <c r="I23" s="35">
        <f>H23/H5</f>
        <v>2.1591399884038475E-2</v>
      </c>
      <c r="J23" s="34"/>
      <c r="K23" s="35">
        <f>J23/J5</f>
        <v>0</v>
      </c>
      <c r="L23" s="35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1"/>
        <v>3</v>
      </c>
      <c r="B24" s="43"/>
      <c r="C24" s="43" t="s">
        <v>797</v>
      </c>
      <c r="D24" s="44">
        <v>60227972.520000003</v>
      </c>
      <c r="E24" s="45">
        <f>D24/D5</f>
        <v>3.0226348291892045E-2</v>
      </c>
      <c r="F24" s="44">
        <v>144512601.15000001</v>
      </c>
      <c r="G24" s="45">
        <f>F24/F5</f>
        <v>3.0712750780502313E-2</v>
      </c>
      <c r="H24" s="44">
        <v>48502701.630000003</v>
      </c>
      <c r="I24" s="45">
        <f>H24/H5</f>
        <v>6.3103754262700179E-2</v>
      </c>
      <c r="J24" s="44">
        <v>17619226.93</v>
      </c>
      <c r="K24" s="45">
        <f>J24/J5</f>
        <v>1.3310100751959562E-2</v>
      </c>
      <c r="L24" s="45"/>
      <c r="M24" s="4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1"/>
        <v>4</v>
      </c>
      <c r="B25" s="3"/>
      <c r="C25" s="3" t="s">
        <v>798</v>
      </c>
      <c r="D25" s="34"/>
      <c r="E25" s="35">
        <f>D25/D5</f>
        <v>0</v>
      </c>
      <c r="F25" s="34">
        <v>32915186.780000001</v>
      </c>
      <c r="G25" s="35">
        <f>F25/F5</f>
        <v>6.9953479518268602E-3</v>
      </c>
      <c r="H25" s="34"/>
      <c r="I25" s="35">
        <f>H25/H5</f>
        <v>0</v>
      </c>
      <c r="J25" s="34">
        <v>4702168.84</v>
      </c>
      <c r="K25" s="35">
        <f>J25/J5</f>
        <v>3.5521615824449129E-3</v>
      </c>
      <c r="L25" s="3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1"/>
        <v>5</v>
      </c>
      <c r="B26" s="43"/>
      <c r="C26" s="43" t="s">
        <v>799</v>
      </c>
      <c r="D26" s="44"/>
      <c r="E26" s="45">
        <f>D26/D5</f>
        <v>0</v>
      </c>
      <c r="F26" s="44">
        <v>25018016.59</v>
      </c>
      <c r="G26" s="45">
        <f>F26/F5</f>
        <v>5.3169903692591742E-3</v>
      </c>
      <c r="H26" s="44"/>
      <c r="I26" s="45">
        <f>H26/H5</f>
        <v>0</v>
      </c>
      <c r="J26" s="44"/>
      <c r="K26" s="45">
        <f>J26/J5</f>
        <v>0</v>
      </c>
      <c r="L26" s="45"/>
      <c r="M26" s="4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1"/>
        <v>6</v>
      </c>
      <c r="B27" s="3"/>
      <c r="C27" s="3" t="s">
        <v>800</v>
      </c>
      <c r="D27" s="34"/>
      <c r="E27" s="35">
        <f>D27/D5</f>
        <v>0</v>
      </c>
      <c r="F27" s="34"/>
      <c r="G27" s="35">
        <f>F27/F5</f>
        <v>0</v>
      </c>
      <c r="H27" s="34">
        <v>4030559.63</v>
      </c>
      <c r="I27" s="35">
        <f>H27/H5</f>
        <v>5.2439026257325569E-3</v>
      </c>
      <c r="J27" s="34"/>
      <c r="K27" s="35">
        <f>J27/J5</f>
        <v>0</v>
      </c>
      <c r="L27" s="35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>
        <f>F28/F5</f>
        <v>0</v>
      </c>
      <c r="H28" s="44"/>
      <c r="I28" s="45">
        <f>H28/H5</f>
        <v>0</v>
      </c>
      <c r="J28" s="44"/>
      <c r="K28" s="45">
        <f>J28/J5</f>
        <v>0</v>
      </c>
      <c r="L28" s="45"/>
      <c r="M28" s="4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>
        <f>F29/F5</f>
        <v>0</v>
      </c>
      <c r="H29" s="34"/>
      <c r="I29" s="35">
        <f>H29/H5</f>
        <v>0</v>
      </c>
      <c r="J29" s="34"/>
      <c r="K29" s="35">
        <f>J29/J5</f>
        <v>0</v>
      </c>
      <c r="L29" s="35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>
        <f>F30/F5</f>
        <v>0</v>
      </c>
      <c r="H30" s="44"/>
      <c r="I30" s="45">
        <f>H30/H5</f>
        <v>0</v>
      </c>
      <c r="J30" s="44"/>
      <c r="K30" s="45">
        <f>J30/J5</f>
        <v>0</v>
      </c>
      <c r="L30" s="45"/>
      <c r="M30" s="4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>
        <f>F31/F5</f>
        <v>0</v>
      </c>
      <c r="H31" s="34"/>
      <c r="I31" s="35">
        <f>H31/H5</f>
        <v>0</v>
      </c>
      <c r="J31" s="34"/>
      <c r="K31" s="35">
        <f>J31/J5</f>
        <v>0</v>
      </c>
      <c r="L31" s="35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11</v>
      </c>
      <c r="B32" s="43"/>
      <c r="C32" s="43"/>
      <c r="D32" s="44"/>
      <c r="E32" s="45">
        <f>D32/D5</f>
        <v>0</v>
      </c>
      <c r="F32" s="44"/>
      <c r="G32" s="45">
        <f>F32/F5</f>
        <v>0</v>
      </c>
      <c r="H32" s="44"/>
      <c r="I32" s="45">
        <f>H32/H5</f>
        <v>0</v>
      </c>
      <c r="J32" s="44"/>
      <c r="K32" s="45">
        <f>J32/J5</f>
        <v>0</v>
      </c>
      <c r="L32" s="45"/>
      <c r="M32" s="4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12</v>
      </c>
      <c r="B33" s="3"/>
      <c r="C33" s="3"/>
      <c r="D33" s="34"/>
      <c r="E33" s="35">
        <f>D33/D5</f>
        <v>0</v>
      </c>
      <c r="F33" s="34"/>
      <c r="G33" s="35">
        <f>F33/F5</f>
        <v>0</v>
      </c>
      <c r="H33" s="34"/>
      <c r="I33" s="35">
        <f>H33/H5</f>
        <v>0</v>
      </c>
      <c r="J33" s="34"/>
      <c r="K33" s="35">
        <f>J33/J5</f>
        <v>0</v>
      </c>
      <c r="L33" s="35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13</v>
      </c>
      <c r="B34" s="43"/>
      <c r="C34" s="43"/>
      <c r="D34" s="44"/>
      <c r="E34" s="45">
        <f>D34/D5</f>
        <v>0</v>
      </c>
      <c r="F34" s="44"/>
      <c r="G34" s="45">
        <f>F34/F5</f>
        <v>0</v>
      </c>
      <c r="H34" s="44"/>
      <c r="I34" s="45">
        <f>H34/H5</f>
        <v>0</v>
      </c>
      <c r="J34" s="44"/>
      <c r="K34" s="45">
        <f>J34/J5</f>
        <v>0</v>
      </c>
      <c r="L34" s="45"/>
      <c r="M34" s="4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>
        <f t="shared" si="1"/>
        <v>14</v>
      </c>
      <c r="B35" s="3"/>
      <c r="C35" s="3"/>
      <c r="D35" s="34"/>
      <c r="E35" s="35">
        <f>D35/D5</f>
        <v>0</v>
      </c>
      <c r="F35" s="34"/>
      <c r="G35" s="35">
        <f>F35/F5</f>
        <v>0</v>
      </c>
      <c r="H35" s="34"/>
      <c r="I35" s="35">
        <f>H35/H5</f>
        <v>0</v>
      </c>
      <c r="J35" s="34"/>
      <c r="K35" s="35">
        <f>J35/J5</f>
        <v>0</v>
      </c>
      <c r="L35" s="35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3" customHeight="1">
      <c r="A36" s="47"/>
      <c r="B36" s="48"/>
      <c r="C36" s="48"/>
      <c r="D36" s="48"/>
      <c r="E36" s="49"/>
      <c r="F36" s="48"/>
      <c r="G36" s="49"/>
      <c r="H36" s="48"/>
      <c r="I36" s="49"/>
      <c r="J36" s="48"/>
      <c r="K36" s="49"/>
      <c r="L36" s="48"/>
      <c r="M36" s="48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5"/>
      <c r="F37" s="3"/>
      <c r="G37" s="35"/>
      <c r="H37" s="3"/>
      <c r="I37" s="35"/>
      <c r="J37" s="3"/>
      <c r="K37" s="35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D2:E2"/>
    <mergeCell ref="F2:G2"/>
    <mergeCell ref="H2:I2"/>
    <mergeCell ref="J2:K2"/>
    <mergeCell ref="D3:E3"/>
    <mergeCell ref="F3:G3"/>
    <mergeCell ref="H3:I3"/>
    <mergeCell ref="J3:K3"/>
  </mergeCells>
  <pageMargins left="0.511811024" right="0.511811024" top="0.78740157499999996" bottom="0.78740157499999996" header="0" footer="0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4.875" customWidth="1"/>
    <col min="5" max="5" width="5.375" customWidth="1"/>
    <col min="6" max="6" width="13.875" customWidth="1"/>
    <col min="7" max="7" width="5.375" customWidth="1"/>
    <col min="8" max="8" width="13.875" customWidth="1"/>
    <col min="9" max="9" width="6.375" customWidth="1"/>
    <col min="10" max="10" width="11.375" customWidth="1"/>
    <col min="11" max="11" width="6.375" customWidth="1"/>
    <col min="12" max="12" width="13.875" customWidth="1"/>
    <col min="13" max="13" width="5.375" customWidth="1"/>
    <col min="14" max="14" width="0.625" customWidth="1"/>
    <col min="15" max="15" width="7.375" customWidth="1"/>
    <col min="16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78" t="s">
        <v>506</v>
      </c>
      <c r="M2" s="79"/>
      <c r="N2" s="25"/>
      <c r="O2" s="25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44196</v>
      </c>
      <c r="D3" s="82" t="s">
        <v>801</v>
      </c>
      <c r="E3" s="83"/>
      <c r="F3" s="82" t="s">
        <v>802</v>
      </c>
      <c r="G3" s="83"/>
      <c r="H3" s="82" t="s">
        <v>803</v>
      </c>
      <c r="I3" s="83"/>
      <c r="J3" s="82" t="s">
        <v>804</v>
      </c>
      <c r="K3" s="83"/>
      <c r="L3" s="82" t="s">
        <v>805</v>
      </c>
      <c r="M3" s="83"/>
      <c r="N3" s="84"/>
      <c r="O3" s="85" t="s">
        <v>491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f>10824386465.28</f>
        <v>10824386465.280001</v>
      </c>
      <c r="E5" s="32">
        <f>D5/D5</f>
        <v>1</v>
      </c>
      <c r="F5" s="31">
        <f>982326355.61</f>
        <v>982326355.61000001</v>
      </c>
      <c r="G5" s="32">
        <f>F5/F5</f>
        <v>1</v>
      </c>
      <c r="H5" s="31">
        <f>5492682*1000</f>
        <v>5492682000</v>
      </c>
      <c r="I5" s="32">
        <f>H5/H5</f>
        <v>1</v>
      </c>
      <c r="J5" s="31">
        <f>63204063.65</f>
        <v>63204063.649999999</v>
      </c>
      <c r="K5" s="32">
        <f>J5/J5</f>
        <v>1</v>
      </c>
      <c r="L5" s="31">
        <f>289909309.97</f>
        <v>289909309.97000003</v>
      </c>
      <c r="M5" s="32">
        <f>L5/L5</f>
        <v>1</v>
      </c>
      <c r="N5" s="32"/>
      <c r="O5" s="3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4"/>
      <c r="M6" s="35"/>
      <c r="N6" s="35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SUM(D9,D29)</f>
        <v>871384101.81999981</v>
      </c>
      <c r="E7" s="38">
        <f>D7/D5</f>
        <v>8.0501939266029263E-2</v>
      </c>
      <c r="F7" s="37">
        <f>SUM(F9,F29)</f>
        <v>88794258.370000005</v>
      </c>
      <c r="G7" s="38">
        <f>F7/F5</f>
        <v>9.0391811095062183E-2</v>
      </c>
      <c r="H7" s="37">
        <f>SUM(H9,H29)</f>
        <v>615026018.59000015</v>
      </c>
      <c r="I7" s="38">
        <f>H7/H5</f>
        <v>0.11197189616839281</v>
      </c>
      <c r="J7" s="37">
        <f>SUM(J9,J29)</f>
        <v>7186848.8200000003</v>
      </c>
      <c r="K7" s="38">
        <f>J7/J5</f>
        <v>0.11370865107341876</v>
      </c>
      <c r="L7" s="37">
        <f>SUM(L9,L29)</f>
        <v>27145749.380000003</v>
      </c>
      <c r="M7" s="38">
        <f>L7/L5</f>
        <v>9.3635314377482598E-2</v>
      </c>
      <c r="N7" s="38"/>
      <c r="O7" s="32">
        <v>0.2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4"/>
      <c r="M8" s="35"/>
      <c r="N8" s="35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SUM(D10:D27)</f>
        <v>65121263.039999999</v>
      </c>
      <c r="E9" s="41">
        <f>D9/D5</f>
        <v>6.0161620475101419E-3</v>
      </c>
      <c r="F9" s="40">
        <f>SUM(F10:F27)</f>
        <v>0</v>
      </c>
      <c r="G9" s="41">
        <f>F9/F5</f>
        <v>0</v>
      </c>
      <c r="H9" s="40">
        <f>SUM(H10:H27)</f>
        <v>615026018.59000015</v>
      </c>
      <c r="I9" s="41">
        <f>H9/H5</f>
        <v>0.11197189616839281</v>
      </c>
      <c r="J9" s="40">
        <f>SUM(J10:J27)</f>
        <v>0</v>
      </c>
      <c r="K9" s="41">
        <f>J9/J5</f>
        <v>0</v>
      </c>
      <c r="L9" s="40">
        <f>SUM(L10:L27)</f>
        <v>0</v>
      </c>
      <c r="M9" s="41">
        <f>L9/L5</f>
        <v>0</v>
      </c>
      <c r="N9" s="41"/>
      <c r="O9" s="32">
        <v>0.15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 t="s">
        <v>806</v>
      </c>
      <c r="D10" s="44">
        <v>5853281.9699999997</v>
      </c>
      <c r="E10" s="45">
        <f>D10/D5</f>
        <v>5.4074953705457798E-4</v>
      </c>
      <c r="F10" s="44"/>
      <c r="G10" s="45">
        <f>F10/F5</f>
        <v>0</v>
      </c>
      <c r="H10" s="44">
        <f>47485850.45</f>
        <v>47485850.450000003</v>
      </c>
      <c r="I10" s="45">
        <f>H10/H5</f>
        <v>8.6452939474741131E-3</v>
      </c>
      <c r="J10" s="44"/>
      <c r="K10" s="45">
        <f>J10/J5</f>
        <v>0</v>
      </c>
      <c r="L10" s="44"/>
      <c r="M10" s="45">
        <f>L10/L5</f>
        <v>0</v>
      </c>
      <c r="N10" s="45"/>
      <c r="O10" s="4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27" si="0">A10+1</f>
        <v>2</v>
      </c>
      <c r="B11" s="3"/>
      <c r="C11" s="3" t="s">
        <v>807</v>
      </c>
      <c r="D11" s="34">
        <v>285690.90000000002</v>
      </c>
      <c r="E11" s="35">
        <f>D11/D5</f>
        <v>2.6393264959300387E-5</v>
      </c>
      <c r="F11" s="34"/>
      <c r="G11" s="35">
        <f>F11/F5</f>
        <v>0</v>
      </c>
      <c r="H11" s="34">
        <f>1806396.21</f>
        <v>1806396.21</v>
      </c>
      <c r="I11" s="35">
        <f>H11/H5</f>
        <v>3.2887325536049602E-4</v>
      </c>
      <c r="J11" s="34"/>
      <c r="K11" s="35">
        <f>J11/J5</f>
        <v>0</v>
      </c>
      <c r="L11" s="34"/>
      <c r="M11" s="35">
        <f>L11/L5</f>
        <v>0</v>
      </c>
      <c r="N11" s="35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 t="s">
        <v>736</v>
      </c>
      <c r="D12" s="44">
        <v>1719934.16</v>
      </c>
      <c r="E12" s="45">
        <f>D12/D5</f>
        <v>1.5889437849589099E-4</v>
      </c>
      <c r="F12" s="44"/>
      <c r="G12" s="45">
        <f>F12/F5</f>
        <v>0</v>
      </c>
      <c r="H12" s="44">
        <f>11713191.41</f>
        <v>11713191.41</v>
      </c>
      <c r="I12" s="45">
        <f>H12/H5</f>
        <v>2.1325085650325286E-3</v>
      </c>
      <c r="J12" s="44"/>
      <c r="K12" s="45">
        <f>J12/J5</f>
        <v>0</v>
      </c>
      <c r="L12" s="44"/>
      <c r="M12" s="45">
        <f>L12/L5</f>
        <v>0</v>
      </c>
      <c r="N12" s="45"/>
      <c r="O12" s="4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 t="s">
        <v>808</v>
      </c>
      <c r="D13" s="34">
        <v>3044436.9</v>
      </c>
      <c r="E13" s="35">
        <f>D13/D5</f>
        <v>2.8125722504136844E-4</v>
      </c>
      <c r="F13" s="34"/>
      <c r="G13" s="35">
        <f>F13/F5</f>
        <v>0</v>
      </c>
      <c r="H13" s="34">
        <f>22466906.81</f>
        <v>22466906.809999999</v>
      </c>
      <c r="I13" s="35">
        <f>H13/H5</f>
        <v>4.0903345232802483E-3</v>
      </c>
      <c r="J13" s="34"/>
      <c r="K13" s="35">
        <f>J13/J5</f>
        <v>0</v>
      </c>
      <c r="L13" s="34"/>
      <c r="M13" s="35">
        <f>L13/L5</f>
        <v>0</v>
      </c>
      <c r="N13" s="3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 t="s">
        <v>809</v>
      </c>
      <c r="D14" s="44">
        <v>4224490.0599999996</v>
      </c>
      <c r="E14" s="45">
        <f>D14/D5</f>
        <v>3.9027524317894192E-4</v>
      </c>
      <c r="F14" s="44"/>
      <c r="G14" s="45">
        <f>F14/F5</f>
        <v>0</v>
      </c>
      <c r="H14" s="44">
        <f>13794162.09</f>
        <v>13794162.09</v>
      </c>
      <c r="I14" s="45">
        <f>H14/H5</f>
        <v>2.5113709641300915E-3</v>
      </c>
      <c r="J14" s="44"/>
      <c r="K14" s="45">
        <f>J14/J5</f>
        <v>0</v>
      </c>
      <c r="L14" s="44"/>
      <c r="M14" s="45">
        <f>L14/L5</f>
        <v>0</v>
      </c>
      <c r="N14" s="45"/>
      <c r="O14" s="4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 t="s">
        <v>810</v>
      </c>
      <c r="D15" s="34">
        <f>720915.22</f>
        <v>720915.22</v>
      </c>
      <c r="E15" s="35">
        <f>D15/D5</f>
        <v>6.6601023745076687E-5</v>
      </c>
      <c r="F15" s="34"/>
      <c r="G15" s="35">
        <f>F15/F5</f>
        <v>0</v>
      </c>
      <c r="H15" s="34">
        <f>6488236.94</f>
        <v>6488236.9400000004</v>
      </c>
      <c r="I15" s="35">
        <f>H15/H5</f>
        <v>1.181251151987317E-3</v>
      </c>
      <c r="J15" s="34"/>
      <c r="K15" s="35">
        <f>J15/J5</f>
        <v>0</v>
      </c>
      <c r="L15" s="34"/>
      <c r="M15" s="35">
        <f>L15/L5</f>
        <v>0</v>
      </c>
      <c r="N15" s="35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 t="s">
        <v>737</v>
      </c>
      <c r="D16" s="44">
        <v>401789.88</v>
      </c>
      <c r="E16" s="45">
        <f>D16/D5</f>
        <v>3.7118951849028117E-5</v>
      </c>
      <c r="F16" s="44"/>
      <c r="G16" s="45">
        <f>F16/F5</f>
        <v>0</v>
      </c>
      <c r="H16" s="44">
        <f>11710660.08</f>
        <v>11710660.08</v>
      </c>
      <c r="I16" s="45">
        <f>H16/H5</f>
        <v>2.1320477100258126E-3</v>
      </c>
      <c r="J16" s="44"/>
      <c r="K16" s="45">
        <f>J16/J5</f>
        <v>0</v>
      </c>
      <c r="L16" s="44"/>
      <c r="M16" s="45">
        <f>L16/L5</f>
        <v>0</v>
      </c>
      <c r="N16" s="45"/>
      <c r="O16" s="4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 t="s">
        <v>811</v>
      </c>
      <c r="D17" s="34">
        <v>19889201.899999999</v>
      </c>
      <c r="E17" s="35">
        <f>D17/D5</f>
        <v>1.8374438092908126E-3</v>
      </c>
      <c r="F17" s="34"/>
      <c r="G17" s="35">
        <f>F17/F5</f>
        <v>0</v>
      </c>
      <c r="H17" s="34">
        <f>77137491.09</f>
        <v>77137491.090000004</v>
      </c>
      <c r="I17" s="35">
        <f>H17/H5</f>
        <v>1.4043684140097679E-2</v>
      </c>
      <c r="J17" s="34"/>
      <c r="K17" s="35">
        <f>J17/J5</f>
        <v>0</v>
      </c>
      <c r="L17" s="34"/>
      <c r="M17" s="35">
        <f>L17/L5</f>
        <v>0</v>
      </c>
      <c r="N17" s="35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 t="s">
        <v>812</v>
      </c>
      <c r="D18" s="44">
        <v>4000730.96</v>
      </c>
      <c r="E18" s="45">
        <f>D18/D5</f>
        <v>3.6960348494878971E-4</v>
      </c>
      <c r="F18" s="44"/>
      <c r="G18" s="45">
        <f>F18/F5</f>
        <v>0</v>
      </c>
      <c r="H18" s="44">
        <f>231173168.22</f>
        <v>231173168.22</v>
      </c>
      <c r="I18" s="45">
        <f>H18/H5</f>
        <v>4.2087484442026681E-2</v>
      </c>
      <c r="J18" s="44"/>
      <c r="K18" s="45">
        <f>J18/J5</f>
        <v>0</v>
      </c>
      <c r="L18" s="44"/>
      <c r="M18" s="45">
        <f>L18/L5</f>
        <v>0</v>
      </c>
      <c r="N18" s="45"/>
      <c r="O18" s="4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 t="s">
        <v>671</v>
      </c>
      <c r="D19" s="34">
        <v>4248671.54</v>
      </c>
      <c r="E19" s="35">
        <f>D19/D5</f>
        <v>3.925092247609525E-4</v>
      </c>
      <c r="F19" s="34"/>
      <c r="G19" s="35">
        <f>F19/F5</f>
        <v>0</v>
      </c>
      <c r="H19" s="34">
        <f>55422591.81</f>
        <v>55422591.810000002</v>
      </c>
      <c r="I19" s="35">
        <f>H19/H5</f>
        <v>1.0090260424688705E-2</v>
      </c>
      <c r="J19" s="34"/>
      <c r="K19" s="35">
        <f>J19/J5</f>
        <v>0</v>
      </c>
      <c r="L19" s="34"/>
      <c r="M19" s="35">
        <f>L19/L5</f>
        <v>0</v>
      </c>
      <c r="N19" s="3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42">
        <f t="shared" si="0"/>
        <v>11</v>
      </c>
      <c r="B20" s="43"/>
      <c r="C20" s="43" t="s">
        <v>374</v>
      </c>
      <c r="D20" s="44">
        <f>674457.09</f>
        <v>674457.09</v>
      </c>
      <c r="E20" s="45">
        <f>D20/D5</f>
        <v>6.2309036374797748E-5</v>
      </c>
      <c r="F20" s="44"/>
      <c r="G20" s="45">
        <f>F20/F5</f>
        <v>0</v>
      </c>
      <c r="H20" s="44">
        <f>5526721.04</f>
        <v>5526721.04</v>
      </c>
      <c r="I20" s="45">
        <f>H20/H5</f>
        <v>1.0061971619693257E-3</v>
      </c>
      <c r="J20" s="44"/>
      <c r="K20" s="45">
        <f>J20/J5</f>
        <v>0</v>
      </c>
      <c r="L20" s="44"/>
      <c r="M20" s="45">
        <f>L20/L5</f>
        <v>0</v>
      </c>
      <c r="N20" s="45"/>
      <c r="O20" s="4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3">
        <f t="shared" si="0"/>
        <v>12</v>
      </c>
      <c r="B21" s="3"/>
      <c r="C21" s="3" t="s">
        <v>813</v>
      </c>
      <c r="D21" s="34">
        <f>10887548.52</f>
        <v>10887548.52</v>
      </c>
      <c r="E21" s="35">
        <f>D21/D5</f>
        <v>1.0058351625676519E-3</v>
      </c>
      <c r="F21" s="34"/>
      <c r="G21" s="35">
        <f>F21/F5</f>
        <v>0</v>
      </c>
      <c r="H21" s="34">
        <f>66193813.5</f>
        <v>66193813.5</v>
      </c>
      <c r="I21" s="35">
        <f>H21/H5</f>
        <v>1.2051273585472453E-2</v>
      </c>
      <c r="J21" s="34"/>
      <c r="K21" s="35">
        <f>J21/J5</f>
        <v>0</v>
      </c>
      <c r="L21" s="34"/>
      <c r="M21" s="35">
        <f>L21/L5</f>
        <v>0</v>
      </c>
      <c r="N21" s="35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42">
        <f t="shared" si="0"/>
        <v>13</v>
      </c>
      <c r="B22" s="43"/>
      <c r="C22" s="43" t="s">
        <v>814</v>
      </c>
      <c r="D22" s="44">
        <f>1124775.02</f>
        <v>1124775.02</v>
      </c>
      <c r="E22" s="45">
        <f>D22/D5</f>
        <v>1.0391120306058888E-4</v>
      </c>
      <c r="F22" s="44"/>
      <c r="G22" s="45">
        <f>F22/F5</f>
        <v>0</v>
      </c>
      <c r="H22" s="44">
        <v>6286347.5</v>
      </c>
      <c r="I22" s="45">
        <f>H22/H5</f>
        <v>1.1444950754476593E-3</v>
      </c>
      <c r="J22" s="44"/>
      <c r="K22" s="45">
        <f>J22/J5</f>
        <v>0</v>
      </c>
      <c r="L22" s="44"/>
      <c r="M22" s="45">
        <f>L22/L5</f>
        <v>0</v>
      </c>
      <c r="N22" s="45"/>
      <c r="O22" s="4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23">
        <f t="shared" si="0"/>
        <v>14</v>
      </c>
      <c r="B23" s="3"/>
      <c r="C23" s="3" t="s">
        <v>397</v>
      </c>
      <c r="D23" s="34">
        <f>30977.69</f>
        <v>30977.69</v>
      </c>
      <c r="E23" s="35">
        <f>D23/D5</f>
        <v>2.861842571804247E-6</v>
      </c>
      <c r="F23" s="34"/>
      <c r="G23" s="35">
        <f>F23/F5</f>
        <v>0</v>
      </c>
      <c r="H23" s="34">
        <v>460242.12</v>
      </c>
      <c r="I23" s="35">
        <f>H23/H5</f>
        <v>8.3791874352092476E-5</v>
      </c>
      <c r="J23" s="34"/>
      <c r="K23" s="35">
        <f>J23/J5</f>
        <v>0</v>
      </c>
      <c r="L23" s="34"/>
      <c r="M23" s="35">
        <f>L23/L5</f>
        <v>0</v>
      </c>
      <c r="N23" s="35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42">
        <f t="shared" si="0"/>
        <v>15</v>
      </c>
      <c r="B24" s="43"/>
      <c r="C24" s="43" t="s">
        <v>815</v>
      </c>
      <c r="D24" s="44">
        <f>6810906.91</f>
        <v>6810906.9100000001</v>
      </c>
      <c r="E24" s="45">
        <f>D24/D5</f>
        <v>6.2921874896526239E-4</v>
      </c>
      <c r="F24" s="44"/>
      <c r="G24" s="45">
        <f>F24/F5</f>
        <v>0</v>
      </c>
      <c r="H24" s="44">
        <v>20909270.329999998</v>
      </c>
      <c r="I24" s="45">
        <f>H24/H5</f>
        <v>3.8067505692119074E-3</v>
      </c>
      <c r="J24" s="44"/>
      <c r="K24" s="45">
        <f>J24/J5</f>
        <v>0</v>
      </c>
      <c r="L24" s="44"/>
      <c r="M24" s="45">
        <f>L24/L5</f>
        <v>0</v>
      </c>
      <c r="N24" s="45"/>
      <c r="O24" s="4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3">
        <f t="shared" si="0"/>
        <v>16</v>
      </c>
      <c r="B25" s="3"/>
      <c r="C25" s="3" t="s">
        <v>725</v>
      </c>
      <c r="D25" s="34">
        <f>1203454.32</f>
        <v>1203454.32</v>
      </c>
      <c r="E25" s="35">
        <f>D25/D5</f>
        <v>1.1117991064529768E-4</v>
      </c>
      <c r="F25" s="34"/>
      <c r="G25" s="35">
        <f>F25/F5</f>
        <v>0</v>
      </c>
      <c r="H25" s="34">
        <v>26394876.16</v>
      </c>
      <c r="I25" s="35">
        <f>H25/H5</f>
        <v>4.8054622787192126E-3</v>
      </c>
      <c r="J25" s="34"/>
      <c r="K25" s="35">
        <f>J25/J5</f>
        <v>0</v>
      </c>
      <c r="L25" s="34"/>
      <c r="M25" s="35">
        <f>L25/L5</f>
        <v>0</v>
      </c>
      <c r="N25" s="35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42">
        <f t="shared" si="0"/>
        <v>17</v>
      </c>
      <c r="B26" s="43"/>
      <c r="C26" s="43" t="s">
        <v>816</v>
      </c>
      <c r="D26" s="44">
        <v>0</v>
      </c>
      <c r="E26" s="45">
        <f>D26/D5</f>
        <v>0</v>
      </c>
      <c r="F26" s="44"/>
      <c r="G26" s="45">
        <f>F26/F5</f>
        <v>0</v>
      </c>
      <c r="H26" s="44">
        <f>10056079.62</f>
        <v>10056079.619999999</v>
      </c>
      <c r="I26" s="45">
        <f>H26/H5</f>
        <v>1.8308140940982928E-3</v>
      </c>
      <c r="J26" s="44"/>
      <c r="K26" s="45">
        <f>J26/J5</f>
        <v>0</v>
      </c>
      <c r="L26" s="44"/>
      <c r="M26" s="45">
        <f>L26/L5</f>
        <v>0</v>
      </c>
      <c r="N26" s="45"/>
      <c r="O26" s="4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3">
        <f t="shared" si="0"/>
        <v>18</v>
      </c>
      <c r="B27" s="3"/>
      <c r="C27" s="3" t="s">
        <v>817</v>
      </c>
      <c r="D27" s="34">
        <v>0</v>
      </c>
      <c r="E27" s="35">
        <f>D27/D5</f>
        <v>0</v>
      </c>
      <c r="F27" s="34"/>
      <c r="G27" s="35">
        <f>F27/F5</f>
        <v>0</v>
      </c>
      <c r="H27" s="34">
        <v>13.21</v>
      </c>
      <c r="I27" s="35">
        <f>H27/H5</f>
        <v>2.4050181678094602E-9</v>
      </c>
      <c r="J27" s="34"/>
      <c r="K27" s="35">
        <f>J27/J5</f>
        <v>0</v>
      </c>
      <c r="L27" s="34"/>
      <c r="M27" s="35">
        <f>L27/L5</f>
        <v>0</v>
      </c>
      <c r="N27" s="35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3" customHeight="1">
      <c r="A28" s="23"/>
      <c r="B28" s="3"/>
      <c r="C28" s="3"/>
      <c r="D28" s="34"/>
      <c r="E28" s="35"/>
      <c r="F28" s="34"/>
      <c r="G28" s="35"/>
      <c r="H28" s="34"/>
      <c r="I28" s="35"/>
      <c r="J28" s="34"/>
      <c r="K28" s="35"/>
      <c r="L28" s="34"/>
      <c r="M28" s="35"/>
      <c r="N28" s="35"/>
      <c r="O28" s="46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9"/>
      <c r="B29" s="39" t="s">
        <v>495</v>
      </c>
      <c r="C29" s="39"/>
      <c r="D29" s="40">
        <f>SUM(D30:D37)</f>
        <v>806262838.77999985</v>
      </c>
      <c r="E29" s="41">
        <f>D29/D5</f>
        <v>7.4485777218519122E-2</v>
      </c>
      <c r="F29" s="40">
        <f>SUM(F30:F37)</f>
        <v>88794258.370000005</v>
      </c>
      <c r="G29" s="41">
        <f>F29/F5</f>
        <v>9.0391811095062183E-2</v>
      </c>
      <c r="H29" s="40">
        <f>SUM(H30:H37)</f>
        <v>0</v>
      </c>
      <c r="I29" s="41">
        <f>H29/H5</f>
        <v>0</v>
      </c>
      <c r="J29" s="40">
        <f>SUM(J30:J37)</f>
        <v>7186848.8200000003</v>
      </c>
      <c r="K29" s="41">
        <f>J29/J5</f>
        <v>0.11370865107341876</v>
      </c>
      <c r="L29" s="40">
        <f>SUM(L30:L37)</f>
        <v>27145749.380000003</v>
      </c>
      <c r="M29" s="41">
        <f>L29/L5</f>
        <v>9.3635314377482598E-2</v>
      </c>
      <c r="N29" s="41"/>
      <c r="O29" s="32">
        <v>0.15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42">
        <v>1</v>
      </c>
      <c r="B30" s="43"/>
      <c r="C30" s="43" t="s">
        <v>663</v>
      </c>
      <c r="D30" s="44">
        <f>109337610.45</f>
        <v>109337610.45</v>
      </c>
      <c r="E30" s="45">
        <f>D30/D5</f>
        <v>1.0101044599683157E-2</v>
      </c>
      <c r="F30" s="44">
        <f>14992761.37</f>
        <v>14992761.369999999</v>
      </c>
      <c r="G30" s="45">
        <f>F30/F5</f>
        <v>1.5262505464072448E-2</v>
      </c>
      <c r="H30" s="44"/>
      <c r="I30" s="45">
        <f>H30/H5</f>
        <v>0</v>
      </c>
      <c r="J30" s="44">
        <v>1223627.23</v>
      </c>
      <c r="K30" s="45">
        <f>J30/J5</f>
        <v>1.9359945537299326E-2</v>
      </c>
      <c r="L30" s="44">
        <f>4411799.13</f>
        <v>4411799.13</v>
      </c>
      <c r="M30" s="45">
        <f>L30/L5</f>
        <v>1.5217859441825222E-2</v>
      </c>
      <c r="N30" s="45"/>
      <c r="O30" s="4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3">
        <f t="shared" ref="A31:A37" si="1">A30+1</f>
        <v>2</v>
      </c>
      <c r="B31" s="3"/>
      <c r="C31" s="3" t="s">
        <v>818</v>
      </c>
      <c r="D31" s="34">
        <f>106787250.69</f>
        <v>106787250.69</v>
      </c>
      <c r="E31" s="35">
        <f>D31/D5</f>
        <v>9.8654321917023002E-3</v>
      </c>
      <c r="F31" s="34">
        <f>14643046.99</f>
        <v>14643046.99</v>
      </c>
      <c r="G31" s="35">
        <f>F31/F5</f>
        <v>1.4906499155168279E-2</v>
      </c>
      <c r="H31" s="34"/>
      <c r="I31" s="35">
        <f>H31/H5</f>
        <v>0</v>
      </c>
      <c r="J31" s="34">
        <v>1195085.45</v>
      </c>
      <c r="K31" s="35">
        <f>J31/J5</f>
        <v>1.8908364130159849E-2</v>
      </c>
      <c r="L31" s="34">
        <f>4308891.49</f>
        <v>4308891.49</v>
      </c>
      <c r="M31" s="35">
        <f>L31/L5</f>
        <v>1.4862894504650045E-2</v>
      </c>
      <c r="N31" s="3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42">
        <f t="shared" si="1"/>
        <v>3</v>
      </c>
      <c r="B32" s="43"/>
      <c r="C32" s="43" t="s">
        <v>819</v>
      </c>
      <c r="D32" s="44">
        <f>136052765.45</f>
        <v>136052765.44999999</v>
      </c>
      <c r="E32" s="45">
        <f>D32/D5</f>
        <v>1.2569097184990488E-2</v>
      </c>
      <c r="F32" s="44">
        <f>18656038.29</f>
        <v>18656038.289999999</v>
      </c>
      <c r="G32" s="45">
        <f>F32/F5</f>
        <v>1.8991690677397196E-2</v>
      </c>
      <c r="H32" s="44"/>
      <c r="I32" s="45">
        <f>H32/H5</f>
        <v>0</v>
      </c>
      <c r="J32" s="44">
        <f>1522603.87</f>
        <v>1522603.87</v>
      </c>
      <c r="K32" s="45">
        <f>J32/J5</f>
        <v>2.4090284422716865E-2</v>
      </c>
      <c r="L32" s="44">
        <f>5489762.12</f>
        <v>5489762.1200000001</v>
      </c>
      <c r="M32" s="45">
        <f>L32/L5</f>
        <v>1.893613599566045E-2</v>
      </c>
      <c r="N32" s="45"/>
      <c r="O32" s="4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23">
        <f t="shared" si="1"/>
        <v>4</v>
      </c>
      <c r="B33" s="3"/>
      <c r="C33" s="3" t="s">
        <v>313</v>
      </c>
      <c r="D33" s="34">
        <f>74571539.07</f>
        <v>74571539.069999993</v>
      </c>
      <c r="E33" s="35">
        <f>D33/D5</f>
        <v>6.8892162441902436E-3</v>
      </c>
      <c r="F33" s="34">
        <f>10225514.22</f>
        <v>10225514.220000001</v>
      </c>
      <c r="G33" s="35">
        <f>F33/F5</f>
        <v>1.0409487805761062E-2</v>
      </c>
      <c r="H33" s="34"/>
      <c r="I33" s="35">
        <f>H33/H5</f>
        <v>0</v>
      </c>
      <c r="J33" s="34">
        <f>834550.58</f>
        <v>834550.58</v>
      </c>
      <c r="K33" s="35">
        <f>J33/J5</f>
        <v>1.3204065242093022E-2</v>
      </c>
      <c r="L33" s="34">
        <v>3008979.71</v>
      </c>
      <c r="M33" s="35">
        <f>L33/L5</f>
        <v>1.0379037880195606E-2</v>
      </c>
      <c r="N33" s="35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42">
        <f t="shared" si="1"/>
        <v>5</v>
      </c>
      <c r="B34" s="43"/>
      <c r="C34" s="43" t="s">
        <v>820</v>
      </c>
      <c r="D34" s="44">
        <f>82953196.19</f>
        <v>82953196.189999998</v>
      </c>
      <c r="E34" s="45">
        <f>D34/D5</f>
        <v>7.663547163257553E-3</v>
      </c>
      <c r="F34" s="44">
        <f>372003.5</f>
        <v>372003.5</v>
      </c>
      <c r="G34" s="45">
        <f>F34/F5</f>
        <v>3.7869644632408867E-4</v>
      </c>
      <c r="H34" s="44"/>
      <c r="I34" s="45">
        <f>H34/H5</f>
        <v>0</v>
      </c>
      <c r="J34" s="44"/>
      <c r="K34" s="45">
        <f>J34/J5</f>
        <v>0</v>
      </c>
      <c r="L34" s="44">
        <v>623616.81000000006</v>
      </c>
      <c r="M34" s="45">
        <f>L34/L5</f>
        <v>2.1510754865531304E-3</v>
      </c>
      <c r="N34" s="45"/>
      <c r="O34" s="4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>
        <f t="shared" si="1"/>
        <v>6</v>
      </c>
      <c r="B35" s="3"/>
      <c r="C35" s="3" t="s">
        <v>821</v>
      </c>
      <c r="D35" s="34">
        <f>81126421.24</f>
        <v>81126421.239999995</v>
      </c>
      <c r="E35" s="35">
        <f>D35/D5</f>
        <v>7.4947824063949335E-3</v>
      </c>
      <c r="F35" s="34">
        <f>363811.33</f>
        <v>363811.33</v>
      </c>
      <c r="G35" s="35">
        <f>F35/F5</f>
        <v>3.7035688589876257E-4</v>
      </c>
      <c r="H35" s="34"/>
      <c r="I35" s="35">
        <f>H35/H5</f>
        <v>0</v>
      </c>
      <c r="J35" s="34"/>
      <c r="K35" s="35">
        <f>J35/J5</f>
        <v>0</v>
      </c>
      <c r="L35" s="34">
        <f>609883.67</f>
        <v>609883.67000000004</v>
      </c>
      <c r="M35" s="35">
        <f>L35/L5</f>
        <v>2.1037050174867139E-3</v>
      </c>
      <c r="N35" s="35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42">
        <f t="shared" si="1"/>
        <v>7</v>
      </c>
      <c r="B36" s="43"/>
      <c r="C36" s="43" t="s">
        <v>406</v>
      </c>
      <c r="D36" s="44">
        <f>75982577.78</f>
        <v>75982577.780000001</v>
      </c>
      <c r="E36" s="45">
        <f>D36/D5</f>
        <v>7.0195736288351856E-3</v>
      </c>
      <c r="F36" s="44">
        <f>10419000.86</f>
        <v>10419000.859999999</v>
      </c>
      <c r="G36" s="45">
        <f>F36/F5</f>
        <v>1.0606455584234082E-2</v>
      </c>
      <c r="H36" s="44"/>
      <c r="I36" s="45">
        <f>H36/H5</f>
        <v>0</v>
      </c>
      <c r="J36" s="44">
        <f>850341.9</f>
        <v>850341.9</v>
      </c>
      <c r="K36" s="45">
        <f>J36/J5</f>
        <v>1.3453911835619767E-2</v>
      </c>
      <c r="L36" s="44">
        <f>3065915.46</f>
        <v>3065915.46</v>
      </c>
      <c r="M36" s="45">
        <f>L36/L5</f>
        <v>1.0575429469020027E-2</v>
      </c>
      <c r="N36" s="45"/>
      <c r="O36" s="4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>
        <f t="shared" si="1"/>
        <v>8</v>
      </c>
      <c r="B37" s="3"/>
      <c r="C37" s="3" t="s">
        <v>463</v>
      </c>
      <c r="D37" s="34">
        <f>139451477.91</f>
        <v>139451477.91</v>
      </c>
      <c r="E37" s="35">
        <f>D37/D5</f>
        <v>1.2883083799465277E-2</v>
      </c>
      <c r="F37" s="34">
        <f>19122081.81</f>
        <v>19122081.809999999</v>
      </c>
      <c r="G37" s="35">
        <f>F37/F5</f>
        <v>1.9466119076206264E-2</v>
      </c>
      <c r="H37" s="34"/>
      <c r="I37" s="35">
        <f>H37/H5</f>
        <v>0</v>
      </c>
      <c r="J37" s="34">
        <f>1560639.79</f>
        <v>1560639.79</v>
      </c>
      <c r="K37" s="35">
        <f>J37/J5</f>
        <v>2.4692079905529934E-2</v>
      </c>
      <c r="L37" s="34">
        <f>5626900.99</f>
        <v>5626900.9900000002</v>
      </c>
      <c r="M37" s="35">
        <f>L37/L5</f>
        <v>1.9409176582091396E-2</v>
      </c>
      <c r="N37" s="35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3" customHeight="1">
      <c r="A38" s="47"/>
      <c r="B38" s="48"/>
      <c r="C38" s="48"/>
      <c r="D38" s="48"/>
      <c r="E38" s="49"/>
      <c r="F38" s="48"/>
      <c r="G38" s="49"/>
      <c r="H38" s="48"/>
      <c r="I38" s="49"/>
      <c r="J38" s="48"/>
      <c r="K38" s="49"/>
      <c r="L38" s="48"/>
      <c r="M38" s="48"/>
      <c r="N38" s="48"/>
      <c r="O38" s="48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5"/>
      <c r="F39" s="3"/>
      <c r="G39" s="35"/>
      <c r="H39" s="3"/>
      <c r="I39" s="35"/>
      <c r="J39" s="3"/>
      <c r="K39" s="35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43" t="s">
        <v>313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L2:M2"/>
    <mergeCell ref="D3:E3"/>
    <mergeCell ref="F3:G3"/>
    <mergeCell ref="L3:M3"/>
    <mergeCell ref="H3:I3"/>
    <mergeCell ref="J3:K3"/>
    <mergeCell ref="D2:E2"/>
    <mergeCell ref="F2:G2"/>
    <mergeCell ref="H2:I2"/>
    <mergeCell ref="J2:K2"/>
  </mergeCells>
  <pageMargins left="0.511811024" right="0.511811024" top="0.78740157499999996" bottom="0.78740157499999996" header="0" footer="0"/>
  <pageSetup paperSize="9"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875" customWidth="1"/>
    <col min="2" max="2" width="1.375" customWidth="1"/>
    <col min="3" max="3" width="39.125" customWidth="1"/>
    <col min="4" max="4" width="14" customWidth="1"/>
    <col min="5" max="5" width="6.375" customWidth="1"/>
    <col min="6" max="6" width="12.375" customWidth="1"/>
    <col min="7" max="7" width="6.375" customWidth="1"/>
    <col min="8" max="8" width="13.25" customWidth="1"/>
    <col min="9" max="9" width="6.375" customWidth="1"/>
    <col min="10" max="10" width="11.375" customWidth="1"/>
    <col min="11" max="11" width="6.375" customWidth="1"/>
    <col min="12" max="12" width="12.375" customWidth="1"/>
    <col min="13" max="13" width="6.625" customWidth="1"/>
    <col min="14" max="14" width="15" customWidth="1"/>
    <col min="15" max="15" width="6.625" customWidth="1"/>
    <col min="16" max="16" width="15" customWidth="1"/>
    <col min="17" max="17" width="6.625" customWidth="1"/>
    <col min="18" max="18" width="0.625" customWidth="1"/>
    <col min="19" max="19" width="7.5" customWidth="1"/>
    <col min="20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78" t="s">
        <v>506</v>
      </c>
      <c r="M2" s="79"/>
      <c r="N2" s="78" t="s">
        <v>507</v>
      </c>
      <c r="O2" s="79"/>
      <c r="P2" s="78" t="s">
        <v>508</v>
      </c>
      <c r="Q2" s="79"/>
      <c r="R2" s="25"/>
      <c r="S2" s="25"/>
      <c r="T2" s="3"/>
      <c r="U2" s="3"/>
      <c r="V2" s="3"/>
      <c r="W2" s="3"/>
      <c r="X2" s="3"/>
      <c r="Y2" s="3"/>
      <c r="Z2" s="3"/>
    </row>
    <row r="3" spans="1:26" ht="15" customHeight="1">
      <c r="A3" s="80"/>
      <c r="B3" s="81"/>
      <c r="C3" s="27">
        <v>44012</v>
      </c>
      <c r="D3" s="86" t="s">
        <v>822</v>
      </c>
      <c r="E3" s="83"/>
      <c r="F3" s="86" t="s">
        <v>823</v>
      </c>
      <c r="G3" s="83"/>
      <c r="H3" s="86" t="s">
        <v>824</v>
      </c>
      <c r="I3" s="83"/>
      <c r="J3" s="86" t="s">
        <v>825</v>
      </c>
      <c r="K3" s="83"/>
      <c r="L3" s="82"/>
      <c r="M3" s="83"/>
      <c r="N3" s="82"/>
      <c r="O3" s="83"/>
      <c r="P3" s="82"/>
      <c r="Q3" s="83"/>
      <c r="R3" s="84"/>
      <c r="S3" s="85" t="s">
        <v>491</v>
      </c>
      <c r="T3" s="3"/>
      <c r="U3" s="3"/>
      <c r="V3" s="3"/>
      <c r="W3" s="3"/>
      <c r="X3" s="3"/>
      <c r="Y3" s="3"/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29"/>
      <c r="B5" s="30" t="s">
        <v>492</v>
      </c>
      <c r="C5" s="30"/>
      <c r="D5" s="31">
        <v>2428155297.9400001</v>
      </c>
      <c r="E5" s="32">
        <f>D5/D5</f>
        <v>1</v>
      </c>
      <c r="F5" s="31">
        <v>89041702.700000003</v>
      </c>
      <c r="G5" s="32">
        <f>F5/F5</f>
        <v>1</v>
      </c>
      <c r="H5" s="31">
        <v>747059459.02999997</v>
      </c>
      <c r="I5" s="32">
        <f>H5/H5</f>
        <v>1</v>
      </c>
      <c r="J5" s="31">
        <v>54689465.170000002</v>
      </c>
      <c r="K5" s="32">
        <f>J5/J5</f>
        <v>1</v>
      </c>
      <c r="L5" s="31"/>
      <c r="M5" s="32" t="e">
        <f>L5/L5</f>
        <v>#DIV/0!</v>
      </c>
      <c r="N5" s="31"/>
      <c r="O5" s="32" t="e">
        <f>N5/N5</f>
        <v>#DIV/0!</v>
      </c>
      <c r="P5" s="31"/>
      <c r="Q5" s="32" t="e">
        <f>P5/P5</f>
        <v>#DIV/0!</v>
      </c>
      <c r="R5" s="32"/>
      <c r="S5" s="33"/>
      <c r="T5" s="3"/>
      <c r="U5" s="3"/>
      <c r="V5" s="3"/>
      <c r="W5" s="3"/>
      <c r="X5" s="3"/>
      <c r="Y5" s="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4"/>
      <c r="M6" s="35"/>
      <c r="N6" s="34"/>
      <c r="O6" s="35"/>
      <c r="P6" s="34"/>
      <c r="Q6" s="35"/>
      <c r="R6" s="35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29"/>
      <c r="B7" s="36" t="s">
        <v>493</v>
      </c>
      <c r="C7" s="36"/>
      <c r="D7" s="37">
        <f>SUM(D9,D22)</f>
        <v>121729285.30999999</v>
      </c>
      <c r="E7" s="38">
        <f>D7/D5</f>
        <v>5.0132413447061132E-2</v>
      </c>
      <c r="F7" s="37">
        <f>SUM(F9,F22)</f>
        <v>4428339.38</v>
      </c>
      <c r="G7" s="38">
        <f>F7/F5</f>
        <v>4.9733318722801102E-2</v>
      </c>
      <c r="H7" s="37">
        <f>SUM(H9,H22)</f>
        <v>55541091.249999993</v>
      </c>
      <c r="I7" s="38">
        <f>H7/H5</f>
        <v>7.4346279373954896E-2</v>
      </c>
      <c r="J7" s="37">
        <f>SUM(J9,J22)</f>
        <v>4221077.2</v>
      </c>
      <c r="K7" s="38">
        <f>J7/J5</f>
        <v>7.7182638134766016E-2</v>
      </c>
      <c r="L7" s="37">
        <f>SUM(L9,L22)</f>
        <v>0</v>
      </c>
      <c r="M7" s="38" t="e">
        <f>L7/L5</f>
        <v>#DIV/0!</v>
      </c>
      <c r="N7" s="37">
        <f>SUM(N9,N22)</f>
        <v>0</v>
      </c>
      <c r="O7" s="38" t="e">
        <f>N7/N5</f>
        <v>#DIV/0!</v>
      </c>
      <c r="P7" s="37">
        <f>SUM(P9,P22)</f>
        <v>0</v>
      </c>
      <c r="Q7" s="38" t="e">
        <f>P7/P5</f>
        <v>#DIV/0!</v>
      </c>
      <c r="R7" s="38"/>
      <c r="S7" s="32">
        <v>0.2</v>
      </c>
      <c r="T7" s="3"/>
      <c r="U7" s="3"/>
      <c r="V7" s="3"/>
      <c r="W7" s="3"/>
      <c r="X7" s="3"/>
      <c r="Y7" s="3"/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4"/>
      <c r="M8" s="35"/>
      <c r="N8" s="34"/>
      <c r="O8" s="35"/>
      <c r="P8" s="34"/>
      <c r="Q8" s="35"/>
      <c r="R8" s="35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29"/>
      <c r="B9" s="39" t="s">
        <v>494</v>
      </c>
      <c r="C9" s="39"/>
      <c r="D9" s="40">
        <f>SUM(D10:D20)</f>
        <v>0</v>
      </c>
      <c r="E9" s="41">
        <f>D9/D5</f>
        <v>0</v>
      </c>
      <c r="F9" s="40">
        <f>SUM(F10:F20)</f>
        <v>0</v>
      </c>
      <c r="G9" s="41">
        <f>F9/F5</f>
        <v>0</v>
      </c>
      <c r="H9" s="40">
        <f>SUM(H10:H20)</f>
        <v>0</v>
      </c>
      <c r="I9" s="41">
        <f>H9/H5</f>
        <v>0</v>
      </c>
      <c r="J9" s="40">
        <f>SUM(J10:J20)</f>
        <v>0</v>
      </c>
      <c r="K9" s="41">
        <f>J9/J5</f>
        <v>0</v>
      </c>
      <c r="L9" s="40">
        <f>SUM(L10:L20)</f>
        <v>0</v>
      </c>
      <c r="M9" s="41" t="e">
        <f>L9/L5</f>
        <v>#DIV/0!</v>
      </c>
      <c r="N9" s="40">
        <f>SUM(N10:N20)</f>
        <v>0</v>
      </c>
      <c r="O9" s="41" t="e">
        <f>N9/N5</f>
        <v>#DIV/0!</v>
      </c>
      <c r="P9" s="40">
        <f>SUM(P10:P20)</f>
        <v>0</v>
      </c>
      <c r="Q9" s="41" t="e">
        <f>P9/P5</f>
        <v>#DIV/0!</v>
      </c>
      <c r="R9" s="41"/>
      <c r="S9" s="32">
        <v>0.15</v>
      </c>
      <c r="T9" s="3"/>
      <c r="U9" s="3"/>
      <c r="V9" s="3"/>
      <c r="W9" s="3"/>
      <c r="X9" s="3"/>
      <c r="Y9" s="3"/>
      <c r="Z9" s="3"/>
    </row>
    <row r="10" spans="1:26" ht="12.75" customHeight="1">
      <c r="A10" s="42">
        <v>1</v>
      </c>
      <c r="B10" s="43"/>
      <c r="C10" s="43"/>
      <c r="D10" s="44"/>
      <c r="E10" s="45">
        <f>D10/D5</f>
        <v>0</v>
      </c>
      <c r="F10" s="44"/>
      <c r="G10" s="45">
        <f>F10/F5</f>
        <v>0</v>
      </c>
      <c r="H10" s="44"/>
      <c r="I10" s="45">
        <f>H10/H5</f>
        <v>0</v>
      </c>
      <c r="J10" s="44"/>
      <c r="K10" s="45">
        <f>J10/J5</f>
        <v>0</v>
      </c>
      <c r="L10" s="44"/>
      <c r="M10" s="45" t="e">
        <f>L10/L5</f>
        <v>#DIV/0!</v>
      </c>
      <c r="N10" s="44"/>
      <c r="O10" s="45" t="e">
        <f>N10/N5</f>
        <v>#DIV/0!</v>
      </c>
      <c r="P10" s="44"/>
      <c r="Q10" s="45" t="e">
        <f>P10/P5</f>
        <v>#DIV/0!</v>
      </c>
      <c r="R10" s="45"/>
      <c r="S10" s="43"/>
      <c r="T10" s="3"/>
      <c r="U10" s="3"/>
      <c r="V10" s="3"/>
      <c r="W10" s="3"/>
      <c r="X10" s="3"/>
      <c r="Y10" s="3"/>
      <c r="Z10" s="3"/>
    </row>
    <row r="11" spans="1:26" ht="12.75" customHeight="1">
      <c r="A11" s="23">
        <f t="shared" ref="A11:A20" si="0">A10+1</f>
        <v>2</v>
      </c>
      <c r="B11" s="3"/>
      <c r="C11" s="3"/>
      <c r="D11" s="34"/>
      <c r="E11" s="35">
        <f>D11/D5</f>
        <v>0</v>
      </c>
      <c r="F11" s="34"/>
      <c r="G11" s="35">
        <f>F11/F5</f>
        <v>0</v>
      </c>
      <c r="H11" s="34"/>
      <c r="I11" s="35">
        <f>H11/H5</f>
        <v>0</v>
      </c>
      <c r="J11" s="34"/>
      <c r="K11" s="35">
        <f>J11/J5</f>
        <v>0</v>
      </c>
      <c r="L11" s="34"/>
      <c r="M11" s="35" t="e">
        <f>L11/L5</f>
        <v>#DIV/0!</v>
      </c>
      <c r="N11" s="34"/>
      <c r="O11" s="35" t="e">
        <f>N11/N5</f>
        <v>#DIV/0!</v>
      </c>
      <c r="P11" s="34"/>
      <c r="Q11" s="35" t="e">
        <f>P11/P5</f>
        <v>#DIV/0!</v>
      </c>
      <c r="R11" s="35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42">
        <f t="shared" si="0"/>
        <v>3</v>
      </c>
      <c r="B12" s="43"/>
      <c r="C12" s="43"/>
      <c r="D12" s="44"/>
      <c r="E12" s="45">
        <f>D12/D5</f>
        <v>0</v>
      </c>
      <c r="F12" s="44"/>
      <c r="G12" s="45">
        <f>F12/F5</f>
        <v>0</v>
      </c>
      <c r="H12" s="44"/>
      <c r="I12" s="45">
        <f>H12/H5</f>
        <v>0</v>
      </c>
      <c r="J12" s="44"/>
      <c r="K12" s="45">
        <f>J12/J5</f>
        <v>0</v>
      </c>
      <c r="L12" s="44"/>
      <c r="M12" s="45" t="e">
        <f>L12/L5</f>
        <v>#DIV/0!</v>
      </c>
      <c r="N12" s="44"/>
      <c r="O12" s="45" t="e">
        <f>N12/N5</f>
        <v>#DIV/0!</v>
      </c>
      <c r="P12" s="44"/>
      <c r="Q12" s="45" t="e">
        <f>P12/P5</f>
        <v>#DIV/0!</v>
      </c>
      <c r="R12" s="45"/>
      <c r="S12" s="43"/>
      <c r="T12" s="3"/>
      <c r="U12" s="3"/>
      <c r="V12" s="3"/>
      <c r="W12" s="3"/>
      <c r="X12" s="3"/>
      <c r="Y12" s="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4"/>
      <c r="G13" s="35">
        <f>F13/F5</f>
        <v>0</v>
      </c>
      <c r="H13" s="34"/>
      <c r="I13" s="35">
        <f>H13/H5</f>
        <v>0</v>
      </c>
      <c r="J13" s="34"/>
      <c r="K13" s="35">
        <f>J13/J5</f>
        <v>0</v>
      </c>
      <c r="L13" s="34"/>
      <c r="M13" s="35" t="e">
        <f>L13/L5</f>
        <v>#DIV/0!</v>
      </c>
      <c r="N13" s="34"/>
      <c r="O13" s="35" t="e">
        <f>N13/N5</f>
        <v>#DIV/0!</v>
      </c>
      <c r="P13" s="34"/>
      <c r="Q13" s="35" t="e">
        <f>P13/P5</f>
        <v>#DIV/0!</v>
      </c>
      <c r="R13" s="35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>
        <f>F14/F5</f>
        <v>0</v>
      </c>
      <c r="H14" s="44"/>
      <c r="I14" s="45">
        <f>H14/H5</f>
        <v>0</v>
      </c>
      <c r="J14" s="44"/>
      <c r="K14" s="45">
        <f>J14/J5</f>
        <v>0</v>
      </c>
      <c r="L14" s="44"/>
      <c r="M14" s="45" t="e">
        <f>L14/L5</f>
        <v>#DIV/0!</v>
      </c>
      <c r="N14" s="44"/>
      <c r="O14" s="45" t="e">
        <f>N14/N5</f>
        <v>#DIV/0!</v>
      </c>
      <c r="P14" s="44"/>
      <c r="Q14" s="45" t="e">
        <f>P14/P5</f>
        <v>#DIV/0!</v>
      </c>
      <c r="R14" s="45"/>
      <c r="S14" s="43"/>
      <c r="T14" s="3"/>
      <c r="U14" s="3"/>
      <c r="V14" s="3"/>
      <c r="W14" s="3"/>
      <c r="X14" s="3"/>
      <c r="Y14" s="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>
        <f>F15/F5</f>
        <v>0</v>
      </c>
      <c r="H15" s="34"/>
      <c r="I15" s="35">
        <f>H15/H5</f>
        <v>0</v>
      </c>
      <c r="J15" s="34"/>
      <c r="K15" s="35">
        <f>J15/J5</f>
        <v>0</v>
      </c>
      <c r="L15" s="34"/>
      <c r="M15" s="35" t="e">
        <f>L15/L5</f>
        <v>#DIV/0!</v>
      </c>
      <c r="N15" s="34"/>
      <c r="O15" s="35" t="e">
        <f>N15/N5</f>
        <v>#DIV/0!</v>
      </c>
      <c r="P15" s="34"/>
      <c r="Q15" s="35" t="e">
        <f>P15/P5</f>
        <v>#DIV/0!</v>
      </c>
      <c r="R15" s="35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>
        <f>F16/F5</f>
        <v>0</v>
      </c>
      <c r="H16" s="44"/>
      <c r="I16" s="45">
        <f>H16/H5</f>
        <v>0</v>
      </c>
      <c r="J16" s="44"/>
      <c r="K16" s="45">
        <f>J16/J5</f>
        <v>0</v>
      </c>
      <c r="L16" s="44"/>
      <c r="M16" s="45" t="e">
        <f>L16/L5</f>
        <v>#DIV/0!</v>
      </c>
      <c r="N16" s="44"/>
      <c r="O16" s="45" t="e">
        <f>N16/N5</f>
        <v>#DIV/0!</v>
      </c>
      <c r="P16" s="44"/>
      <c r="Q16" s="45" t="e">
        <f>P16/P5</f>
        <v>#DIV/0!</v>
      </c>
      <c r="R16" s="45"/>
      <c r="S16" s="43"/>
      <c r="T16" s="3"/>
      <c r="U16" s="3"/>
      <c r="V16" s="3"/>
      <c r="W16" s="3"/>
      <c r="X16" s="3"/>
      <c r="Y16" s="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4"/>
      <c r="I17" s="35">
        <f>H17/H5</f>
        <v>0</v>
      </c>
      <c r="J17" s="34"/>
      <c r="K17" s="35">
        <f>J17/J5</f>
        <v>0</v>
      </c>
      <c r="L17" s="34"/>
      <c r="M17" s="35" t="e">
        <f>L17/L5</f>
        <v>#DIV/0!</v>
      </c>
      <c r="N17" s="34"/>
      <c r="O17" s="35" t="e">
        <f>N17/N5</f>
        <v>#DIV/0!</v>
      </c>
      <c r="P17" s="34"/>
      <c r="Q17" s="35" t="e">
        <f>P17/P5</f>
        <v>#DIV/0!</v>
      </c>
      <c r="R17" s="35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4"/>
      <c r="I18" s="45">
        <f>H18/H5</f>
        <v>0</v>
      </c>
      <c r="J18" s="44"/>
      <c r="K18" s="45">
        <f>J18/J5</f>
        <v>0</v>
      </c>
      <c r="L18" s="44"/>
      <c r="M18" s="45" t="e">
        <f>L18/L5</f>
        <v>#DIV/0!</v>
      </c>
      <c r="N18" s="44"/>
      <c r="O18" s="45" t="e">
        <f>N18/N5</f>
        <v>#DIV/0!</v>
      </c>
      <c r="P18" s="44"/>
      <c r="Q18" s="45" t="e">
        <f>P18/P5</f>
        <v>#DIV/0!</v>
      </c>
      <c r="R18" s="45"/>
      <c r="S18" s="43"/>
      <c r="T18" s="3"/>
      <c r="U18" s="3"/>
      <c r="V18" s="3"/>
      <c r="W18" s="3"/>
      <c r="X18" s="3"/>
      <c r="Y18" s="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4"/>
      <c r="K19" s="35">
        <f>J19/J5</f>
        <v>0</v>
      </c>
      <c r="L19" s="34"/>
      <c r="M19" s="35" t="e">
        <f>L19/L5</f>
        <v>#DIV/0!</v>
      </c>
      <c r="N19" s="34"/>
      <c r="O19" s="35" t="e">
        <f>N19/N5</f>
        <v>#DIV/0!</v>
      </c>
      <c r="P19" s="34"/>
      <c r="Q19" s="35" t="e">
        <f>P19/P5</f>
        <v>#DIV/0!</v>
      </c>
      <c r="R19" s="35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42">
        <f t="shared" si="0"/>
        <v>11</v>
      </c>
      <c r="B20" s="43"/>
      <c r="C20" s="43"/>
      <c r="D20" s="44"/>
      <c r="E20" s="45">
        <f>D20/D5</f>
        <v>0</v>
      </c>
      <c r="F20" s="44"/>
      <c r="G20" s="45">
        <f>F20/F5</f>
        <v>0</v>
      </c>
      <c r="H20" s="44"/>
      <c r="I20" s="45">
        <f>H20/H5</f>
        <v>0</v>
      </c>
      <c r="J20" s="44"/>
      <c r="K20" s="45">
        <f>J20/J5</f>
        <v>0</v>
      </c>
      <c r="L20" s="44"/>
      <c r="M20" s="45" t="e">
        <f>L20/L5</f>
        <v>#DIV/0!</v>
      </c>
      <c r="N20" s="44"/>
      <c r="O20" s="45" t="e">
        <f>N20/N5</f>
        <v>#DIV/0!</v>
      </c>
      <c r="P20" s="44"/>
      <c r="Q20" s="45" t="e">
        <f>P20/P5</f>
        <v>#DIV/0!</v>
      </c>
      <c r="R20" s="45"/>
      <c r="S20" s="43"/>
      <c r="T20" s="3"/>
      <c r="U20" s="3"/>
      <c r="V20" s="3"/>
      <c r="W20" s="3"/>
      <c r="X20" s="3"/>
      <c r="Y20" s="3"/>
      <c r="Z20" s="3"/>
    </row>
    <row r="21" spans="1:26" ht="3" customHeight="1">
      <c r="A21" s="23"/>
      <c r="B21" s="3"/>
      <c r="C21" s="3"/>
      <c r="D21" s="34"/>
      <c r="E21" s="35"/>
      <c r="F21" s="34"/>
      <c r="G21" s="35"/>
      <c r="H21" s="34"/>
      <c r="I21" s="35"/>
      <c r="J21" s="34"/>
      <c r="K21" s="35"/>
      <c r="L21" s="34"/>
      <c r="M21" s="35"/>
      <c r="N21" s="34"/>
      <c r="O21" s="35"/>
      <c r="P21" s="34"/>
      <c r="Q21" s="35"/>
      <c r="R21" s="35"/>
      <c r="S21" s="46"/>
      <c r="T21" s="3"/>
      <c r="U21" s="3"/>
      <c r="V21" s="3"/>
      <c r="W21" s="3"/>
      <c r="X21" s="3"/>
      <c r="Y21" s="3"/>
      <c r="Z21" s="3"/>
    </row>
    <row r="22" spans="1:26" ht="12.75" customHeight="1">
      <c r="A22" s="29"/>
      <c r="B22" s="39" t="s">
        <v>495</v>
      </c>
      <c r="C22" s="39"/>
      <c r="D22" s="40">
        <f>SUM(D23:D36)</f>
        <v>121729285.30999999</v>
      </c>
      <c r="E22" s="41">
        <f>D22/D5</f>
        <v>5.0132413447061132E-2</v>
      </c>
      <c r="F22" s="40">
        <f>SUM(F23:F36)</f>
        <v>4428339.38</v>
      </c>
      <c r="G22" s="41">
        <f>F22/F5</f>
        <v>4.9733318722801102E-2</v>
      </c>
      <c r="H22" s="40">
        <f>SUM(H23:H36)</f>
        <v>55541091.249999993</v>
      </c>
      <c r="I22" s="41">
        <f>H22/H5</f>
        <v>7.4346279373954896E-2</v>
      </c>
      <c r="J22" s="40">
        <f>SUM(J23:J36)</f>
        <v>4221077.2</v>
      </c>
      <c r="K22" s="41">
        <f>J22/J5</f>
        <v>7.7182638134766016E-2</v>
      </c>
      <c r="L22" s="40">
        <f>SUM(L23:L36)</f>
        <v>0</v>
      </c>
      <c r="M22" s="41" t="e">
        <f>L22/L5</f>
        <v>#DIV/0!</v>
      </c>
      <c r="N22" s="40">
        <f>SUM(N23:N36)</f>
        <v>0</v>
      </c>
      <c r="O22" s="41" t="e">
        <f>N22/N5</f>
        <v>#DIV/0!</v>
      </c>
      <c r="P22" s="40">
        <f>SUM(P23:P36)</f>
        <v>0</v>
      </c>
      <c r="Q22" s="41" t="e">
        <f>P22/P5</f>
        <v>#DIV/0!</v>
      </c>
      <c r="R22" s="41"/>
      <c r="S22" s="32">
        <v>0.15</v>
      </c>
      <c r="T22" s="3"/>
      <c r="U22" s="3"/>
      <c r="V22" s="3"/>
      <c r="W22" s="3"/>
      <c r="X22" s="3"/>
      <c r="Y22" s="3"/>
      <c r="Z22" s="3"/>
    </row>
    <row r="23" spans="1:26" ht="12.75" customHeight="1">
      <c r="A23" s="42">
        <v>1</v>
      </c>
      <c r="B23" s="43"/>
      <c r="C23" s="43" t="s">
        <v>563</v>
      </c>
      <c r="D23" s="44">
        <v>24696409.149999999</v>
      </c>
      <c r="E23" s="45">
        <f>D23/D5</f>
        <v>1.0170852404272476E-2</v>
      </c>
      <c r="F23" s="44">
        <v>898420.47</v>
      </c>
      <c r="G23" s="45">
        <f>F23/F5</f>
        <v>1.0089884208829263E-2</v>
      </c>
      <c r="H23" s="44">
        <v>11268163.699999999</v>
      </c>
      <c r="I23" s="45">
        <f>H23/H5</f>
        <v>1.5083355901323913E-2</v>
      </c>
      <c r="J23" s="44">
        <v>856371.16</v>
      </c>
      <c r="K23" s="45">
        <f>J23/J5</f>
        <v>1.5658795662711361E-2</v>
      </c>
      <c r="L23" s="44"/>
      <c r="M23" s="45" t="e">
        <f>L23/L5</f>
        <v>#DIV/0!</v>
      </c>
      <c r="N23" s="44"/>
      <c r="O23" s="45" t="e">
        <f>N23/N5</f>
        <v>#DIV/0!</v>
      </c>
      <c r="P23" s="44"/>
      <c r="Q23" s="45" t="e">
        <f>P23/P5</f>
        <v>#DIV/0!</v>
      </c>
      <c r="R23" s="45"/>
      <c r="S23" s="43"/>
      <c r="T23" s="3"/>
      <c r="U23" s="3"/>
      <c r="V23" s="3"/>
      <c r="W23" s="3"/>
      <c r="X23" s="3"/>
      <c r="Y23" s="3"/>
      <c r="Z23" s="3"/>
    </row>
    <row r="24" spans="1:26" ht="12.75" customHeight="1">
      <c r="A24" s="23">
        <f t="shared" ref="A24:A36" si="1">A23+1</f>
        <v>2</v>
      </c>
      <c r="B24" s="3"/>
      <c r="C24" s="3" t="s">
        <v>826</v>
      </c>
      <c r="D24" s="34">
        <v>19232668.449999999</v>
      </c>
      <c r="E24" s="35">
        <f>D24/D5</f>
        <v>7.9206912615171782E-3</v>
      </c>
      <c r="F24" s="34">
        <v>699657.3</v>
      </c>
      <c r="G24" s="35">
        <f>F24/F5</f>
        <v>7.8576361276164151E-3</v>
      </c>
      <c r="H24" s="34">
        <v>8775237.5299999993</v>
      </c>
      <c r="I24" s="35">
        <f>H24/H5</f>
        <v>1.1746370953382988E-2</v>
      </c>
      <c r="J24" s="34">
        <v>666910.82999999996</v>
      </c>
      <c r="K24" s="35">
        <f>J24/J5</f>
        <v>1.2194502687618803E-2</v>
      </c>
      <c r="L24" s="34"/>
      <c r="M24" s="35" t="e">
        <f>L24/L5</f>
        <v>#DIV/0!</v>
      </c>
      <c r="N24" s="34"/>
      <c r="O24" s="35" t="e">
        <f>N24/N5</f>
        <v>#DIV/0!</v>
      </c>
      <c r="P24" s="34"/>
      <c r="Q24" s="35" t="e">
        <f>P24/P5</f>
        <v>#DIV/0!</v>
      </c>
      <c r="R24" s="35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42">
        <f t="shared" si="1"/>
        <v>3</v>
      </c>
      <c r="B25" s="43"/>
      <c r="C25" s="43" t="s">
        <v>564</v>
      </c>
      <c r="D25" s="44">
        <v>16788353.34</v>
      </c>
      <c r="E25" s="45">
        <f>D25/D5</f>
        <v>6.9140360809059097E-3</v>
      </c>
      <c r="F25" s="44">
        <v>610736.56999999995</v>
      </c>
      <c r="G25" s="45">
        <f>F25/F5</f>
        <v>6.858994734834512E-3</v>
      </c>
      <c r="H25" s="44">
        <v>7659976.5</v>
      </c>
      <c r="I25" s="45">
        <f>H25/H5</f>
        <v>1.0253503128045387E-2</v>
      </c>
      <c r="J25" s="44">
        <v>582151.91</v>
      </c>
      <c r="K25" s="45">
        <f>J25/J5</f>
        <v>1.0644680985458612E-2</v>
      </c>
      <c r="L25" s="44"/>
      <c r="M25" s="45" t="e">
        <f>L25/L5</f>
        <v>#DIV/0!</v>
      </c>
      <c r="N25" s="44"/>
      <c r="O25" s="45" t="e">
        <f>N25/N5</f>
        <v>#DIV/0!</v>
      </c>
      <c r="P25" s="44"/>
      <c r="Q25" s="45" t="e">
        <f>P25/P5</f>
        <v>#DIV/0!</v>
      </c>
      <c r="R25" s="45"/>
      <c r="S25" s="43"/>
      <c r="T25" s="3"/>
      <c r="U25" s="3"/>
      <c r="V25" s="3"/>
      <c r="W25" s="3"/>
      <c r="X25" s="3"/>
      <c r="Y25" s="3"/>
      <c r="Z25" s="3"/>
    </row>
    <row r="26" spans="1:26" ht="12.75" customHeight="1">
      <c r="A26" s="23">
        <f t="shared" si="1"/>
        <v>4</v>
      </c>
      <c r="B26" s="3"/>
      <c r="C26" s="3" t="s">
        <v>827</v>
      </c>
      <c r="D26" s="34">
        <v>40969619.509999998</v>
      </c>
      <c r="E26" s="35">
        <f>D26/D5</f>
        <v>1.6872734435378921E-2</v>
      </c>
      <c r="F26" s="34">
        <v>1490416.86</v>
      </c>
      <c r="G26" s="35">
        <f>F26/F5</f>
        <v>1.6738413741048105E-2</v>
      </c>
      <c r="H26" s="34">
        <v>18693097.309999999</v>
      </c>
      <c r="I26" s="35">
        <f>H26/H5</f>
        <v>2.5022234956065703E-2</v>
      </c>
      <c r="J26" s="34">
        <v>1420660</v>
      </c>
      <c r="K26" s="35">
        <f>J26/J5</f>
        <v>2.5976849391083558E-2</v>
      </c>
      <c r="L26" s="34"/>
      <c r="M26" s="35" t="e">
        <f>L26/L5</f>
        <v>#DIV/0!</v>
      </c>
      <c r="N26" s="34"/>
      <c r="O26" s="35" t="e">
        <f>N26/N5</f>
        <v>#DIV/0!</v>
      </c>
      <c r="P26" s="34"/>
      <c r="Q26" s="35" t="e">
        <f>P26/P5</f>
        <v>#DIV/0!</v>
      </c>
      <c r="R26" s="35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42">
        <f t="shared" si="1"/>
        <v>5</v>
      </c>
      <c r="B27" s="43"/>
      <c r="C27" s="43" t="s">
        <v>470</v>
      </c>
      <c r="D27" s="44">
        <v>20042234.859999999</v>
      </c>
      <c r="E27" s="45">
        <f>D27/D5</f>
        <v>8.2540992649866515E-3</v>
      </c>
      <c r="F27" s="44">
        <v>729108.18</v>
      </c>
      <c r="G27" s="45">
        <f>F27/F5</f>
        <v>8.188389910472816E-3</v>
      </c>
      <c r="H27" s="44">
        <v>9144616.2100000009</v>
      </c>
      <c r="I27" s="45">
        <f>H27/H5</f>
        <v>1.2240814435136919E-2</v>
      </c>
      <c r="J27" s="44">
        <v>694983.3</v>
      </c>
      <c r="K27" s="45">
        <f>J27/J5</f>
        <v>1.2707809407893685E-2</v>
      </c>
      <c r="L27" s="44"/>
      <c r="M27" s="45" t="e">
        <f>L27/L5</f>
        <v>#DIV/0!</v>
      </c>
      <c r="N27" s="44"/>
      <c r="O27" s="45" t="e">
        <f>N27/N5</f>
        <v>#DIV/0!</v>
      </c>
      <c r="P27" s="44"/>
      <c r="Q27" s="45" t="e">
        <f>P27/P5</f>
        <v>#DIV/0!</v>
      </c>
      <c r="R27" s="45"/>
      <c r="S27" s="43"/>
      <c r="T27" s="3"/>
      <c r="U27" s="3"/>
      <c r="V27" s="3"/>
      <c r="W27" s="3"/>
      <c r="X27" s="3"/>
      <c r="Y27" s="3"/>
      <c r="Z27" s="3"/>
    </row>
    <row r="28" spans="1:26" ht="12.75" customHeight="1">
      <c r="A28" s="23">
        <f t="shared" si="1"/>
        <v>6</v>
      </c>
      <c r="B28" s="3"/>
      <c r="C28" s="3"/>
      <c r="D28" s="34"/>
      <c r="E28" s="35">
        <f>D28/D5</f>
        <v>0</v>
      </c>
      <c r="F28" s="34"/>
      <c r="G28" s="35">
        <f>F28/F5</f>
        <v>0</v>
      </c>
      <c r="H28" s="34"/>
      <c r="I28" s="35">
        <f>H28/H5</f>
        <v>0</v>
      </c>
      <c r="J28" s="34"/>
      <c r="K28" s="35">
        <f>J28/J5</f>
        <v>0</v>
      </c>
      <c r="L28" s="34"/>
      <c r="M28" s="35" t="e">
        <f>L28/L5</f>
        <v>#DIV/0!</v>
      </c>
      <c r="N28" s="34"/>
      <c r="O28" s="35" t="e">
        <f>N28/N5</f>
        <v>#DIV/0!</v>
      </c>
      <c r="P28" s="34"/>
      <c r="Q28" s="35" t="e">
        <f>P28/P5</f>
        <v>#DIV/0!</v>
      </c>
      <c r="R28" s="35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42">
        <f t="shared" si="1"/>
        <v>7</v>
      </c>
      <c r="B29" s="43"/>
      <c r="C29" s="43"/>
      <c r="D29" s="44"/>
      <c r="E29" s="45">
        <f>D29/D5</f>
        <v>0</v>
      </c>
      <c r="F29" s="44"/>
      <c r="G29" s="45">
        <f>F29/F5</f>
        <v>0</v>
      </c>
      <c r="H29" s="44"/>
      <c r="I29" s="45">
        <f>H29/H5</f>
        <v>0</v>
      </c>
      <c r="J29" s="44"/>
      <c r="K29" s="45">
        <f>J29/J5</f>
        <v>0</v>
      </c>
      <c r="L29" s="44"/>
      <c r="M29" s="45" t="e">
        <f>L29/L5</f>
        <v>#DIV/0!</v>
      </c>
      <c r="N29" s="44"/>
      <c r="O29" s="45" t="e">
        <f>N29/N5</f>
        <v>#DIV/0!</v>
      </c>
      <c r="P29" s="44"/>
      <c r="Q29" s="45" t="e">
        <f>P29/P5</f>
        <v>#DIV/0!</v>
      </c>
      <c r="R29" s="45"/>
      <c r="S29" s="43"/>
      <c r="T29" s="3"/>
      <c r="U29" s="3"/>
      <c r="V29" s="3"/>
      <c r="W29" s="3"/>
      <c r="X29" s="3"/>
      <c r="Y29" s="3"/>
      <c r="Z29" s="3"/>
    </row>
    <row r="30" spans="1:26" ht="12.75" customHeight="1">
      <c r="A30" s="23">
        <f t="shared" si="1"/>
        <v>8</v>
      </c>
      <c r="B30" s="3"/>
      <c r="C30" s="3"/>
      <c r="D30" s="34"/>
      <c r="E30" s="35">
        <f>D30/D5</f>
        <v>0</v>
      </c>
      <c r="F30" s="34"/>
      <c r="G30" s="35">
        <f>F30/F5</f>
        <v>0</v>
      </c>
      <c r="H30" s="34"/>
      <c r="I30" s="35">
        <f>H30/H5</f>
        <v>0</v>
      </c>
      <c r="J30" s="34"/>
      <c r="K30" s="35">
        <f>J30/J5</f>
        <v>0</v>
      </c>
      <c r="L30" s="34"/>
      <c r="M30" s="35" t="e">
        <f>L30/L5</f>
        <v>#DIV/0!</v>
      </c>
      <c r="N30" s="34"/>
      <c r="O30" s="35" t="e">
        <f>N30/N5</f>
        <v>#DIV/0!</v>
      </c>
      <c r="P30" s="34"/>
      <c r="Q30" s="35" t="e">
        <f>P30/P5</f>
        <v>#DIV/0!</v>
      </c>
      <c r="R30" s="35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42">
        <f t="shared" si="1"/>
        <v>9</v>
      </c>
      <c r="B31" s="43"/>
      <c r="C31" s="43"/>
      <c r="D31" s="44"/>
      <c r="E31" s="45">
        <f>D31/D5</f>
        <v>0</v>
      </c>
      <c r="F31" s="44"/>
      <c r="G31" s="45">
        <f>F31/F5</f>
        <v>0</v>
      </c>
      <c r="H31" s="44"/>
      <c r="I31" s="45">
        <f>H31/H5</f>
        <v>0</v>
      </c>
      <c r="J31" s="44"/>
      <c r="K31" s="45">
        <f>J31/J5</f>
        <v>0</v>
      </c>
      <c r="L31" s="44"/>
      <c r="M31" s="45" t="e">
        <f>L31/L5</f>
        <v>#DIV/0!</v>
      </c>
      <c r="N31" s="44"/>
      <c r="O31" s="45" t="e">
        <f>N31/N5</f>
        <v>#DIV/0!</v>
      </c>
      <c r="P31" s="44"/>
      <c r="Q31" s="45" t="e">
        <f>P31/P5</f>
        <v>#DIV/0!</v>
      </c>
      <c r="R31" s="45"/>
      <c r="S31" s="43"/>
      <c r="T31" s="3"/>
      <c r="U31" s="3"/>
      <c r="V31" s="3"/>
      <c r="W31" s="3"/>
      <c r="X31" s="3"/>
      <c r="Y31" s="3"/>
      <c r="Z31" s="3"/>
    </row>
    <row r="32" spans="1:26" ht="12.75" customHeight="1">
      <c r="A32" s="23">
        <f t="shared" si="1"/>
        <v>10</v>
      </c>
      <c r="B32" s="3"/>
      <c r="C32" s="3"/>
      <c r="D32" s="34"/>
      <c r="E32" s="35">
        <f>D32/D5</f>
        <v>0</v>
      </c>
      <c r="F32" s="34"/>
      <c r="G32" s="35">
        <f>F32/F5</f>
        <v>0</v>
      </c>
      <c r="H32" s="34"/>
      <c r="I32" s="35">
        <f>H32/H5</f>
        <v>0</v>
      </c>
      <c r="J32" s="34"/>
      <c r="K32" s="35">
        <f>J32/J5</f>
        <v>0</v>
      </c>
      <c r="L32" s="34"/>
      <c r="M32" s="35" t="e">
        <f>L32/L5</f>
        <v>#DIV/0!</v>
      </c>
      <c r="N32" s="34"/>
      <c r="O32" s="35" t="e">
        <f>N32/N5</f>
        <v>#DIV/0!</v>
      </c>
      <c r="P32" s="34"/>
      <c r="Q32" s="35" t="e">
        <f>P32/P5</f>
        <v>#DIV/0!</v>
      </c>
      <c r="R32" s="35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42">
        <f t="shared" si="1"/>
        <v>11</v>
      </c>
      <c r="B33" s="43"/>
      <c r="C33" s="43"/>
      <c r="D33" s="44"/>
      <c r="E33" s="45">
        <f>D33/D5</f>
        <v>0</v>
      </c>
      <c r="F33" s="44"/>
      <c r="G33" s="45">
        <f>F33/F5</f>
        <v>0</v>
      </c>
      <c r="H33" s="44"/>
      <c r="I33" s="45">
        <f>H33/H5</f>
        <v>0</v>
      </c>
      <c r="J33" s="44"/>
      <c r="K33" s="45">
        <f>J33/J5</f>
        <v>0</v>
      </c>
      <c r="L33" s="44"/>
      <c r="M33" s="45" t="e">
        <f>L33/L5</f>
        <v>#DIV/0!</v>
      </c>
      <c r="N33" s="44"/>
      <c r="O33" s="45" t="e">
        <f>N33/N5</f>
        <v>#DIV/0!</v>
      </c>
      <c r="P33" s="44"/>
      <c r="Q33" s="45" t="e">
        <f>P33/P5</f>
        <v>#DIV/0!</v>
      </c>
      <c r="R33" s="45"/>
      <c r="S33" s="43"/>
      <c r="T33" s="3"/>
      <c r="U33" s="3"/>
      <c r="V33" s="3"/>
      <c r="W33" s="3"/>
      <c r="X33" s="3"/>
      <c r="Y33" s="3"/>
      <c r="Z33" s="3"/>
    </row>
    <row r="34" spans="1:26" ht="12.75" customHeight="1">
      <c r="A34" s="23">
        <f t="shared" si="1"/>
        <v>12</v>
      </c>
      <c r="B34" s="3"/>
      <c r="C34" s="3"/>
      <c r="D34" s="34"/>
      <c r="E34" s="35">
        <f>D34/D5</f>
        <v>0</v>
      </c>
      <c r="F34" s="34"/>
      <c r="G34" s="35">
        <f>F34/F5</f>
        <v>0</v>
      </c>
      <c r="H34" s="34"/>
      <c r="I34" s="35">
        <f>H34/H5</f>
        <v>0</v>
      </c>
      <c r="J34" s="34"/>
      <c r="K34" s="35">
        <f>J34/J5</f>
        <v>0</v>
      </c>
      <c r="L34" s="34"/>
      <c r="M34" s="35" t="e">
        <f>L34/L5</f>
        <v>#DIV/0!</v>
      </c>
      <c r="N34" s="34"/>
      <c r="O34" s="35" t="e">
        <f>N34/N5</f>
        <v>#DIV/0!</v>
      </c>
      <c r="P34" s="34"/>
      <c r="Q34" s="35" t="e">
        <f>P34/P5</f>
        <v>#DIV/0!</v>
      </c>
      <c r="R34" s="35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42">
        <f t="shared" si="1"/>
        <v>13</v>
      </c>
      <c r="B35" s="43"/>
      <c r="C35" s="43"/>
      <c r="D35" s="44"/>
      <c r="E35" s="45">
        <f>D35/D5</f>
        <v>0</v>
      </c>
      <c r="F35" s="44"/>
      <c r="G35" s="45">
        <f>F35/F5</f>
        <v>0</v>
      </c>
      <c r="H35" s="44"/>
      <c r="I35" s="45">
        <f>H35/H5</f>
        <v>0</v>
      </c>
      <c r="J35" s="44"/>
      <c r="K35" s="45">
        <f>J35/J5</f>
        <v>0</v>
      </c>
      <c r="L35" s="44"/>
      <c r="M35" s="45" t="e">
        <f>L35/L5</f>
        <v>#DIV/0!</v>
      </c>
      <c r="N35" s="44"/>
      <c r="O35" s="45" t="e">
        <f>N35/N5</f>
        <v>#DIV/0!</v>
      </c>
      <c r="P35" s="44"/>
      <c r="Q35" s="45" t="e">
        <f>P35/P5</f>
        <v>#DIV/0!</v>
      </c>
      <c r="R35" s="45"/>
      <c r="S35" s="43"/>
      <c r="T35" s="3"/>
      <c r="U35" s="3"/>
      <c r="V35" s="3"/>
      <c r="W35" s="3"/>
      <c r="X35" s="3"/>
      <c r="Y35" s="3"/>
      <c r="Z35" s="3"/>
    </row>
    <row r="36" spans="1:26" ht="12.75" customHeight="1">
      <c r="A36" s="23">
        <f t="shared" si="1"/>
        <v>14</v>
      </c>
      <c r="B36" s="3"/>
      <c r="C36" s="3"/>
      <c r="D36" s="34"/>
      <c r="E36" s="35">
        <f>D36/D5</f>
        <v>0</v>
      </c>
      <c r="F36" s="34"/>
      <c r="G36" s="35">
        <f>F36/F5</f>
        <v>0</v>
      </c>
      <c r="H36" s="34"/>
      <c r="I36" s="35">
        <f>H36/H5</f>
        <v>0</v>
      </c>
      <c r="J36" s="34"/>
      <c r="K36" s="35">
        <f>J36/J5</f>
        <v>0</v>
      </c>
      <c r="L36" s="34"/>
      <c r="M36" s="35" t="e">
        <f>L36/L5</f>
        <v>#DIV/0!</v>
      </c>
      <c r="N36" s="34"/>
      <c r="O36" s="35" t="e">
        <f>N36/N5</f>
        <v>#DIV/0!</v>
      </c>
      <c r="P36" s="34"/>
      <c r="Q36" s="35" t="e">
        <f>P36/P5</f>
        <v>#DIV/0!</v>
      </c>
      <c r="R36" s="35"/>
      <c r="S36" s="3"/>
      <c r="T36" s="3"/>
      <c r="U36" s="3"/>
      <c r="V36" s="3"/>
      <c r="W36" s="3"/>
      <c r="X36" s="3"/>
      <c r="Y36" s="3"/>
      <c r="Z36" s="3"/>
    </row>
    <row r="37" spans="1:26" ht="3" customHeight="1">
      <c r="A37" s="47"/>
      <c r="B37" s="48"/>
      <c r="C37" s="48"/>
      <c r="D37" s="48"/>
      <c r="E37" s="49"/>
      <c r="F37" s="48"/>
      <c r="G37" s="49"/>
      <c r="H37" s="48"/>
      <c r="I37" s="49"/>
      <c r="J37" s="48"/>
      <c r="K37" s="49"/>
      <c r="L37" s="48"/>
      <c r="M37" s="49"/>
      <c r="N37" s="48"/>
      <c r="O37" s="49"/>
      <c r="P37" s="48"/>
      <c r="Q37" s="49"/>
      <c r="R37" s="48"/>
      <c r="S37" s="48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5"/>
      <c r="F38" s="3"/>
      <c r="G38" s="35"/>
      <c r="H38" s="3"/>
      <c r="I38" s="35"/>
      <c r="J38" s="3"/>
      <c r="K38" s="35"/>
      <c r="L38" s="3"/>
      <c r="M38" s="35"/>
      <c r="N38" s="3"/>
      <c r="O38" s="35"/>
      <c r="P38" s="3"/>
      <c r="Q38" s="35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">
    <mergeCell ref="N3:O3"/>
    <mergeCell ref="P3:Q3"/>
    <mergeCell ref="D2:E2"/>
    <mergeCell ref="F2:G2"/>
    <mergeCell ref="H2:I2"/>
    <mergeCell ref="J2:K2"/>
    <mergeCell ref="L2:M2"/>
    <mergeCell ref="N2:O2"/>
    <mergeCell ref="P2:Q2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" footer="0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1000"/>
  <sheetViews>
    <sheetView showGridLines="0" workbookViewId="0">
      <pane xSplit="3" ySplit="9" topLeftCell="D10" activePane="bottomRight" state="frozen"/>
      <selection pane="bottomRight" activeCell="D10" sqref="D10"/>
      <selection pane="bottomLeft" activeCell="A10" sqref="A10"/>
      <selection pane="topRight" activeCell="D1" sqref="D1"/>
    </sheetView>
  </sheetViews>
  <sheetFormatPr defaultColWidth="12.625" defaultRowHeight="15" customHeight="1"/>
  <cols>
    <col min="1" max="1" width="1.75" customWidth="1"/>
    <col min="2" max="2" width="1.375" customWidth="1"/>
    <col min="3" max="3" width="39.125" customWidth="1"/>
    <col min="4" max="4" width="14.875" customWidth="1"/>
    <col min="5" max="5" width="5.375" customWidth="1"/>
    <col min="6" max="6" width="13.875" customWidth="1"/>
    <col min="7" max="7" width="5.375" customWidth="1"/>
    <col min="8" max="8" width="13.875" customWidth="1"/>
    <col min="9" max="9" width="6.375" customWidth="1"/>
    <col min="10" max="10" width="13.875" customWidth="1"/>
    <col min="11" max="11" width="6.375" customWidth="1"/>
    <col min="12" max="12" width="13.875" customWidth="1"/>
    <col min="13" max="13" width="6.375" customWidth="1"/>
    <col min="14" max="14" width="13.875" customWidth="1"/>
    <col min="15" max="15" width="6.375" customWidth="1"/>
    <col min="16" max="16" width="13.875" customWidth="1"/>
    <col min="17" max="17" width="6.375" customWidth="1"/>
    <col min="18" max="18" width="13.875" customWidth="1"/>
    <col min="19" max="19" width="5.375" customWidth="1"/>
    <col min="20" max="20" width="13.875" customWidth="1"/>
    <col min="21" max="21" width="5.375" customWidth="1"/>
    <col min="22" max="22" width="13.875" customWidth="1"/>
    <col min="23" max="23" width="5.375" customWidth="1"/>
    <col min="24" max="24" width="0.625" customWidth="1"/>
    <col min="25" max="25" width="7.375" customWidth="1"/>
    <col min="26" max="26" width="8.625" customWidth="1"/>
  </cols>
  <sheetData>
    <row r="1" spans="1:26" ht="3" customHeight="1">
      <c r="A1" s="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24"/>
      <c r="B2" s="25"/>
      <c r="C2" s="26" t="s">
        <v>487</v>
      </c>
      <c r="D2" s="78" t="s">
        <v>488</v>
      </c>
      <c r="E2" s="79"/>
      <c r="F2" s="78" t="s">
        <v>489</v>
      </c>
      <c r="G2" s="79"/>
      <c r="H2" s="78" t="s">
        <v>496</v>
      </c>
      <c r="I2" s="79"/>
      <c r="J2" s="78" t="s">
        <v>497</v>
      </c>
      <c r="K2" s="79"/>
      <c r="L2" s="78" t="s">
        <v>506</v>
      </c>
      <c r="M2" s="79"/>
      <c r="N2" s="78" t="s">
        <v>507</v>
      </c>
      <c r="O2" s="79"/>
      <c r="P2" s="78" t="s">
        <v>508</v>
      </c>
      <c r="Q2" s="79"/>
      <c r="R2" s="78" t="s">
        <v>509</v>
      </c>
      <c r="S2" s="79"/>
      <c r="T2" s="78" t="s">
        <v>510</v>
      </c>
      <c r="U2" s="79"/>
      <c r="V2" s="78" t="s">
        <v>828</v>
      </c>
      <c r="W2" s="79"/>
      <c r="X2" s="25"/>
      <c r="Y2" s="25"/>
      <c r="Z2" s="3"/>
    </row>
    <row r="3" spans="1:26" ht="15" customHeight="1">
      <c r="A3" s="80"/>
      <c r="B3" s="81"/>
      <c r="C3" s="27">
        <v>44012</v>
      </c>
      <c r="D3" s="82" t="s">
        <v>829</v>
      </c>
      <c r="E3" s="83"/>
      <c r="F3" s="82" t="s">
        <v>830</v>
      </c>
      <c r="G3" s="83"/>
      <c r="H3" s="82" t="s">
        <v>831</v>
      </c>
      <c r="I3" s="83"/>
      <c r="J3" s="82" t="s">
        <v>832</v>
      </c>
      <c r="K3" s="83"/>
      <c r="L3" s="82" t="s">
        <v>833</v>
      </c>
      <c r="M3" s="83"/>
      <c r="N3" s="82" t="s">
        <v>834</v>
      </c>
      <c r="O3" s="83"/>
      <c r="P3" s="82" t="s">
        <v>835</v>
      </c>
      <c r="Q3" s="83"/>
      <c r="R3" s="82" t="s">
        <v>836</v>
      </c>
      <c r="S3" s="83"/>
      <c r="T3" s="82" t="s">
        <v>837</v>
      </c>
      <c r="U3" s="83"/>
      <c r="V3" s="82" t="s">
        <v>838</v>
      </c>
      <c r="W3" s="83"/>
      <c r="X3" s="84"/>
      <c r="Y3" s="85" t="s">
        <v>491</v>
      </c>
      <c r="Z3" s="3"/>
    </row>
    <row r="4" spans="1:26" ht="3" customHeight="1">
      <c r="A4" s="2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3"/>
      <c r="Z4" s="3"/>
    </row>
    <row r="5" spans="1:26" ht="12.75" customHeight="1">
      <c r="A5" s="29"/>
      <c r="B5" s="30" t="s">
        <v>492</v>
      </c>
      <c r="C5" s="30"/>
      <c r="D5" s="31">
        <f>484353*1000</f>
        <v>484353000</v>
      </c>
      <c r="E5" s="32">
        <f>D5/D5</f>
        <v>1</v>
      </c>
      <c r="F5" s="31">
        <f>5951758*1000</f>
        <v>5951758000</v>
      </c>
      <c r="G5" s="32">
        <f>F5/F5</f>
        <v>1</v>
      </c>
      <c r="H5" s="31">
        <f>5492682*1000</f>
        <v>5492682000</v>
      </c>
      <c r="I5" s="32">
        <f>H5/H5</f>
        <v>1</v>
      </c>
      <c r="J5" s="31">
        <f>1445186*1000</f>
        <v>1445186000</v>
      </c>
      <c r="K5" s="32">
        <f>J5/J5</f>
        <v>1</v>
      </c>
      <c r="L5" s="31">
        <f>4381396*1000</f>
        <v>4381396000</v>
      </c>
      <c r="M5" s="32">
        <f>L5/L5</f>
        <v>1</v>
      </c>
      <c r="N5" s="31">
        <f>1722587*1000</f>
        <v>1722587000</v>
      </c>
      <c r="O5" s="32">
        <f>N5/N5</f>
        <v>1</v>
      </c>
      <c r="P5" s="31">
        <f>1292946*1000</f>
        <v>1292946000</v>
      </c>
      <c r="Q5" s="32">
        <f>P5/P5</f>
        <v>1</v>
      </c>
      <c r="R5" s="31">
        <f>9738030*1000</f>
        <v>9738030000</v>
      </c>
      <c r="S5" s="32">
        <f>R5/R5</f>
        <v>1</v>
      </c>
      <c r="T5" s="31">
        <f>366465*1000</f>
        <v>366465000</v>
      </c>
      <c r="U5" s="32">
        <f>T5/T5</f>
        <v>1</v>
      </c>
      <c r="V5" s="31">
        <f>438182*1000</f>
        <v>438182000</v>
      </c>
      <c r="W5" s="32">
        <f>V5/V5</f>
        <v>1</v>
      </c>
      <c r="X5" s="32"/>
      <c r="Y5" s="33"/>
      <c r="Z5" s="3"/>
    </row>
    <row r="6" spans="1:26" ht="3" customHeight="1">
      <c r="A6" s="23"/>
      <c r="B6" s="3"/>
      <c r="C6" s="3"/>
      <c r="D6" s="34"/>
      <c r="E6" s="35"/>
      <c r="F6" s="34"/>
      <c r="G6" s="35"/>
      <c r="H6" s="34"/>
      <c r="I6" s="35"/>
      <c r="J6" s="34"/>
      <c r="K6" s="35"/>
      <c r="L6" s="34"/>
      <c r="M6" s="35"/>
      <c r="N6" s="34"/>
      <c r="O6" s="35"/>
      <c r="P6" s="34"/>
      <c r="Q6" s="35"/>
      <c r="R6" s="34"/>
      <c r="S6" s="35"/>
      <c r="T6" s="34"/>
      <c r="U6" s="35"/>
      <c r="V6" s="34"/>
      <c r="W6" s="35"/>
      <c r="X6" s="35"/>
      <c r="Y6" s="3"/>
      <c r="Z6" s="3"/>
    </row>
    <row r="7" spans="1:26" ht="12.75" customHeight="1">
      <c r="A7" s="29"/>
      <c r="B7" s="36" t="s">
        <v>493</v>
      </c>
      <c r="C7" s="36"/>
      <c r="D7" s="37">
        <f>SUM(D9,D21)</f>
        <v>8917000</v>
      </c>
      <c r="E7" s="38">
        <f>D7/D5</f>
        <v>1.8410126498648711E-2</v>
      </c>
      <c r="F7" s="37">
        <f>SUM(F9,F21)</f>
        <v>84237000</v>
      </c>
      <c r="G7" s="38">
        <f>F7/F5</f>
        <v>1.4153297227474639E-2</v>
      </c>
      <c r="H7" s="37">
        <f>SUM(H9,H21)</f>
        <v>80164000</v>
      </c>
      <c r="I7" s="38">
        <f>H7/H5</f>
        <v>1.4594691627878693E-2</v>
      </c>
      <c r="J7" s="37">
        <f>SUM(J9,J21)</f>
        <v>21721000</v>
      </c>
      <c r="K7" s="38">
        <f>J7/J5</f>
        <v>1.5029899265561664E-2</v>
      </c>
      <c r="L7" s="37">
        <f>SUM(L9,L21)</f>
        <v>81924000</v>
      </c>
      <c r="M7" s="38">
        <f>L7/L5</f>
        <v>1.8698150087323766E-2</v>
      </c>
      <c r="N7" s="37">
        <f>SUM(N9,N21)</f>
        <v>32508000</v>
      </c>
      <c r="O7" s="38">
        <f>N7/N5</f>
        <v>1.8871615773252672E-2</v>
      </c>
      <c r="P7" s="37">
        <f>SUM(P9,P21)</f>
        <v>24156000</v>
      </c>
      <c r="Q7" s="38">
        <f>P7/P5</f>
        <v>1.8682914831709908E-2</v>
      </c>
      <c r="R7" s="37">
        <f>SUM(R9,R21)</f>
        <v>93725000</v>
      </c>
      <c r="S7" s="38">
        <f>R7/R5</f>
        <v>9.6246366051449834E-3</v>
      </c>
      <c r="T7" s="37">
        <f>SUM(T9,T21)</f>
        <v>6772000</v>
      </c>
      <c r="U7" s="38">
        <f>T7/T5</f>
        <v>1.8479254499065394E-2</v>
      </c>
      <c r="V7" s="37">
        <f>SUM(V9,V21)</f>
        <v>8127000</v>
      </c>
      <c r="W7" s="38">
        <f>V7/V5</f>
        <v>1.8547087739797619E-2</v>
      </c>
      <c r="X7" s="38"/>
      <c r="Y7" s="32">
        <v>0.2</v>
      </c>
      <c r="Z7" s="3"/>
    </row>
    <row r="8" spans="1:26" ht="3" customHeight="1">
      <c r="A8" s="23"/>
      <c r="B8" s="3"/>
      <c r="C8" s="3"/>
      <c r="D8" s="34"/>
      <c r="E8" s="35"/>
      <c r="F8" s="34"/>
      <c r="G8" s="35"/>
      <c r="H8" s="34"/>
      <c r="I8" s="35"/>
      <c r="J8" s="34"/>
      <c r="K8" s="35"/>
      <c r="L8" s="34"/>
      <c r="M8" s="35"/>
      <c r="N8" s="34"/>
      <c r="O8" s="35"/>
      <c r="P8" s="34"/>
      <c r="Q8" s="35"/>
      <c r="R8" s="34"/>
      <c r="S8" s="35"/>
      <c r="T8" s="34"/>
      <c r="U8" s="35"/>
      <c r="V8" s="34"/>
      <c r="W8" s="35"/>
      <c r="X8" s="35"/>
      <c r="Y8" s="3"/>
      <c r="Z8" s="3"/>
    </row>
    <row r="9" spans="1:26" ht="12.75" customHeight="1">
      <c r="A9" s="29"/>
      <c r="B9" s="39" t="s">
        <v>494</v>
      </c>
      <c r="C9" s="39"/>
      <c r="D9" s="40">
        <f>SUM(D10:D19)</f>
        <v>0</v>
      </c>
      <c r="E9" s="41">
        <f>D9/D5</f>
        <v>0</v>
      </c>
      <c r="F9" s="40">
        <f>SUM(F10:F19)</f>
        <v>0</v>
      </c>
      <c r="G9" s="41">
        <f>F9/F5</f>
        <v>0</v>
      </c>
      <c r="H9" s="40">
        <f>SUM(H10:H19)</f>
        <v>0</v>
      </c>
      <c r="I9" s="41">
        <f>H9/H5</f>
        <v>0</v>
      </c>
      <c r="J9" s="40">
        <f>SUM(J10:J19)</f>
        <v>0</v>
      </c>
      <c r="K9" s="41">
        <f>J9/J5</f>
        <v>0</v>
      </c>
      <c r="L9" s="40">
        <f>SUM(L10:L19)</f>
        <v>0</v>
      </c>
      <c r="M9" s="41">
        <f>L9/L5</f>
        <v>0</v>
      </c>
      <c r="N9" s="40">
        <f>SUM(N10:N19)</f>
        <v>0</v>
      </c>
      <c r="O9" s="41">
        <f>N9/N5</f>
        <v>0</v>
      </c>
      <c r="P9" s="40">
        <f>SUM(P10:P19)</f>
        <v>0</v>
      </c>
      <c r="Q9" s="41">
        <f>P9/P5</f>
        <v>0</v>
      </c>
      <c r="R9" s="40">
        <f>SUM(R10:R19)</f>
        <v>0</v>
      </c>
      <c r="S9" s="41">
        <f>R9/R5</f>
        <v>0</v>
      </c>
      <c r="T9" s="40">
        <f>SUM(T10:T19)</f>
        <v>0</v>
      </c>
      <c r="U9" s="41">
        <f>T9/T5</f>
        <v>0</v>
      </c>
      <c r="V9" s="40">
        <f>SUM(V10:V19)</f>
        <v>0</v>
      </c>
      <c r="W9" s="41">
        <f>V9/V5</f>
        <v>0</v>
      </c>
      <c r="X9" s="41"/>
      <c r="Y9" s="32">
        <v>0.15</v>
      </c>
      <c r="Z9" s="3"/>
    </row>
    <row r="10" spans="1:26" ht="12.75" customHeight="1">
      <c r="A10" s="42">
        <v>1</v>
      </c>
      <c r="B10" s="43"/>
      <c r="C10" s="43"/>
      <c r="D10" s="44"/>
      <c r="E10" s="45">
        <f>D10/D5</f>
        <v>0</v>
      </c>
      <c r="F10" s="44"/>
      <c r="G10" s="45">
        <f>F10/F5</f>
        <v>0</v>
      </c>
      <c r="H10" s="44"/>
      <c r="I10" s="45">
        <f>H10/H5</f>
        <v>0</v>
      </c>
      <c r="J10" s="44"/>
      <c r="K10" s="45">
        <f>J10/J5</f>
        <v>0</v>
      </c>
      <c r="L10" s="44"/>
      <c r="M10" s="45">
        <f>L10/L5</f>
        <v>0</v>
      </c>
      <c r="N10" s="44"/>
      <c r="O10" s="45">
        <f>N10/N5</f>
        <v>0</v>
      </c>
      <c r="P10" s="44"/>
      <c r="Q10" s="45">
        <f>P10/P5</f>
        <v>0</v>
      </c>
      <c r="R10" s="44"/>
      <c r="S10" s="45">
        <f>R10/R5</f>
        <v>0</v>
      </c>
      <c r="T10" s="44"/>
      <c r="U10" s="45">
        <f>T10/T5</f>
        <v>0</v>
      </c>
      <c r="V10" s="44"/>
      <c r="W10" s="45">
        <f>V10/V5</f>
        <v>0</v>
      </c>
      <c r="X10" s="45"/>
      <c r="Y10" s="43"/>
      <c r="Z10" s="3"/>
    </row>
    <row r="11" spans="1:26" ht="12.75" customHeight="1">
      <c r="A11" s="23">
        <f t="shared" ref="A11:A19" si="0">A10+1</f>
        <v>2</v>
      </c>
      <c r="B11" s="3"/>
      <c r="C11" s="3"/>
      <c r="D11" s="34"/>
      <c r="E11" s="35">
        <f>D11/D5</f>
        <v>0</v>
      </c>
      <c r="F11" s="34"/>
      <c r="G11" s="35">
        <f>F11/F5</f>
        <v>0</v>
      </c>
      <c r="H11" s="34"/>
      <c r="I11" s="35">
        <f>H11/H5</f>
        <v>0</v>
      </c>
      <c r="J11" s="34"/>
      <c r="K11" s="35">
        <f>J11/J5</f>
        <v>0</v>
      </c>
      <c r="L11" s="34"/>
      <c r="M11" s="35">
        <f>L11/L5</f>
        <v>0</v>
      </c>
      <c r="N11" s="34"/>
      <c r="O11" s="35">
        <f>N11/N5</f>
        <v>0</v>
      </c>
      <c r="P11" s="34"/>
      <c r="Q11" s="35">
        <f>P11/P5</f>
        <v>0</v>
      </c>
      <c r="R11" s="34"/>
      <c r="S11" s="35">
        <f>R11/R5</f>
        <v>0</v>
      </c>
      <c r="T11" s="34"/>
      <c r="U11" s="35">
        <f>T11/T5</f>
        <v>0</v>
      </c>
      <c r="V11" s="34"/>
      <c r="W11" s="35">
        <f>V11/V5</f>
        <v>0</v>
      </c>
      <c r="X11" s="35"/>
      <c r="Y11" s="3"/>
      <c r="Z11" s="3"/>
    </row>
    <row r="12" spans="1:26" ht="12.75" customHeight="1">
      <c r="A12" s="42">
        <f t="shared" si="0"/>
        <v>3</v>
      </c>
      <c r="B12" s="43"/>
      <c r="C12" s="43"/>
      <c r="D12" s="44"/>
      <c r="E12" s="45">
        <f>D12/D5</f>
        <v>0</v>
      </c>
      <c r="F12" s="44"/>
      <c r="G12" s="45">
        <f>F12/F5</f>
        <v>0</v>
      </c>
      <c r="H12" s="44"/>
      <c r="I12" s="45">
        <f>H12/H5</f>
        <v>0</v>
      </c>
      <c r="J12" s="44"/>
      <c r="K12" s="45">
        <f>J12/J5</f>
        <v>0</v>
      </c>
      <c r="L12" s="44"/>
      <c r="M12" s="45">
        <f>L12/L5</f>
        <v>0</v>
      </c>
      <c r="N12" s="44"/>
      <c r="O12" s="45">
        <f>N12/N5</f>
        <v>0</v>
      </c>
      <c r="P12" s="44"/>
      <c r="Q12" s="45">
        <f>P12/P5</f>
        <v>0</v>
      </c>
      <c r="R12" s="44"/>
      <c r="S12" s="45">
        <f>R12/R5</f>
        <v>0</v>
      </c>
      <c r="T12" s="44"/>
      <c r="U12" s="45">
        <f>T12/T5</f>
        <v>0</v>
      </c>
      <c r="V12" s="44"/>
      <c r="W12" s="45">
        <f>V12/V5</f>
        <v>0</v>
      </c>
      <c r="X12" s="45"/>
      <c r="Y12" s="43"/>
      <c r="Z12" s="3"/>
    </row>
    <row r="13" spans="1:26" ht="12.75" customHeight="1">
      <c r="A13" s="23">
        <f t="shared" si="0"/>
        <v>4</v>
      </c>
      <c r="B13" s="3"/>
      <c r="C13" s="3"/>
      <c r="D13" s="34"/>
      <c r="E13" s="35">
        <f>D13/D5</f>
        <v>0</v>
      </c>
      <c r="F13" s="34"/>
      <c r="G13" s="35">
        <f>F13/F5</f>
        <v>0</v>
      </c>
      <c r="H13" s="34"/>
      <c r="I13" s="35">
        <f>H13/H5</f>
        <v>0</v>
      </c>
      <c r="J13" s="34"/>
      <c r="K13" s="35">
        <f>J13/J5</f>
        <v>0</v>
      </c>
      <c r="L13" s="34"/>
      <c r="M13" s="35">
        <f>L13/L5</f>
        <v>0</v>
      </c>
      <c r="N13" s="34"/>
      <c r="O13" s="35">
        <f>N13/N5</f>
        <v>0</v>
      </c>
      <c r="P13" s="34"/>
      <c r="Q13" s="35">
        <f>P13/P5</f>
        <v>0</v>
      </c>
      <c r="R13" s="34"/>
      <c r="S13" s="35">
        <f>R13/R5</f>
        <v>0</v>
      </c>
      <c r="T13" s="34"/>
      <c r="U13" s="35">
        <f>T13/T5</f>
        <v>0</v>
      </c>
      <c r="V13" s="34"/>
      <c r="W13" s="35">
        <f>V13/V5</f>
        <v>0</v>
      </c>
      <c r="X13" s="35"/>
      <c r="Y13" s="3"/>
      <c r="Z13" s="3"/>
    </row>
    <row r="14" spans="1:26" ht="12.75" customHeight="1">
      <c r="A14" s="42">
        <f t="shared" si="0"/>
        <v>5</v>
      </c>
      <c r="B14" s="43"/>
      <c r="C14" s="43"/>
      <c r="D14" s="44"/>
      <c r="E14" s="45">
        <f>D14/D5</f>
        <v>0</v>
      </c>
      <c r="F14" s="44"/>
      <c r="G14" s="45">
        <f>F14/F5</f>
        <v>0</v>
      </c>
      <c r="H14" s="44"/>
      <c r="I14" s="45">
        <f>H14/H5</f>
        <v>0</v>
      </c>
      <c r="J14" s="44"/>
      <c r="K14" s="45">
        <f>J14/J5</f>
        <v>0</v>
      </c>
      <c r="L14" s="44"/>
      <c r="M14" s="45">
        <f>L14/L5</f>
        <v>0</v>
      </c>
      <c r="N14" s="44"/>
      <c r="O14" s="45">
        <f>N14/N5</f>
        <v>0</v>
      </c>
      <c r="P14" s="44"/>
      <c r="Q14" s="45">
        <f>P14/P5</f>
        <v>0</v>
      </c>
      <c r="R14" s="44"/>
      <c r="S14" s="45">
        <f>R14/R5</f>
        <v>0</v>
      </c>
      <c r="T14" s="44"/>
      <c r="U14" s="45">
        <f>T14/T5</f>
        <v>0</v>
      </c>
      <c r="V14" s="44"/>
      <c r="W14" s="45">
        <f>V14/V5</f>
        <v>0</v>
      </c>
      <c r="X14" s="45"/>
      <c r="Y14" s="43"/>
      <c r="Z14" s="3"/>
    </row>
    <row r="15" spans="1:26" ht="12.75" customHeight="1">
      <c r="A15" s="23">
        <f t="shared" si="0"/>
        <v>6</v>
      </c>
      <c r="B15" s="3"/>
      <c r="C15" s="3"/>
      <c r="D15" s="34"/>
      <c r="E15" s="35">
        <f>D15/D5</f>
        <v>0</v>
      </c>
      <c r="F15" s="34"/>
      <c r="G15" s="35">
        <f>F15/F5</f>
        <v>0</v>
      </c>
      <c r="H15" s="34"/>
      <c r="I15" s="35">
        <f>H15/H5</f>
        <v>0</v>
      </c>
      <c r="J15" s="34"/>
      <c r="K15" s="35">
        <f>J15/J5</f>
        <v>0</v>
      </c>
      <c r="L15" s="34"/>
      <c r="M15" s="35">
        <f>L15/L5</f>
        <v>0</v>
      </c>
      <c r="N15" s="34"/>
      <c r="O15" s="35">
        <f>N15/N5</f>
        <v>0</v>
      </c>
      <c r="P15" s="34"/>
      <c r="Q15" s="35">
        <f>P15/P5</f>
        <v>0</v>
      </c>
      <c r="R15" s="34"/>
      <c r="S15" s="35">
        <f>R15/R5</f>
        <v>0</v>
      </c>
      <c r="T15" s="34"/>
      <c r="U15" s="35">
        <f>T15/T5</f>
        <v>0</v>
      </c>
      <c r="V15" s="34"/>
      <c r="W15" s="35">
        <f>V15/V5</f>
        <v>0</v>
      </c>
      <c r="X15" s="35"/>
      <c r="Y15" s="3"/>
      <c r="Z15" s="3"/>
    </row>
    <row r="16" spans="1:26" ht="12.75" customHeight="1">
      <c r="A16" s="42">
        <f t="shared" si="0"/>
        <v>7</v>
      </c>
      <c r="B16" s="43"/>
      <c r="C16" s="43"/>
      <c r="D16" s="44"/>
      <c r="E16" s="45">
        <f>D16/D5</f>
        <v>0</v>
      </c>
      <c r="F16" s="44"/>
      <c r="G16" s="45">
        <f>F16/F5</f>
        <v>0</v>
      </c>
      <c r="H16" s="44"/>
      <c r="I16" s="45">
        <f>H16/H5</f>
        <v>0</v>
      </c>
      <c r="J16" s="44"/>
      <c r="K16" s="45">
        <f>J16/J5</f>
        <v>0</v>
      </c>
      <c r="L16" s="44"/>
      <c r="M16" s="45">
        <f>L16/L5</f>
        <v>0</v>
      </c>
      <c r="N16" s="44"/>
      <c r="O16" s="45">
        <f>N16/N5</f>
        <v>0</v>
      </c>
      <c r="P16" s="44"/>
      <c r="Q16" s="45">
        <f>P16/P5</f>
        <v>0</v>
      </c>
      <c r="R16" s="44"/>
      <c r="S16" s="45">
        <f>R16/R5</f>
        <v>0</v>
      </c>
      <c r="T16" s="44"/>
      <c r="U16" s="45">
        <f>T16/T5</f>
        <v>0</v>
      </c>
      <c r="V16" s="44"/>
      <c r="W16" s="45">
        <f>V16/V5</f>
        <v>0</v>
      </c>
      <c r="X16" s="45"/>
      <c r="Y16" s="43"/>
      <c r="Z16" s="3"/>
    </row>
    <row r="17" spans="1:26" ht="12.75" customHeight="1">
      <c r="A17" s="23">
        <f t="shared" si="0"/>
        <v>8</v>
      </c>
      <c r="B17" s="3"/>
      <c r="C17" s="3"/>
      <c r="D17" s="34"/>
      <c r="E17" s="35">
        <f>D17/D5</f>
        <v>0</v>
      </c>
      <c r="F17" s="34"/>
      <c r="G17" s="35">
        <f>F17/F5</f>
        <v>0</v>
      </c>
      <c r="H17" s="34"/>
      <c r="I17" s="35">
        <f>H17/H5</f>
        <v>0</v>
      </c>
      <c r="J17" s="34"/>
      <c r="K17" s="35">
        <f>J17/J5</f>
        <v>0</v>
      </c>
      <c r="L17" s="34"/>
      <c r="M17" s="35">
        <f>L17/L5</f>
        <v>0</v>
      </c>
      <c r="N17" s="34"/>
      <c r="O17" s="35">
        <f>N17/N5</f>
        <v>0</v>
      </c>
      <c r="P17" s="34"/>
      <c r="Q17" s="35">
        <f>P17/P5</f>
        <v>0</v>
      </c>
      <c r="R17" s="34"/>
      <c r="S17" s="35">
        <f>R17/R5</f>
        <v>0</v>
      </c>
      <c r="T17" s="34"/>
      <c r="U17" s="35">
        <f>T17/T5</f>
        <v>0</v>
      </c>
      <c r="V17" s="34"/>
      <c r="W17" s="35">
        <f>V17/V5</f>
        <v>0</v>
      </c>
      <c r="X17" s="35"/>
      <c r="Y17" s="3"/>
      <c r="Z17" s="3"/>
    </row>
    <row r="18" spans="1:26" ht="12.75" customHeight="1">
      <c r="A18" s="42">
        <f t="shared" si="0"/>
        <v>9</v>
      </c>
      <c r="B18" s="43"/>
      <c r="C18" s="43"/>
      <c r="D18" s="44"/>
      <c r="E18" s="45">
        <f>D18/D5</f>
        <v>0</v>
      </c>
      <c r="F18" s="44"/>
      <c r="G18" s="45">
        <f>F18/F5</f>
        <v>0</v>
      </c>
      <c r="H18" s="44"/>
      <c r="I18" s="45">
        <f>H18/H5</f>
        <v>0</v>
      </c>
      <c r="J18" s="44"/>
      <c r="K18" s="45">
        <f>J18/J5</f>
        <v>0</v>
      </c>
      <c r="L18" s="44"/>
      <c r="M18" s="45">
        <f>L18/L5</f>
        <v>0</v>
      </c>
      <c r="N18" s="44"/>
      <c r="O18" s="45">
        <f>N18/N5</f>
        <v>0</v>
      </c>
      <c r="P18" s="44"/>
      <c r="Q18" s="45">
        <f>P18/P5</f>
        <v>0</v>
      </c>
      <c r="R18" s="44"/>
      <c r="S18" s="45">
        <f>R18/R5</f>
        <v>0</v>
      </c>
      <c r="T18" s="44"/>
      <c r="U18" s="45">
        <f>T18/T5</f>
        <v>0</v>
      </c>
      <c r="V18" s="44"/>
      <c r="W18" s="45">
        <f>V18/V5</f>
        <v>0</v>
      </c>
      <c r="X18" s="45"/>
      <c r="Y18" s="43"/>
      <c r="Z18" s="3"/>
    </row>
    <row r="19" spans="1:26" ht="12.75" customHeight="1">
      <c r="A19" s="23">
        <f t="shared" si="0"/>
        <v>10</v>
      </c>
      <c r="B19" s="3"/>
      <c r="C19" s="3"/>
      <c r="D19" s="34"/>
      <c r="E19" s="35">
        <f>D19/D5</f>
        <v>0</v>
      </c>
      <c r="F19" s="34"/>
      <c r="G19" s="35">
        <f>F19/F5</f>
        <v>0</v>
      </c>
      <c r="H19" s="34"/>
      <c r="I19" s="35">
        <f>H19/H5</f>
        <v>0</v>
      </c>
      <c r="J19" s="34"/>
      <c r="K19" s="35">
        <f>J19/J5</f>
        <v>0</v>
      </c>
      <c r="L19" s="34"/>
      <c r="M19" s="35">
        <f>L19/L5</f>
        <v>0</v>
      </c>
      <c r="N19" s="34"/>
      <c r="O19" s="35">
        <f>N19/N5</f>
        <v>0</v>
      </c>
      <c r="P19" s="34"/>
      <c r="Q19" s="35">
        <f>P19/P5</f>
        <v>0</v>
      </c>
      <c r="R19" s="34"/>
      <c r="S19" s="35">
        <f>R19/R5</f>
        <v>0</v>
      </c>
      <c r="T19" s="34"/>
      <c r="U19" s="35">
        <f>T19/T5</f>
        <v>0</v>
      </c>
      <c r="V19" s="34"/>
      <c r="W19" s="35">
        <f>V19/V5</f>
        <v>0</v>
      </c>
      <c r="X19" s="35"/>
      <c r="Y19" s="3"/>
      <c r="Z19" s="3"/>
    </row>
    <row r="20" spans="1:26" ht="3" customHeight="1">
      <c r="A20" s="23"/>
      <c r="B20" s="3"/>
      <c r="C20" s="3"/>
      <c r="D20" s="34"/>
      <c r="E20" s="35"/>
      <c r="F20" s="34"/>
      <c r="G20" s="35"/>
      <c r="H20" s="34"/>
      <c r="I20" s="35"/>
      <c r="J20" s="34"/>
      <c r="K20" s="35"/>
      <c r="L20" s="34"/>
      <c r="M20" s="35"/>
      <c r="N20" s="34"/>
      <c r="O20" s="35"/>
      <c r="P20" s="34"/>
      <c r="Q20" s="35"/>
      <c r="R20" s="34"/>
      <c r="S20" s="35"/>
      <c r="T20" s="34"/>
      <c r="U20" s="35"/>
      <c r="V20" s="34"/>
      <c r="W20" s="35"/>
      <c r="X20" s="35"/>
      <c r="Y20" s="46"/>
      <c r="Z20" s="3"/>
    </row>
    <row r="21" spans="1:26" ht="12.75" customHeight="1">
      <c r="A21" s="29"/>
      <c r="B21" s="39" t="s">
        <v>495</v>
      </c>
      <c r="C21" s="39"/>
      <c r="D21" s="40">
        <f>SUM(D22:D29)</f>
        <v>8917000</v>
      </c>
      <c r="E21" s="41">
        <f>D21/D5</f>
        <v>1.8410126498648711E-2</v>
      </c>
      <c r="F21" s="40">
        <f>SUM(F22:F29)</f>
        <v>84237000</v>
      </c>
      <c r="G21" s="41">
        <f>F21/F5</f>
        <v>1.4153297227474639E-2</v>
      </c>
      <c r="H21" s="40">
        <f>SUM(H22:H29)</f>
        <v>80164000</v>
      </c>
      <c r="I21" s="41">
        <f>H21/H5</f>
        <v>1.4594691627878693E-2</v>
      </c>
      <c r="J21" s="40">
        <f>SUM(J22:J29)</f>
        <v>21721000</v>
      </c>
      <c r="K21" s="41">
        <f>J21/J5</f>
        <v>1.5029899265561664E-2</v>
      </c>
      <c r="L21" s="40">
        <f>SUM(L22:L29)</f>
        <v>81924000</v>
      </c>
      <c r="M21" s="41">
        <f>L21/L5</f>
        <v>1.8698150087323766E-2</v>
      </c>
      <c r="N21" s="40">
        <f>SUM(N22:N29)</f>
        <v>32508000</v>
      </c>
      <c r="O21" s="41">
        <f>N21/N5</f>
        <v>1.8871615773252672E-2</v>
      </c>
      <c r="P21" s="40">
        <f>SUM(P22:P29)</f>
        <v>24156000</v>
      </c>
      <c r="Q21" s="41">
        <f>P21/P5</f>
        <v>1.8682914831709908E-2</v>
      </c>
      <c r="R21" s="40">
        <f>SUM(R22:R29)</f>
        <v>93725000</v>
      </c>
      <c r="S21" s="41">
        <f>R21/R5</f>
        <v>9.6246366051449834E-3</v>
      </c>
      <c r="T21" s="40">
        <f>SUM(T22:T29)</f>
        <v>6772000</v>
      </c>
      <c r="U21" s="41">
        <f>T21/T5</f>
        <v>1.8479254499065394E-2</v>
      </c>
      <c r="V21" s="40">
        <f>SUM(V22:V29)</f>
        <v>8127000</v>
      </c>
      <c r="W21" s="41">
        <f>V21/V5</f>
        <v>1.8547087739797619E-2</v>
      </c>
      <c r="X21" s="41"/>
      <c r="Y21" s="32">
        <v>0.15</v>
      </c>
      <c r="Z21" s="3"/>
    </row>
    <row r="22" spans="1:26" ht="12.75" customHeight="1">
      <c r="A22" s="42">
        <v>1</v>
      </c>
      <c r="B22" s="43"/>
      <c r="C22" s="43" t="s">
        <v>839</v>
      </c>
      <c r="D22" s="44">
        <f>1357*1000</f>
        <v>1357000</v>
      </c>
      <c r="E22" s="45">
        <f>D22/D5</f>
        <v>2.8016756373966923E-3</v>
      </c>
      <c r="F22" s="44">
        <f>12820*1000</f>
        <v>12820000</v>
      </c>
      <c r="G22" s="45">
        <f>F22/F5</f>
        <v>2.1539854274989002E-3</v>
      </c>
      <c r="H22" s="44">
        <f>12200*1000</f>
        <v>12200000</v>
      </c>
      <c r="I22" s="45">
        <f>H22/H5</f>
        <v>2.221137142110175E-3</v>
      </c>
      <c r="J22" s="44">
        <f>3306*1000</f>
        <v>3306000</v>
      </c>
      <c r="K22" s="45">
        <f>J22/J5</f>
        <v>2.2875948147850866E-3</v>
      </c>
      <c r="L22" s="44">
        <f>12468*1000</f>
        <v>12468000</v>
      </c>
      <c r="M22" s="45">
        <f>L22/L5</f>
        <v>2.8456683668858051E-3</v>
      </c>
      <c r="N22" s="44">
        <f>4947*1000</f>
        <v>4947000</v>
      </c>
      <c r="O22" s="45">
        <f>N22/N5</f>
        <v>2.8718433379562253E-3</v>
      </c>
      <c r="P22" s="44">
        <f>3676*1000</f>
        <v>3676000</v>
      </c>
      <c r="Q22" s="45">
        <f>P22/P5</f>
        <v>2.8431195115650614E-3</v>
      </c>
      <c r="R22" s="44">
        <f>14264*1000</f>
        <v>14264000</v>
      </c>
      <c r="S22" s="45">
        <f>R22/R5</f>
        <v>1.4647726490881626E-3</v>
      </c>
      <c r="T22" s="44">
        <f>1031*1000</f>
        <v>1031000</v>
      </c>
      <c r="U22" s="45">
        <f>T22/T5</f>
        <v>2.8133655328612555E-3</v>
      </c>
      <c r="V22" s="44">
        <f>1237*1000</f>
        <v>1237000</v>
      </c>
      <c r="W22" s="45">
        <f>V22/V5</f>
        <v>2.8230278742622929E-3</v>
      </c>
      <c r="X22" s="45"/>
      <c r="Y22" s="43"/>
      <c r="Z22" s="3"/>
    </row>
    <row r="23" spans="1:26" ht="12.75" customHeight="1">
      <c r="A23" s="23">
        <f t="shared" ref="A23:A31" si="1">A22+1</f>
        <v>2</v>
      </c>
      <c r="B23" s="3"/>
      <c r="C23" s="3" t="s">
        <v>840</v>
      </c>
      <c r="D23" s="34">
        <f>1825*1000</f>
        <v>1825000</v>
      </c>
      <c r="E23" s="35">
        <f>D23/D5</f>
        <v>3.7679130716646745E-3</v>
      </c>
      <c r="F23" s="34">
        <f>17245*1000</f>
        <v>17245000</v>
      </c>
      <c r="G23" s="35">
        <f>F23/F5</f>
        <v>2.8974632369125224E-3</v>
      </c>
      <c r="H23" s="34">
        <f>16411*1000</f>
        <v>16411000</v>
      </c>
      <c r="I23" s="35">
        <f>H23/H5</f>
        <v>2.9877935769811541E-3</v>
      </c>
      <c r="J23" s="34">
        <f>4447*1000</f>
        <v>4447000</v>
      </c>
      <c r="K23" s="35">
        <f>J23/J5</f>
        <v>3.0771125654414032E-3</v>
      </c>
      <c r="L23" s="34">
        <f>16772*1000</f>
        <v>16772000</v>
      </c>
      <c r="M23" s="35">
        <f>L23/L5</f>
        <v>3.8280036773667573E-3</v>
      </c>
      <c r="N23" s="34">
        <f>6655*1000</f>
        <v>6655000</v>
      </c>
      <c r="O23" s="35">
        <f>N23/N5</f>
        <v>3.8633752605819038E-3</v>
      </c>
      <c r="P23" s="34">
        <f>4945*1000</f>
        <v>4945000</v>
      </c>
      <c r="Q23" s="35">
        <f>P23/P5</f>
        <v>3.8245990165095833E-3</v>
      </c>
      <c r="R23" s="34">
        <f>19188*1000</f>
        <v>19188000</v>
      </c>
      <c r="S23" s="35">
        <f>R23/R5</f>
        <v>1.9704190683331227E-3</v>
      </c>
      <c r="T23" s="34">
        <f>1386*1000</f>
        <v>1386000</v>
      </c>
      <c r="U23" s="35">
        <f>T23/T5</f>
        <v>3.7820801440792435E-3</v>
      </c>
      <c r="V23" s="34">
        <f>1664*1000</f>
        <v>1664000</v>
      </c>
      <c r="W23" s="35">
        <f>V23/V5</f>
        <v>3.7975087977141918E-3</v>
      </c>
      <c r="X23" s="35"/>
      <c r="Y23" s="3"/>
      <c r="Z23" s="3"/>
    </row>
    <row r="24" spans="1:26" ht="12.75" customHeight="1">
      <c r="A24" s="42">
        <f t="shared" si="1"/>
        <v>3</v>
      </c>
      <c r="B24" s="43"/>
      <c r="C24" s="43" t="s">
        <v>841</v>
      </c>
      <c r="D24" s="44">
        <f>1491*1000</f>
        <v>1491000</v>
      </c>
      <c r="E24" s="45">
        <f>D24/D5</f>
        <v>3.0783333643024818E-3</v>
      </c>
      <c r="F24" s="44">
        <f>14084*1000</f>
        <v>14084000</v>
      </c>
      <c r="G24" s="45">
        <f>F24/F5</f>
        <v>2.3663596537359215E-3</v>
      </c>
      <c r="H24" s="44">
        <f>13403*1000</f>
        <v>13403000</v>
      </c>
      <c r="I24" s="45">
        <f>H24/H5</f>
        <v>2.4401558291559568E-3</v>
      </c>
      <c r="J24" s="44">
        <f>3632*1000</f>
        <v>3632000</v>
      </c>
      <c r="K24" s="45">
        <f>J24/J5</f>
        <v>2.5131713149726055E-3</v>
      </c>
      <c r="L24" s="44">
        <f>13697*1000</f>
        <v>13697000</v>
      </c>
      <c r="M24" s="45">
        <f>L24/L5</f>
        <v>3.1261725714817833E-3</v>
      </c>
      <c r="N24" s="44">
        <f>5435*1000</f>
        <v>5435000</v>
      </c>
      <c r="O24" s="45">
        <f>N24/N5</f>
        <v>3.1551381729921332E-3</v>
      </c>
      <c r="P24" s="44">
        <f>4039*1000</f>
        <v>4039000</v>
      </c>
      <c r="Q24" s="45">
        <f>P24/P5</f>
        <v>3.1238736961945821E-3</v>
      </c>
      <c r="R24" s="44">
        <f>15670*1000</f>
        <v>15670000</v>
      </c>
      <c r="S24" s="45">
        <f>R24/R5</f>
        <v>1.6091550344371501E-3</v>
      </c>
      <c r="T24" s="44">
        <f>1132*1000</f>
        <v>1132000</v>
      </c>
      <c r="U24" s="45">
        <f>T24/T5</f>
        <v>3.0889716616866549E-3</v>
      </c>
      <c r="V24" s="44">
        <f>1359*1000</f>
        <v>1359000</v>
      </c>
      <c r="W24" s="45">
        <f>V24/V5</f>
        <v>3.1014509952485498E-3</v>
      </c>
      <c r="X24" s="45"/>
      <c r="Y24" s="43"/>
      <c r="Z24" s="3"/>
    </row>
    <row r="25" spans="1:26" ht="12.75" customHeight="1">
      <c r="A25" s="23">
        <f t="shared" si="1"/>
        <v>4</v>
      </c>
      <c r="B25" s="3"/>
      <c r="C25" s="3" t="s">
        <v>403</v>
      </c>
      <c r="D25" s="34">
        <f>2015*1000</f>
        <v>2015000</v>
      </c>
      <c r="E25" s="35">
        <f>D25/D5</f>
        <v>4.160188953098257E-3</v>
      </c>
      <c r="F25" s="34">
        <f>19034*1000</f>
        <v>19034000</v>
      </c>
      <c r="G25" s="35">
        <f>F25/F5</f>
        <v>3.1980466947748882E-3</v>
      </c>
      <c r="H25" s="34">
        <f>18114*1000</f>
        <v>18114000</v>
      </c>
      <c r="I25" s="35">
        <f>H25/H5</f>
        <v>3.2978424747691563E-3</v>
      </c>
      <c r="J25" s="34">
        <f>4908*1000</f>
        <v>4908000</v>
      </c>
      <c r="K25" s="35">
        <f>J25/J5</f>
        <v>3.3961026469949197E-3</v>
      </c>
      <c r="L25" s="34">
        <f>18512*1000</f>
        <v>18512000</v>
      </c>
      <c r="M25" s="35">
        <f>L25/L5</f>
        <v>4.225137376306547E-3</v>
      </c>
      <c r="N25" s="34">
        <f>7346*1000</f>
        <v>7346000</v>
      </c>
      <c r="O25" s="35">
        <f>N25/N5</f>
        <v>4.2645161028151265E-3</v>
      </c>
      <c r="P25" s="34">
        <f>5459*1000</f>
        <v>5459000</v>
      </c>
      <c r="Q25" s="35">
        <f>P25/P5</f>
        <v>4.2221407545249374E-3</v>
      </c>
      <c r="R25" s="34">
        <f>21178*1000</f>
        <v>21178000</v>
      </c>
      <c r="S25" s="35">
        <f>R25/R5</f>
        <v>2.1747725155909356E-3</v>
      </c>
      <c r="T25" s="34">
        <f>1530*1000</f>
        <v>1530000</v>
      </c>
      <c r="U25" s="35">
        <f>T25/T5</f>
        <v>4.1750235356718922E-3</v>
      </c>
      <c r="V25" s="34">
        <f>1836*1000</f>
        <v>1836000</v>
      </c>
      <c r="W25" s="35">
        <f>V25/V5</f>
        <v>4.1900397551702263E-3</v>
      </c>
      <c r="X25" s="35"/>
      <c r="Y25" s="3"/>
      <c r="Z25" s="3"/>
    </row>
    <row r="26" spans="1:26" ht="12.75" customHeight="1">
      <c r="A26" s="42">
        <f t="shared" si="1"/>
        <v>5</v>
      </c>
      <c r="B26" s="43"/>
      <c r="C26" s="43" t="s">
        <v>842</v>
      </c>
      <c r="D26" s="44">
        <f>1230*1000</f>
        <v>1230000</v>
      </c>
      <c r="E26" s="45">
        <f>D26/D5</f>
        <v>2.5394701798068763E-3</v>
      </c>
      <c r="F26" s="44">
        <f>11617*1000</f>
        <v>11617000</v>
      </c>
      <c r="G26" s="45">
        <f>F26/F5</f>
        <v>1.9518602738888241E-3</v>
      </c>
      <c r="H26" s="44">
        <f>11055*1000</f>
        <v>11055000</v>
      </c>
      <c r="I26" s="45">
        <f>H26/H5</f>
        <v>2.0126779595104906E-3</v>
      </c>
      <c r="J26" s="44">
        <f>2995*1000</f>
        <v>2995000</v>
      </c>
      <c r="K26" s="45">
        <f>J26/J5</f>
        <v>2.0723976014160113E-3</v>
      </c>
      <c r="L26" s="44">
        <f>11297*1000</f>
        <v>11297000</v>
      </c>
      <c r="M26" s="45">
        <f>L26/L5</f>
        <v>2.5784019522544868E-3</v>
      </c>
      <c r="N26" s="44">
        <f>4483*1000</f>
        <v>4483000</v>
      </c>
      <c r="O26" s="45">
        <f>N26/N5</f>
        <v>2.6024810357909356E-3</v>
      </c>
      <c r="P26" s="44">
        <f>3331*1000</f>
        <v>3331000</v>
      </c>
      <c r="Q26" s="45">
        <f>P26/P5</f>
        <v>2.5762870220411372E-3</v>
      </c>
      <c r="R26" s="44">
        <f>12925*1000</f>
        <v>12925000</v>
      </c>
      <c r="S26" s="45">
        <f>R26/R5</f>
        <v>1.3272705054307699E-3</v>
      </c>
      <c r="T26" s="44">
        <f>934*1000</f>
        <v>934000</v>
      </c>
      <c r="U26" s="45">
        <f>T26/T5</f>
        <v>2.5486744982467632E-3</v>
      </c>
      <c r="V26" s="44">
        <f>1121*1000</f>
        <v>1121000</v>
      </c>
      <c r="W26" s="45">
        <f>V26/V5</f>
        <v>2.5582976936524091E-3</v>
      </c>
      <c r="X26" s="45"/>
      <c r="Y26" s="43"/>
      <c r="Z26" s="3"/>
    </row>
    <row r="27" spans="1:26" ht="12.75" customHeight="1">
      <c r="A27" s="23">
        <f t="shared" si="1"/>
        <v>6</v>
      </c>
      <c r="B27" s="3"/>
      <c r="C27" s="3" t="s">
        <v>843</v>
      </c>
      <c r="D27" s="34">
        <f>999*1000</f>
        <v>999000</v>
      </c>
      <c r="E27" s="35">
        <f>D27/D5</f>
        <v>2.0625452923797314E-3</v>
      </c>
      <c r="F27" s="34">
        <f>9437*1000</f>
        <v>9437000</v>
      </c>
      <c r="G27" s="35">
        <f>F27/F5</f>
        <v>1.5855819406635822E-3</v>
      </c>
      <c r="H27" s="34">
        <f>8981*1000</f>
        <v>8981000</v>
      </c>
      <c r="I27" s="35">
        <f>H27/H5</f>
        <v>1.6350846453517607E-3</v>
      </c>
      <c r="J27" s="34">
        <f>2433*1000</f>
        <v>2433000</v>
      </c>
      <c r="K27" s="35">
        <f>J27/J5</f>
        <v>1.6835203219516381E-3</v>
      </c>
      <c r="L27" s="34">
        <f>9178*1000</f>
        <v>9178000</v>
      </c>
      <c r="M27" s="35">
        <f>L27/L5</f>
        <v>2.0947661430283865E-3</v>
      </c>
      <c r="N27" s="34">
        <f>3642*1000</f>
        <v>3642000</v>
      </c>
      <c r="O27" s="35">
        <f>N27/N5</f>
        <v>2.1142618631163476E-3</v>
      </c>
      <c r="P27" s="34">
        <f>2706*1000</f>
        <v>2706000</v>
      </c>
      <c r="Q27" s="35">
        <f>P27/P5</f>
        <v>2.0928948308746075E-3</v>
      </c>
      <c r="R27" s="34">
        <f>10500*1000</f>
        <v>10500000</v>
      </c>
      <c r="S27" s="35">
        <f>R27/R5</f>
        <v>1.078246832264842E-3</v>
      </c>
      <c r="T27" s="34">
        <f>759*1000</f>
        <v>759000</v>
      </c>
      <c r="U27" s="35">
        <f>T27/T5</f>
        <v>2.0711391265195857E-3</v>
      </c>
      <c r="V27" s="34">
        <f>910*1000</f>
        <v>910000</v>
      </c>
      <c r="W27" s="35">
        <f>V27/V5</f>
        <v>2.0767626237499486E-3</v>
      </c>
      <c r="X27" s="35"/>
      <c r="Y27" s="3"/>
      <c r="Z27" s="3"/>
    </row>
    <row r="28" spans="1:26" ht="12.75" customHeight="1">
      <c r="A28" s="42">
        <f t="shared" si="1"/>
        <v>7</v>
      </c>
      <c r="B28" s="43"/>
      <c r="C28" s="43"/>
      <c r="D28" s="44"/>
      <c r="E28" s="45">
        <f>D28/D5</f>
        <v>0</v>
      </c>
      <c r="F28" s="44"/>
      <c r="G28" s="45">
        <f>F28/F5</f>
        <v>0</v>
      </c>
      <c r="H28" s="44"/>
      <c r="I28" s="45">
        <f>H28/H5</f>
        <v>0</v>
      </c>
      <c r="J28" s="44"/>
      <c r="K28" s="45">
        <f>J28/J5</f>
        <v>0</v>
      </c>
      <c r="L28" s="44"/>
      <c r="M28" s="45">
        <f>L28/L5</f>
        <v>0</v>
      </c>
      <c r="N28" s="44"/>
      <c r="O28" s="45">
        <f>N28/N5</f>
        <v>0</v>
      </c>
      <c r="P28" s="44"/>
      <c r="Q28" s="45">
        <f>P28/P5</f>
        <v>0</v>
      </c>
      <c r="R28" s="44"/>
      <c r="S28" s="45">
        <f>R28/R5</f>
        <v>0</v>
      </c>
      <c r="T28" s="44"/>
      <c r="U28" s="45">
        <f>T28/T5</f>
        <v>0</v>
      </c>
      <c r="V28" s="44"/>
      <c r="W28" s="45">
        <f>V28/V5</f>
        <v>0</v>
      </c>
      <c r="X28" s="45"/>
      <c r="Y28" s="43"/>
      <c r="Z28" s="3"/>
    </row>
    <row r="29" spans="1:26" ht="12.75" customHeight="1">
      <c r="A29" s="23">
        <f t="shared" si="1"/>
        <v>8</v>
      </c>
      <c r="B29" s="3"/>
      <c r="C29" s="3"/>
      <c r="D29" s="34"/>
      <c r="E29" s="35">
        <f>D29/D5</f>
        <v>0</v>
      </c>
      <c r="F29" s="34"/>
      <c r="G29" s="35">
        <f>F29/F5</f>
        <v>0</v>
      </c>
      <c r="H29" s="34"/>
      <c r="I29" s="35">
        <f>H29/H5</f>
        <v>0</v>
      </c>
      <c r="J29" s="34"/>
      <c r="K29" s="35">
        <f>J29/J5</f>
        <v>0</v>
      </c>
      <c r="L29" s="34"/>
      <c r="M29" s="35">
        <f>L29/L5</f>
        <v>0</v>
      </c>
      <c r="N29" s="34"/>
      <c r="O29" s="35">
        <f>N29/N5</f>
        <v>0</v>
      </c>
      <c r="P29" s="34"/>
      <c r="Q29" s="35">
        <f>P29/P5</f>
        <v>0</v>
      </c>
      <c r="R29" s="34"/>
      <c r="S29" s="35">
        <f>R29/R5</f>
        <v>0</v>
      </c>
      <c r="T29" s="34"/>
      <c r="U29" s="35">
        <f>T29/T5</f>
        <v>0</v>
      </c>
      <c r="V29" s="34"/>
      <c r="W29" s="35">
        <f>V29/V5</f>
        <v>0</v>
      </c>
      <c r="X29" s="35"/>
      <c r="Y29" s="3"/>
      <c r="Z29" s="3"/>
    </row>
    <row r="30" spans="1:26" ht="12.75" customHeight="1">
      <c r="A30" s="42">
        <f t="shared" si="1"/>
        <v>9</v>
      </c>
      <c r="B30" s="43"/>
      <c r="C30" s="43"/>
      <c r="D30" s="44"/>
      <c r="E30" s="45">
        <f>D30/D5</f>
        <v>0</v>
      </c>
      <c r="F30" s="44"/>
      <c r="G30" s="45">
        <f>F30/F5</f>
        <v>0</v>
      </c>
      <c r="H30" s="44"/>
      <c r="I30" s="45">
        <f>H30/H5</f>
        <v>0</v>
      </c>
      <c r="J30" s="44"/>
      <c r="K30" s="45">
        <f>J30/J5</f>
        <v>0</v>
      </c>
      <c r="L30" s="44"/>
      <c r="M30" s="45">
        <f>L30/L5</f>
        <v>0</v>
      </c>
      <c r="N30" s="44"/>
      <c r="O30" s="45">
        <f>N30/N5</f>
        <v>0</v>
      </c>
      <c r="P30" s="44"/>
      <c r="Q30" s="45">
        <f>P30/P5</f>
        <v>0</v>
      </c>
      <c r="R30" s="44"/>
      <c r="S30" s="45">
        <f>R30/R5</f>
        <v>0</v>
      </c>
      <c r="T30" s="44"/>
      <c r="U30" s="45">
        <f>T30/T5</f>
        <v>0</v>
      </c>
      <c r="V30" s="44"/>
      <c r="W30" s="45">
        <f>V30/V5</f>
        <v>0</v>
      </c>
      <c r="X30" s="45"/>
      <c r="Y30" s="43"/>
      <c r="Z30" s="3"/>
    </row>
    <row r="31" spans="1:26" ht="12.75" customHeight="1">
      <c r="A31" s="23">
        <f t="shared" si="1"/>
        <v>10</v>
      </c>
      <c r="B31" s="3"/>
      <c r="C31" s="3"/>
      <c r="D31" s="34"/>
      <c r="E31" s="35">
        <f>D31/D5</f>
        <v>0</v>
      </c>
      <c r="F31" s="34"/>
      <c r="G31" s="35">
        <f>F31/F5</f>
        <v>0</v>
      </c>
      <c r="H31" s="34"/>
      <c r="I31" s="35">
        <f>H31/H5</f>
        <v>0</v>
      </c>
      <c r="J31" s="34"/>
      <c r="K31" s="35">
        <f>J31/J5</f>
        <v>0</v>
      </c>
      <c r="L31" s="34"/>
      <c r="M31" s="35">
        <f>L31/L5</f>
        <v>0</v>
      </c>
      <c r="N31" s="34"/>
      <c r="O31" s="35">
        <f>N31/N5</f>
        <v>0</v>
      </c>
      <c r="P31" s="34"/>
      <c r="Q31" s="35">
        <f>P31/P5</f>
        <v>0</v>
      </c>
      <c r="R31" s="34"/>
      <c r="S31" s="35">
        <f>R31/R5</f>
        <v>0</v>
      </c>
      <c r="T31" s="34"/>
      <c r="U31" s="35">
        <f>T31/T5</f>
        <v>0</v>
      </c>
      <c r="V31" s="34"/>
      <c r="W31" s="35">
        <f>V31/V5</f>
        <v>0</v>
      </c>
      <c r="X31" s="35"/>
      <c r="Y31" s="3"/>
      <c r="Z31" s="3"/>
    </row>
    <row r="32" spans="1:26" ht="3" customHeight="1">
      <c r="A32" s="47"/>
      <c r="B32" s="48"/>
      <c r="C32" s="48"/>
      <c r="D32" s="48"/>
      <c r="E32" s="49"/>
      <c r="F32" s="48"/>
      <c r="G32" s="49"/>
      <c r="H32" s="48"/>
      <c r="I32" s="49"/>
      <c r="J32" s="48"/>
      <c r="K32" s="49"/>
      <c r="L32" s="48"/>
      <c r="M32" s="49"/>
      <c r="N32" s="48"/>
      <c r="O32" s="49"/>
      <c r="P32" s="48"/>
      <c r="Q32" s="49"/>
      <c r="R32" s="48"/>
      <c r="S32" s="48"/>
      <c r="T32" s="48"/>
      <c r="U32" s="48"/>
      <c r="V32" s="48"/>
      <c r="W32" s="48"/>
      <c r="X32" s="48"/>
      <c r="Y32" s="48"/>
      <c r="Z32" s="3"/>
    </row>
    <row r="33" spans="1:26" ht="12.75" customHeight="1">
      <c r="A33" s="23"/>
      <c r="B33" s="3"/>
      <c r="C33" s="3"/>
      <c r="D33" s="3"/>
      <c r="E33" s="35"/>
      <c r="F33" s="3"/>
      <c r="G33" s="35"/>
      <c r="H33" s="3"/>
      <c r="I33" s="35"/>
      <c r="J33" s="3"/>
      <c r="K33" s="35"/>
      <c r="L33" s="3"/>
      <c r="M33" s="35"/>
      <c r="N33" s="3"/>
      <c r="O33" s="35"/>
      <c r="P33" s="3"/>
      <c r="Q33" s="35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2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2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2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2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2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2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2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2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2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2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2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2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2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2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2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2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2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2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2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2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2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2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2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2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2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2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2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2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2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2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2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2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2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2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2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2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2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2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2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2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2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2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2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2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2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2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2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2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2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2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2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2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2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2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2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2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2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2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2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2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2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2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2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2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2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2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2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2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2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2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2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2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2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2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2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2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2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2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2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2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2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2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2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2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2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2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2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2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2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2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2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2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2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2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2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2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2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2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2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2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2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2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2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2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2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2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2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2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2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2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2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2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2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2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2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2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2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2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2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2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2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2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2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2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2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2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2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2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2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2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2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2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2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2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2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2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2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2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2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2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2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2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2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2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2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2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2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2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2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2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2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2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2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2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2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2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2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2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2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2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2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2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2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2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2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2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2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2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2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2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2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2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2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2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2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2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2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2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2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2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2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2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2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2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2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2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2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2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2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2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2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2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2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2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2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2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2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2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2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2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2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2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2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2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2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2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2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2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2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2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2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2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2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2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2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2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2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2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2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2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2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2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2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2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2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2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2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2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2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2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2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2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2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2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2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2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2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2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2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2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2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2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2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2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2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2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2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2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2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2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2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2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2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2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2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2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2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2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2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2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2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2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2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2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2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2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2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2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2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2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2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2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2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2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2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2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2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2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2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2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2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2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2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2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0">
    <mergeCell ref="R3:S3"/>
    <mergeCell ref="T3:U3"/>
    <mergeCell ref="V3:W3"/>
    <mergeCell ref="D3:E3"/>
    <mergeCell ref="F3:G3"/>
    <mergeCell ref="H3:I3"/>
    <mergeCell ref="J3:K3"/>
    <mergeCell ref="L3:M3"/>
    <mergeCell ref="N3:O3"/>
    <mergeCell ref="P3:Q3"/>
    <mergeCell ref="R2:S2"/>
    <mergeCell ref="T2:U2"/>
    <mergeCell ref="V2:W2"/>
    <mergeCell ref="D2:E2"/>
    <mergeCell ref="F2:G2"/>
    <mergeCell ref="H2:I2"/>
    <mergeCell ref="J2:K2"/>
    <mergeCell ref="L2:M2"/>
    <mergeCell ref="N2:O2"/>
    <mergeCell ref="P2:Q2"/>
  </mergeCells>
  <pageMargins left="0.511811024" right="0.511811024" top="0.78740157499999996" bottom="0.78740157499999996" header="0" footer="0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1000"/>
  <sheetViews>
    <sheetView workbookViewId="0"/>
  </sheetViews>
  <sheetFormatPr defaultColWidth="12.625" defaultRowHeight="15" customHeight="1"/>
  <cols>
    <col min="1" max="26" width="8.625" customWidth="1"/>
  </cols>
  <sheetData>
    <row r="1" spans="1:3" ht="13.5" customHeight="1">
      <c r="A1" s="26" t="s">
        <v>487</v>
      </c>
      <c r="B1" s="78" t="s">
        <v>488</v>
      </c>
      <c r="C1" s="79"/>
    </row>
    <row r="2" spans="1:3" ht="13.5" customHeight="1">
      <c r="A2" s="27">
        <v>44073</v>
      </c>
      <c r="B2" s="82"/>
      <c r="C2" s="83"/>
    </row>
    <row r="3" spans="1:3" ht="13.5" customHeight="1">
      <c r="A3" s="3" t="s">
        <v>503</v>
      </c>
      <c r="B3" s="50"/>
      <c r="C3" s="51">
        <v>1</v>
      </c>
    </row>
    <row r="4" spans="1:3" ht="13.5" customHeight="1">
      <c r="A4" s="30" t="s">
        <v>493</v>
      </c>
      <c r="B4" s="31"/>
      <c r="C4" s="32"/>
    </row>
    <row r="5" spans="1:3" ht="13.5" customHeight="1">
      <c r="A5" s="3" t="s">
        <v>494</v>
      </c>
      <c r="B5" s="34"/>
      <c r="C5" s="35"/>
    </row>
    <row r="6" spans="1:3" ht="13.5" customHeight="1">
      <c r="A6" s="45"/>
      <c r="B6" s="44"/>
      <c r="C6" s="45"/>
    </row>
    <row r="7" spans="1:3" ht="13.5" customHeight="1">
      <c r="A7" s="34"/>
      <c r="B7" s="34"/>
      <c r="C7" s="35"/>
    </row>
    <row r="8" spans="1:3" ht="13.5" customHeight="1">
      <c r="A8" s="45"/>
      <c r="B8" s="44"/>
      <c r="C8" s="45"/>
    </row>
    <row r="9" spans="1:3" ht="13.5" customHeight="1">
      <c r="A9" s="34"/>
      <c r="B9" s="34"/>
      <c r="C9" s="35"/>
    </row>
    <row r="10" spans="1:3" ht="13.5" customHeight="1">
      <c r="A10" s="45"/>
      <c r="B10" s="44"/>
      <c r="C10" s="45"/>
    </row>
    <row r="11" spans="1:3" ht="13.5" customHeight="1">
      <c r="A11" s="34"/>
      <c r="B11" s="34"/>
      <c r="C11" s="35"/>
    </row>
    <row r="12" spans="1:3" ht="13.5" customHeight="1">
      <c r="A12" s="45"/>
      <c r="B12" s="44"/>
      <c r="C12" s="45"/>
    </row>
    <row r="13" spans="1:3" ht="13.5" customHeight="1">
      <c r="A13" s="34"/>
      <c r="B13" s="34"/>
      <c r="C13" s="35"/>
    </row>
    <row r="14" spans="1:3" ht="13.5" customHeight="1">
      <c r="A14" s="44"/>
      <c r="B14" s="44"/>
      <c r="C14" s="45"/>
    </row>
    <row r="15" spans="1:3" ht="13.5" customHeight="1">
      <c r="A15" s="3"/>
      <c r="B15" s="34"/>
      <c r="C15" s="35"/>
    </row>
    <row r="16" spans="1:3" ht="13.5" customHeight="1">
      <c r="A16" s="3"/>
      <c r="B16" s="34"/>
      <c r="C16" s="35"/>
    </row>
    <row r="17" spans="1:3" ht="13.5" customHeight="1">
      <c r="A17" s="39" t="s">
        <v>495</v>
      </c>
      <c r="B17" s="40"/>
      <c r="C17" s="41"/>
    </row>
    <row r="18" spans="1:3" ht="13.5" customHeight="1">
      <c r="A18" s="45"/>
      <c r="B18" s="45"/>
      <c r="C18" s="45"/>
    </row>
    <row r="19" spans="1:3" ht="13.5" customHeight="1">
      <c r="A19" s="3"/>
      <c r="B19" s="34"/>
      <c r="C19" s="35"/>
    </row>
    <row r="20" spans="1:3" ht="13.5" customHeight="1">
      <c r="A20" s="43"/>
      <c r="B20" s="44"/>
      <c r="C20" s="45"/>
    </row>
    <row r="21" spans="1:3" ht="13.5" customHeight="1"/>
    <row r="22" spans="1:3" ht="13.5" customHeight="1"/>
    <row r="23" spans="1:3" ht="13.5" customHeight="1"/>
    <row r="24" spans="1:3" ht="13.5" customHeight="1"/>
    <row r="25" spans="1:3" ht="13.5" customHeight="1"/>
    <row r="26" spans="1:3" ht="13.5" customHeight="1"/>
    <row r="27" spans="1:3" ht="13.5" customHeight="1"/>
    <row r="28" spans="1:3" ht="13.5" customHeight="1"/>
    <row r="29" spans="1:3" ht="13.5" customHeight="1"/>
    <row r="30" spans="1:3" ht="13.5" customHeight="1"/>
    <row r="31" spans="1:3" ht="13.5" customHeight="1"/>
    <row r="32" spans="1:3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2">
    <mergeCell ref="B1:C1"/>
    <mergeCell ref="B2:C2"/>
  </mergeCells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Fernando Savioli</dc:creator>
  <cp:keywords/>
  <dc:description/>
  <cp:lastModifiedBy>Lino  Martins</cp:lastModifiedBy>
  <cp:revision/>
  <dcterms:created xsi:type="dcterms:W3CDTF">2021-07-05T21:15:10Z</dcterms:created>
  <dcterms:modified xsi:type="dcterms:W3CDTF">2021-11-09T15:35:14Z</dcterms:modified>
  <cp:category/>
  <cp:contentStatus/>
</cp:coreProperties>
</file>