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trlProps/ctrlProp2.xml" ContentType="application/vnd.ms-excel.controlproperties+xml"/>
  <Override PartName="/xl/slicers/slicer2.xml" ContentType="application/vnd.ms-excel.slicer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4D322269-FCD9-405E-8B96-37E77E2517AE}" xr6:coauthVersionLast="47" xr6:coauthVersionMax="47" xr10:uidLastSave="{00000000-0000-0000-0000-000000000000}"/>
  <bookViews>
    <workbookView xWindow="-108" yWindow="-108" windowWidth="23256" windowHeight="12576" xr2:uid="{67A3B402-33AB-4708-A3C9-E35EC451E49D}"/>
  </bookViews>
  <sheets>
    <sheet name="DAY" sheetId="1" r:id="rId1"/>
    <sheet name="NIGHT" sheetId="9" r:id="rId2"/>
    <sheet name="Processing" sheetId="2" r:id="rId3"/>
    <sheet name="Data" sheetId="5" r:id="rId4"/>
    <sheet name="Sales Manager" sheetId="4" r:id="rId5"/>
    <sheet name="Control" sheetId="8" r:id="rId6"/>
    <sheet name="Resources" sheetId="3" r:id="rId7"/>
  </sheets>
  <definedNames>
    <definedName name="_xlnm._FilterDatabase" localSheetId="4" hidden="1">'Sales Manager'!$A$1:$G$193</definedName>
    <definedName name="db">Data!$A$1:$L$865</definedName>
    <definedName name="Срез_Month">#N/A</definedName>
    <definedName name="Срез_Products">#N/A</definedName>
    <definedName name="Срез_Teams">#N/A</definedName>
    <definedName name="Срез_Сhannels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2" i="5"/>
  <c r="S18" i="2"/>
  <c r="K6" i="2"/>
  <c r="J6" i="2"/>
  <c r="P2" i="2" a="1"/>
  <c r="P2" i="2" s="1"/>
  <c r="Q2" i="2" a="1"/>
  <c r="Q2" i="2" s="1"/>
  <c r="R2" i="2" a="1"/>
  <c r="R2" i="2" s="1"/>
  <c r="O2" i="2" a="1"/>
  <c r="O2" i="2" s="1"/>
  <c r="E2" i="2" a="1"/>
  <c r="E2" i="2" s="1"/>
  <c r="F2" i="2" a="1"/>
  <c r="F2" i="2" s="1"/>
  <c r="D2" i="2" a="1"/>
  <c r="D2" i="2" s="1"/>
  <c r="L19" i="2"/>
  <c r="Q19" i="2" s="1"/>
  <c r="L20" i="2"/>
  <c r="L21" i="2"/>
  <c r="L22" i="2"/>
  <c r="Q22" i="2" s="1"/>
  <c r="L23" i="2"/>
  <c r="Q23" i="2" s="1"/>
  <c r="L24" i="2"/>
  <c r="Q24" i="2" s="1"/>
  <c r="B1" i="2"/>
  <c r="B3" i="2" s="1" a="1"/>
  <c r="B3" i="2" s="1"/>
  <c r="N6" i="2"/>
  <c r="N7" i="2"/>
  <c r="N8" i="2"/>
  <c r="N9" i="2"/>
  <c r="N10" i="2"/>
  <c r="N11" i="2"/>
  <c r="N12" i="2"/>
  <c r="N13" i="2"/>
  <c r="N14" i="2"/>
  <c r="N15" i="2"/>
  <c r="N16" i="2"/>
  <c r="N5" i="2"/>
  <c r="S35" i="2"/>
  <c r="S36" i="2"/>
  <c r="S37" i="2"/>
  <c r="S38" i="2"/>
  <c r="S39" i="2"/>
  <c r="S40" i="2"/>
  <c r="S41" i="2"/>
  <c r="S42" i="2"/>
  <c r="S43" i="2"/>
  <c r="S44" i="2"/>
  <c r="S45" i="2"/>
  <c r="S34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C17" i="2"/>
  <c r="C18" i="2"/>
  <c r="C19" i="2"/>
  <c r="C20" i="2"/>
  <c r="C21" i="2"/>
  <c r="C22" i="2"/>
  <c r="C23" i="2"/>
  <c r="C24" i="2"/>
  <c r="C25" i="2"/>
  <c r="C26" i="2"/>
  <c r="C27" i="2"/>
  <c r="C16" i="2"/>
  <c r="H85" i="8"/>
  <c r="I9" i="2"/>
  <c r="I15" i="2"/>
  <c r="I24" i="2"/>
  <c r="I12" i="2"/>
  <c r="I22" i="2"/>
  <c r="I16" i="2"/>
  <c r="H2" i="2"/>
  <c r="I13" i="2"/>
  <c r="I19" i="2"/>
  <c r="I6" i="2"/>
  <c r="I23" i="2"/>
  <c r="B13" i="2"/>
  <c r="B11" i="2"/>
  <c r="I28" i="2"/>
  <c r="I11" i="2"/>
  <c r="K2" i="2"/>
  <c r="I8" i="2"/>
  <c r="I5" i="2"/>
  <c r="I14" i="2"/>
  <c r="I26" i="2"/>
  <c r="J2" i="2"/>
  <c r="I10" i="2"/>
  <c r="I30" i="2"/>
  <c r="I21" i="2"/>
  <c r="C8" i="2"/>
  <c r="C6" i="2"/>
  <c r="C7" i="2"/>
  <c r="I29" i="2"/>
  <c r="I27" i="2"/>
  <c r="B12" i="2"/>
  <c r="I7" i="2"/>
  <c r="C5" i="2"/>
  <c r="I31" i="2"/>
  <c r="I20" i="2"/>
  <c r="F48" i="8"/>
  <c r="I2" i="2" l="1"/>
  <c r="O52" i="2"/>
  <c r="K51" i="2"/>
  <c r="O50" i="2"/>
  <c r="B52" i="2"/>
  <c r="E52" i="2"/>
  <c r="F51" i="2"/>
  <c r="I51" i="2"/>
  <c r="N51" i="2"/>
  <c r="Q51" i="2"/>
  <c r="J52" i="2"/>
  <c r="M52" i="2"/>
  <c r="D50" i="2"/>
  <c r="D52" i="2"/>
  <c r="L50" i="2"/>
  <c r="H51" i="2"/>
  <c r="P51" i="2"/>
  <c r="L52" i="2"/>
  <c r="B50" i="2"/>
  <c r="C50" i="2"/>
  <c r="C52" i="2"/>
  <c r="K50" i="2"/>
  <c r="G51" i="2"/>
  <c r="O51" i="2"/>
  <c r="K52" i="2"/>
  <c r="B51" i="2"/>
  <c r="F50" i="2"/>
  <c r="N50" i="2"/>
  <c r="J51" i="2"/>
  <c r="F52" i="2"/>
  <c r="N52" i="2"/>
  <c r="M50" i="2"/>
  <c r="E51" i="2"/>
  <c r="I50" i="2"/>
  <c r="Q50" i="2"/>
  <c r="M51" i="2"/>
  <c r="I52" i="2"/>
  <c r="Q52" i="2"/>
  <c r="D51" i="2"/>
  <c r="H50" i="2"/>
  <c r="P50" i="2"/>
  <c r="L51" i="2"/>
  <c r="H52" i="2"/>
  <c r="P52" i="2"/>
  <c r="J50" i="2"/>
  <c r="E50" i="2"/>
  <c r="C51" i="2"/>
  <c r="G50" i="2"/>
  <c r="G52" i="2"/>
  <c r="K27" i="2"/>
  <c r="K28" i="2"/>
  <c r="K29" i="2"/>
  <c r="K30" i="2"/>
  <c r="K31" i="2"/>
  <c r="K26" i="2"/>
  <c r="Q21" i="2"/>
  <c r="Q20" i="2"/>
  <c r="P19" i="2"/>
  <c r="N23" i="2"/>
  <c r="M33" i="2"/>
  <c r="H33" i="2"/>
  <c r="I33" i="2"/>
  <c r="J33" i="2"/>
  <c r="K33" i="2"/>
  <c r="L33" i="2"/>
  <c r="C11" i="2"/>
  <c r="C12" i="2"/>
  <c r="C13" i="2"/>
  <c r="U42" i="2" a="1"/>
  <c r="U42" i="2" s="1"/>
  <c r="U20" i="2"/>
  <c r="N53" i="2" l="1"/>
  <c r="L26" i="2"/>
  <c r="J26" i="2"/>
  <c r="L31" i="2"/>
  <c r="J31" i="2"/>
  <c r="L30" i="2"/>
  <c r="J30" i="2"/>
  <c r="L29" i="2"/>
  <c r="J29" i="2"/>
  <c r="L28" i="2"/>
  <c r="J28" i="2"/>
  <c r="L27" i="2"/>
  <c r="J27" i="2"/>
  <c r="P24" i="2"/>
  <c r="P22" i="2"/>
  <c r="P21" i="2"/>
  <c r="P20" i="2"/>
  <c r="P23" i="2"/>
  <c r="N19" i="2"/>
  <c r="L36" i="2" a="1"/>
  <c r="L36" i="2" s="1"/>
  <c r="L45" i="2" a="1"/>
  <c r="L45" i="2" s="1"/>
  <c r="L40" i="2" a="1"/>
  <c r="L40" i="2" s="1"/>
  <c r="L35" i="2" a="1"/>
  <c r="L35" i="2" s="1"/>
  <c r="L44" i="2" a="1"/>
  <c r="L44" i="2" s="1"/>
  <c r="L39" i="2" a="1"/>
  <c r="L39" i="2" s="1"/>
  <c r="L34" i="2" a="1"/>
  <c r="L34" i="2" s="1"/>
  <c r="L43" i="2" a="1"/>
  <c r="L43" i="2" s="1"/>
  <c r="L41" i="2" a="1"/>
  <c r="L41" i="2" s="1"/>
  <c r="L38" i="2" a="1"/>
  <c r="L38" i="2" s="1"/>
  <c r="L37" i="2" a="1"/>
  <c r="L37" i="2" s="1"/>
  <c r="L42" i="2" a="1"/>
  <c r="L42" i="2" s="1"/>
  <c r="K40" i="2" a="1"/>
  <c r="K40" i="2" s="1"/>
  <c r="K35" i="2" a="1"/>
  <c r="K35" i="2" s="1"/>
  <c r="K44" i="2" a="1"/>
  <c r="K44" i="2" s="1"/>
  <c r="K34" i="2" a="1"/>
  <c r="K34" i="2" s="1"/>
  <c r="K39" i="2" a="1"/>
  <c r="K39" i="2" s="1"/>
  <c r="K38" i="2" a="1"/>
  <c r="K38" i="2" s="1"/>
  <c r="K43" i="2" a="1"/>
  <c r="K43" i="2" s="1"/>
  <c r="K42" i="2" a="1"/>
  <c r="K42" i="2" s="1"/>
  <c r="K36" i="2" a="1"/>
  <c r="K36" i="2" s="1"/>
  <c r="K45" i="2" a="1"/>
  <c r="K45" i="2" s="1"/>
  <c r="K37" i="2" a="1"/>
  <c r="K37" i="2" s="1"/>
  <c r="K41" i="2" a="1"/>
  <c r="K41" i="2" s="1"/>
  <c r="J39" i="2" a="1"/>
  <c r="J39" i="2" s="1"/>
  <c r="J44" i="2" a="1"/>
  <c r="J44" i="2" s="1"/>
  <c r="J34" i="2" a="1"/>
  <c r="J34" i="2" s="1"/>
  <c r="J43" i="2" a="1"/>
  <c r="J43" i="2" s="1"/>
  <c r="J38" i="2" a="1"/>
  <c r="J38" i="2" s="1"/>
  <c r="J42" i="2" a="1"/>
  <c r="J42" i="2" s="1"/>
  <c r="J37" i="2" a="1"/>
  <c r="J37" i="2" s="1"/>
  <c r="J35" i="2" a="1"/>
  <c r="J35" i="2" s="1"/>
  <c r="J40" i="2" a="1"/>
  <c r="J40" i="2" s="1"/>
  <c r="J41" i="2" a="1"/>
  <c r="J41" i="2" s="1"/>
  <c r="J36" i="2" a="1"/>
  <c r="J36" i="2" s="1"/>
  <c r="J45" i="2" a="1"/>
  <c r="J45" i="2" s="1"/>
  <c r="I34" i="2" a="1"/>
  <c r="I34" i="2" s="1"/>
  <c r="I43" i="2" a="1"/>
  <c r="I43" i="2" s="1"/>
  <c r="I38" i="2" a="1"/>
  <c r="I38" i="2" s="1"/>
  <c r="I42" i="2" a="1"/>
  <c r="I42" i="2" s="1"/>
  <c r="I37" i="2" a="1"/>
  <c r="I37" i="2" s="1"/>
  <c r="I36" i="2" a="1"/>
  <c r="I36" i="2" s="1"/>
  <c r="I41" i="2" a="1"/>
  <c r="I41" i="2" s="1"/>
  <c r="I39" i="2" a="1"/>
  <c r="I39" i="2" s="1"/>
  <c r="I40" i="2" a="1"/>
  <c r="I40" i="2" s="1"/>
  <c r="I45" i="2" a="1"/>
  <c r="I45" i="2" s="1"/>
  <c r="I35" i="2" a="1"/>
  <c r="I35" i="2" s="1"/>
  <c r="I44" i="2" a="1"/>
  <c r="I44" i="2" s="1"/>
  <c r="H40" i="2" a="1"/>
  <c r="H40" i="2" s="1"/>
  <c r="H41" i="2" a="1"/>
  <c r="H41" i="2" s="1"/>
  <c r="H42" i="2" a="1"/>
  <c r="H42" i="2" s="1"/>
  <c r="H35" i="2" a="1"/>
  <c r="H35" i="2" s="1"/>
  <c r="H43" i="2" a="1"/>
  <c r="H43" i="2" s="1"/>
  <c r="H36" i="2" a="1"/>
  <c r="H36" i="2" s="1"/>
  <c r="H44" i="2" a="1"/>
  <c r="H44" i="2" s="1"/>
  <c r="H39" i="2" a="1"/>
  <c r="H39" i="2" s="1"/>
  <c r="H37" i="2" a="1"/>
  <c r="H37" i="2" s="1"/>
  <c r="H45" i="2" a="1"/>
  <c r="H45" i="2" s="1"/>
  <c r="H38" i="2" a="1"/>
  <c r="H38" i="2" s="1"/>
  <c r="H34" i="2" a="1"/>
  <c r="H34" i="2" s="1"/>
  <c r="M37" i="2" a="1"/>
  <c r="M37" i="2" s="1"/>
  <c r="M36" i="2" a="1"/>
  <c r="M36" i="2" s="1"/>
  <c r="M41" i="2" a="1"/>
  <c r="M41" i="2" s="1"/>
  <c r="M40" i="2" a="1"/>
  <c r="M40" i="2" s="1"/>
  <c r="M45" i="2" a="1"/>
  <c r="M45" i="2" s="1"/>
  <c r="M35" i="2" a="1"/>
  <c r="M35" i="2" s="1"/>
  <c r="M44" i="2" a="1"/>
  <c r="M44" i="2" s="1"/>
  <c r="M39" i="2" a="1"/>
  <c r="M39" i="2" s="1"/>
  <c r="M42" i="2" a="1"/>
  <c r="M42" i="2" s="1"/>
  <c r="M34" i="2" a="1"/>
  <c r="M34" i="2" s="1"/>
  <c r="M43" i="2" a="1"/>
  <c r="M43" i="2" s="1"/>
  <c r="M38" i="2" a="1"/>
  <c r="M38" i="2" s="1"/>
  <c r="T20" i="2"/>
  <c r="W20" i="2" s="1"/>
  <c r="N44" i="2" l="1"/>
  <c r="N36" i="2"/>
  <c r="N43" i="2"/>
  <c r="N34" i="2"/>
  <c r="N35" i="2"/>
  <c r="N38" i="2"/>
  <c r="N42" i="2"/>
  <c r="N45" i="2"/>
  <c r="N41" i="2"/>
  <c r="N37" i="2"/>
  <c r="N40" i="2"/>
  <c r="N39" i="2"/>
  <c r="V20" i="2"/>
  <c r="S20" i="2" l="1"/>
  <c r="S21" i="2"/>
  <c r="S19" i="2" l="1"/>
  <c r="U19" i="2" s="1"/>
  <c r="P33" i="2"/>
  <c r="P44" i="2"/>
  <c r="V19" i="2" l="1"/>
  <c r="W19" i="2"/>
  <c r="U46" i="2"/>
  <c r="U44" i="2"/>
  <c r="U40" i="2"/>
  <c r="T35" i="2"/>
  <c r="T36" i="2"/>
  <c r="T37" i="2"/>
  <c r="T38" i="2"/>
  <c r="T39" i="2"/>
  <c r="T40" i="2"/>
  <c r="T41" i="2"/>
  <c r="T42" i="2"/>
  <c r="T43" i="2"/>
  <c r="T44" i="2"/>
  <c r="T45" i="2"/>
  <c r="T34" i="2"/>
  <c r="O53" i="2"/>
  <c r="P53" i="2"/>
  <c r="Q53" i="2"/>
  <c r="K53" i="2"/>
  <c r="L53" i="2"/>
  <c r="M53" i="2"/>
  <c r="J53" i="2"/>
  <c r="G53" i="2"/>
  <c r="H53" i="2"/>
  <c r="I53" i="2"/>
  <c r="F53" i="2"/>
  <c r="N48" i="2"/>
  <c r="J48" i="2"/>
  <c r="F48" i="2"/>
  <c r="B48" i="2"/>
  <c r="O14" i="2" a="1"/>
  <c r="O14" i="2" s="1"/>
  <c r="B2" i="2" a="1"/>
  <c r="B2" i="2" s="1"/>
  <c r="P35" i="2"/>
  <c r="P37" i="2"/>
  <c r="P38" i="2"/>
  <c r="P39" i="2"/>
  <c r="P40" i="2"/>
  <c r="P41" i="2"/>
  <c r="P42" i="2"/>
  <c r="P43" i="2"/>
  <c r="P45" i="2"/>
  <c r="P34" i="2"/>
  <c r="I46" i="2"/>
  <c r="J46" i="2"/>
  <c r="K46" i="2"/>
  <c r="L46" i="2"/>
  <c r="M46" i="2"/>
  <c r="H46" i="2"/>
  <c r="K20" i="2"/>
  <c r="J20" i="2" s="1"/>
  <c r="K21" i="2"/>
  <c r="J21" i="2" s="1"/>
  <c r="K22" i="2"/>
  <c r="J22" i="2" s="1"/>
  <c r="K23" i="2"/>
  <c r="J23" i="2" s="1"/>
  <c r="K24" i="2"/>
  <c r="J24" i="2" s="1"/>
  <c r="K19" i="2"/>
  <c r="C29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C30" i="2"/>
  <c r="C31" i="2"/>
  <c r="C32" i="2"/>
  <c r="C33" i="2"/>
  <c r="C34" i="2"/>
  <c r="C35" i="2"/>
  <c r="C36" i="2"/>
  <c r="C37" i="2"/>
  <c r="C38" i="2"/>
  <c r="C39" i="2"/>
  <c r="C40" i="2"/>
  <c r="B17" i="2"/>
  <c r="B30" i="2" s="1"/>
  <c r="B18" i="2"/>
  <c r="B31" i="2" s="1"/>
  <c r="B19" i="2"/>
  <c r="B32" i="2" s="1"/>
  <c r="B20" i="2"/>
  <c r="B33" i="2" s="1"/>
  <c r="B21" i="2"/>
  <c r="B34" i="2" s="1"/>
  <c r="B22" i="2"/>
  <c r="B35" i="2" s="1"/>
  <c r="B23" i="2"/>
  <c r="B36" i="2" s="1"/>
  <c r="B24" i="2"/>
  <c r="B37" i="2" s="1"/>
  <c r="B25" i="2"/>
  <c r="B38" i="2" s="1"/>
  <c r="B26" i="2"/>
  <c r="B39" i="2" s="1"/>
  <c r="B27" i="2"/>
  <c r="B40" i="2" s="1"/>
  <c r="B16" i="2"/>
  <c r="B29" i="2" s="1"/>
  <c r="O10" i="2"/>
  <c r="O9" i="2"/>
  <c r="O7" i="2"/>
  <c r="O5" i="2"/>
  <c r="K5" i="2"/>
  <c r="J5" i="2" s="1"/>
  <c r="G14" i="2"/>
  <c r="G11" i="2"/>
  <c r="G8" i="2"/>
  <c r="G5" i="2"/>
  <c r="A4" i="2"/>
  <c r="B6" i="2"/>
  <c r="B7" i="2"/>
  <c r="B8" i="2"/>
  <c r="B5" i="2"/>
  <c r="J19" i="2" l="1"/>
  <c r="F20" i="2"/>
  <c r="F21" i="2"/>
  <c r="F22" i="2"/>
  <c r="F23" i="2"/>
  <c r="F24" i="2"/>
  <c r="F19" i="2"/>
  <c r="O32" i="2"/>
  <c r="O34" i="2" a="1"/>
  <c r="O34" i="2" s="1"/>
  <c r="O42" i="2" s="1"/>
  <c r="N21" i="2" s="1"/>
  <c r="O38" i="2"/>
  <c r="Q38" i="2"/>
  <c r="Q45" i="2"/>
  <c r="Q42" i="2"/>
  <c r="Q41" i="2"/>
  <c r="Q43" i="2"/>
  <c r="Q35" i="2"/>
  <c r="Q40" i="2"/>
  <c r="Q39" i="2"/>
  <c r="Q37" i="2"/>
  <c r="Q44" i="2"/>
  <c r="Q36" i="2"/>
  <c r="P36" i="2"/>
  <c r="B41" i="2"/>
  <c r="F34" i="2" s="1"/>
  <c r="C53" i="2" l="1"/>
  <c r="D53" i="2"/>
  <c r="E53" i="2"/>
  <c r="B53" i="2"/>
  <c r="O36" i="2"/>
  <c r="F39" i="2"/>
  <c r="F31" i="2"/>
  <c r="F32" i="2"/>
  <c r="F40" i="2"/>
  <c r="F33" i="2"/>
  <c r="F37" i="2"/>
  <c r="F29" i="2"/>
  <c r="F30" i="2"/>
  <c r="F35" i="2"/>
  <c r="F38" i="2"/>
  <c r="F36" i="2"/>
  <c r="M21" i="2" l="1"/>
  <c r="M24" i="2" l="1"/>
  <c r="M23" i="2"/>
  <c r="M22" i="2"/>
  <c r="M20" i="2"/>
  <c r="M1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<sst xmlns="http://schemas.openxmlformats.org/spreadsheetml/2006/main" count="4569" uniqueCount="148">
  <si>
    <t>North</t>
  </si>
  <si>
    <t>East</t>
  </si>
  <si>
    <t>South</t>
  </si>
  <si>
    <t>West</t>
  </si>
  <si>
    <t>Labels</t>
  </si>
  <si>
    <t>video</t>
  </si>
  <si>
    <t>books</t>
  </si>
  <si>
    <t>online</t>
  </si>
  <si>
    <t>Products by Sales Team</t>
  </si>
  <si>
    <t>successful calls</t>
  </si>
  <si>
    <t>unsuccessful calls</t>
  </si>
  <si>
    <t>Average</t>
  </si>
  <si>
    <t>REPEAT</t>
  </si>
  <si>
    <t>↑Highest</t>
  </si>
  <si>
    <t>↓Lowest</t>
  </si>
  <si>
    <t>Product
Distribution</t>
  </si>
  <si>
    <t>Total</t>
  </si>
  <si>
    <t>Month</t>
  </si>
  <si>
    <t>Product Comparison</t>
  </si>
  <si>
    <t>Google Ad</t>
  </si>
  <si>
    <t>Youtube</t>
  </si>
  <si>
    <t>Facebook</t>
  </si>
  <si>
    <t>Instagram</t>
  </si>
  <si>
    <t>Twitter</t>
  </si>
  <si>
    <t>Tiktok</t>
  </si>
  <si>
    <t>Cost Ad</t>
  </si>
  <si>
    <t>Sort Cost by Top Leads</t>
  </si>
  <si>
    <t>Sort</t>
  </si>
  <si>
    <t>Chart</t>
  </si>
  <si>
    <t>Max</t>
  </si>
  <si>
    <t>Label1</t>
  </si>
  <si>
    <t>Label2</t>
  </si>
  <si>
    <t>Cur Month</t>
  </si>
  <si>
    <t>Label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</si>
  <si>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</si>
  <si>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</si>
  <si>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</si>
  <si>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</si>
  <si>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</si>
  <si>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</si>
  <si>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</si>
  <si>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</si>
  <si>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</si>
  <si>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</si>
  <si>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</si>
  <si>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</si>
  <si>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Humphrey Bogart</t>
  </si>
  <si>
    <t>Katharine Hepburn</t>
  </si>
  <si>
    <t>Cary Grant</t>
  </si>
  <si>
    <t>Bette Davis</t>
  </si>
  <si>
    <t>Audrey Hepburn</t>
  </si>
  <si>
    <t>Marlon Brando</t>
  </si>
  <si>
    <t>Ingrid Bergman</t>
  </si>
  <si>
    <t>Greta Garbo</t>
  </si>
  <si>
    <t>Henry Fonda</t>
  </si>
  <si>
    <t>Marlene Dietrich</t>
  </si>
  <si>
    <t>Elizabeth Taylor</t>
  </si>
  <si>
    <t>James Cagney</t>
  </si>
  <si>
    <t>Judy Garland</t>
  </si>
  <si>
    <t>Gary Cooper</t>
  </si>
  <si>
    <t>Barbara Stanwyck</t>
  </si>
  <si>
    <t>Grace Kelly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</si>
  <si>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</si>
  <si>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</si>
  <si>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</si>
  <si>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</si>
  <si>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</si>
  <si>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</si>
  <si>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</si>
  <si>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</si>
  <si>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</si>
  <si>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</si>
  <si>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</si>
  <si>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</si>
  <si>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</si>
  <si>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</si>
  <si>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</si>
  <si>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</si>
  <si>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Plus</t>
  </si>
  <si>
    <t>Paid Calls Duration by Month</t>
  </si>
  <si>
    <t>Minimum</t>
  </si>
  <si>
    <t>Maximum</t>
  </si>
  <si>
    <t>Min</t>
  </si>
  <si>
    <t>Traffic from Channels by Month</t>
  </si>
  <si>
    <t>Cursor</t>
  </si>
  <si>
    <t>%</t>
  </si>
  <si>
    <t>Plus %</t>
  </si>
  <si>
    <t>Source</t>
  </si>
  <si>
    <t>DATA</t>
  </si>
  <si>
    <t xml:space="preserve"> 🎥</t>
  </si>
  <si>
    <t xml:space="preserve"> 🌎</t>
  </si>
  <si>
    <t xml:space="preserve"> 📖</t>
  </si>
  <si>
    <t>item</t>
  </si>
  <si>
    <t>X</t>
  </si>
  <si>
    <t>Y</t>
  </si>
  <si>
    <t>Scales</t>
  </si>
  <si>
    <t>indent</t>
  </si>
  <si>
    <t>Top Traffic Sources</t>
  </si>
  <si>
    <t>Total Revenue by Motnhs</t>
  </si>
  <si>
    <t>Top Revenue</t>
  </si>
  <si>
    <t>Revenue</t>
  </si>
  <si>
    <t>Traffic channels</t>
  </si>
  <si>
    <t>Сhannels</t>
  </si>
  <si>
    <t xml:space="preserve">Traffic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</si>
  <si>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</si>
  <si>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</si>
  <si>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</si>
  <si>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</si>
  <si>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</si>
  <si>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</si>
  <si>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</si>
  <si>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</si>
  <si>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</si>
  <si>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</si>
  <si>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</si>
  <si>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</si>
  <si>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Products</t>
  </si>
  <si>
    <t>Managers</t>
  </si>
  <si>
    <t>Teams</t>
  </si>
  <si>
    <t>Nickname</t>
  </si>
  <si>
    <t>Revenue 🌎</t>
  </si>
  <si>
    <t>Revenue 🎥</t>
  </si>
  <si>
    <t>Revenue 📖</t>
  </si>
  <si>
    <t>Time Calls</t>
  </si>
  <si>
    <t>Сумма по полю Revenue</t>
  </si>
  <si>
    <t>Сумма по полю Cost Ad</t>
  </si>
  <si>
    <t xml:space="preserve">Сумма по полю Traffic </t>
  </si>
  <si>
    <t>Среднее по полю Time Calls</t>
  </si>
  <si>
    <t>Value</t>
  </si>
  <si>
    <t>scale</t>
  </si>
  <si>
    <t>Сумма по полю successful calls</t>
  </si>
  <si>
    <t>Сумма по полю unsuccessful calls</t>
  </si>
  <si>
    <t>Значения</t>
  </si>
  <si>
    <t>Total Revenue</t>
  </si>
  <si>
    <t>Total calls</t>
  </si>
  <si>
    <t>Total Cost</t>
  </si>
  <si>
    <t>Total Traffic</t>
  </si>
  <si>
    <t>Marketing vs Selling</t>
  </si>
  <si>
    <t>Marketing Power</t>
  </si>
  <si>
    <t>Selling Power</t>
  </si>
  <si>
    <t>Среднее по полю Marketing Power</t>
  </si>
  <si>
    <t>Среднее по полю Selling Power</t>
  </si>
  <si>
    <t>Night</t>
  </si>
  <si>
    <t>Count product sales by Managers and Teams</t>
  </si>
  <si>
    <t>Row Labels</t>
  </si>
  <si>
    <t>Grand Total</t>
  </si>
  <si>
    <t>Column Labels</t>
  </si>
  <si>
    <t>http://exceltable.com/en/templates/learning-courses-excel-dashboard-download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</si>
</sst>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-* #,##0.00_-;\-* #,##0.00_-;_-* &quot;-&quot;??_-;_-@_-"/>
    <numFmt numFmtId="164" formatCode="_-* #,##0_-;\-* #,##0_-;_-* &quot;-&quot;??_-;_-@_-"/>
    <numFmt numFmtId="165" formatCode="[&gt;1000000]#.0,,&quot; mln.&quot;;[&gt;1000]#.0,&quot; ths.&quot;;#,##0.00"/>
    <numFmt numFmtId="166" formatCode="0.000"/>
    <numFmt numFmtId="167" formatCode="_-[$$-409]* #,##0.00_ ;_-[$$-409]* \-#,##0.00\ ;_-[$$-409]* &quot;-&quot;??_ ;_-@_ "/>
    <numFmt numFmtId="168" formatCode="[$$-409]#,##0"/>
    <numFmt numFmtId="169" formatCode="[$$-409]#,##0_ ;\-[$$-409]#,##0\ "/>
  </numFmts>
  <fonts count="1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color rgb="FF000000"/>
      <name val="Segoe UI"/>
      <family val="2"/>
      <charset val="204"/>
    </font>
    <font>
      <sz val="8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u/>
      <sz val="16"/>
      <color theme="1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8E8E8"/>
        <bgColor indexed="64"/>
      </patternFill>
    </fill>
    <fill>
      <patternFill patternType="solid">
        <fgColor rgb="FF2D2D2D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55">
    <xf numFmtId="0" fontId="0" fillId="0" borderId="0" xfId="0"/>
    <xf numFmtId="0" fontId="2" fillId="0" borderId="0" xfId="0" applyFont="1"/>
    <xf numFmtId="164" fontId="2" fillId="0" borderId="0" xfId="1" applyNumberFormat="1" applyFont="1"/>
    <xf numFmtId="0" fontId="0" fillId="0" borderId="1" xfId="0" applyBorder="1"/>
    <xf numFmtId="9" fontId="0" fillId="0" borderId="1" xfId="0" applyNumberFormat="1" applyBorder="1"/>
    <xf numFmtId="164" fontId="0" fillId="0" borderId="1" xfId="0" applyNumberFormat="1" applyBorder="1"/>
    <xf numFmtId="43" fontId="0" fillId="0" borderId="0" xfId="1" applyFont="1"/>
    <xf numFmtId="164" fontId="0" fillId="0" borderId="0" xfId="1" applyNumberFormat="1" applyFont="1"/>
    <xf numFmtId="9" fontId="0" fillId="0" borderId="0" xfId="2" applyFont="1"/>
    <xf numFmtId="0" fontId="2" fillId="0" borderId="1" xfId="0" applyFont="1" applyBorder="1"/>
    <xf numFmtId="0" fontId="0" fillId="0" borderId="2" xfId="0" applyBorder="1"/>
    <xf numFmtId="0" fontId="5" fillId="0" borderId="1" xfId="0" applyFont="1" applyBorder="1"/>
    <xf numFmtId="45" fontId="0" fillId="0" borderId="0" xfId="0" applyNumberFormat="1"/>
    <xf numFmtId="9" fontId="0" fillId="0" borderId="0" xfId="0" applyNumberFormat="1"/>
    <xf numFmtId="165" fontId="2" fillId="0" borderId="1" xfId="0" applyNumberFormat="1" applyFont="1" applyBorder="1"/>
    <xf numFmtId="165" fontId="2" fillId="0" borderId="2" xfId="0" applyNumberFormat="1" applyFont="1" applyBorder="1"/>
    <xf numFmtId="165" fontId="0" fillId="0" borderId="0" xfId="0" applyNumberFormat="1"/>
    <xf numFmtId="0" fontId="0" fillId="0" borderId="0" xfId="0" quotePrefix="1"/>
    <xf numFmtId="0" fontId="0" fillId="2" borderId="0" xfId="0" applyFill="1"/>
    <xf numFmtId="0" fontId="6" fillId="2" borderId="0" xfId="0" applyFont="1" applyFill="1"/>
    <xf numFmtId="4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7" fillId="0" borderId="1" xfId="0" applyFont="1" applyBorder="1"/>
    <xf numFmtId="9" fontId="2" fillId="0" borderId="3" xfId="0" applyNumberFormat="1" applyFont="1" applyBorder="1" applyAlignment="1">
      <alignment horizontal="center" vertical="center"/>
    </xf>
    <xf numFmtId="9" fontId="0" fillId="0" borderId="1" xfId="2" applyFont="1" applyFill="1" applyBorder="1" applyAlignment="1">
      <alignment horizontal="center"/>
    </xf>
    <xf numFmtId="166" fontId="0" fillId="0" borderId="1" xfId="2" applyNumberFormat="1" applyFont="1" applyBorder="1" applyAlignment="1">
      <alignment horizontal="center"/>
    </xf>
    <xf numFmtId="9" fontId="0" fillId="0" borderId="4" xfId="0" applyNumberFormat="1" applyBorder="1" applyAlignment="1">
      <alignment horizontal="center" vertical="center"/>
    </xf>
    <xf numFmtId="9" fontId="0" fillId="2" borderId="0" xfId="0" applyNumberFormat="1" applyFill="1"/>
    <xf numFmtId="9" fontId="0" fillId="0" borderId="7" xfId="2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9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168" fontId="0" fillId="0" borderId="0" xfId="0" applyNumberFormat="1"/>
    <xf numFmtId="45" fontId="0" fillId="0" borderId="0" xfId="0" applyNumberFormat="1" applyAlignment="1">
      <alignment horizontal="center"/>
    </xf>
    <xf numFmtId="0" fontId="2" fillId="0" borderId="0" xfId="0" applyFont="1" applyAlignment="1">
      <alignment wrapText="1"/>
    </xf>
    <xf numFmtId="0" fontId="9" fillId="0" borderId="1" xfId="0" applyFont="1" applyBorder="1" applyAlignment="1">
      <alignment horizontal="center" vertical="center"/>
    </xf>
    <xf numFmtId="164" fontId="0" fillId="0" borderId="1" xfId="1" applyNumberFormat="1" applyFont="1" applyBorder="1"/>
    <xf numFmtId="169" fontId="0" fillId="0" borderId="0" xfId="1" applyNumberFormat="1" applyFont="1"/>
    <xf numFmtId="9" fontId="0" fillId="3" borderId="0" xfId="0" applyNumberFormat="1" applyFill="1"/>
    <xf numFmtId="0" fontId="0" fillId="3" borderId="0" xfId="0" applyFill="1"/>
    <xf numFmtId="0" fontId="6" fillId="3" borderId="0" xfId="0" applyFont="1" applyFill="1"/>
    <xf numFmtId="45" fontId="0" fillId="3" borderId="0" xfId="0" applyNumberFormat="1" applyFill="1"/>
    <xf numFmtId="9" fontId="2" fillId="0" borderId="5" xfId="0" applyNumberFormat="1" applyFont="1" applyBorder="1" applyAlignment="1">
      <alignment horizontal="center" vertical="center"/>
    </xf>
    <xf numFmtId="9" fontId="2" fillId="0" borderId="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NumberFormat="1"/>
    <xf numFmtId="0" fontId="11" fillId="2" borderId="0" xfId="3" applyFont="1" applyFill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27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color theme="0"/>
      </font>
      <border diagonalDown="0">
        <left/>
        <right/>
        <top/>
        <bottom/>
        <vertical/>
        <horizontal/>
      </border>
    </dxf>
    <dxf>
      <font>
        <color theme="1"/>
      </font>
      <fill>
        <patternFill>
          <bgColor theme="1"/>
        </patternFill>
      </fill>
      <border diagonalDown="0">
        <left/>
        <right/>
        <top/>
        <bottom/>
        <vertical/>
        <horizontal/>
      </border>
    </dxf>
    <dxf>
      <font>
        <color theme="0"/>
      </font>
      <border diagonalDown="0">
        <left/>
        <right/>
        <top/>
        <bottom/>
        <vertical/>
        <horizontal/>
      </border>
    </dxf>
    <dxf>
      <font>
        <color theme="1"/>
      </font>
      <fill>
        <patternFill>
          <bgColor rgb="FF9CDCBB"/>
        </patternFill>
      </fill>
      <border diagonalDown="0">
        <left/>
        <right/>
        <top/>
        <bottom/>
        <vertical/>
        <horizontal/>
      </border>
    </dxf>
    <dxf>
      <font>
        <b/>
        <color theme="1"/>
      </font>
      <border>
        <bottom/>
        <vertical/>
        <horizontal/>
      </border>
    </dxf>
    <dxf>
      <font>
        <color theme="1"/>
      </font>
      <fill>
        <patternFill>
          <bgColor rgb="FF2D2D2D"/>
        </patternFill>
      </fill>
      <border>
        <left/>
        <right/>
        <top/>
        <bottom/>
        <vertical/>
        <horizontal/>
      </border>
    </dxf>
    <dxf>
      <font>
        <b/>
        <color theme="1"/>
      </font>
      <border>
        <bottom/>
        <vertical/>
        <horizontal/>
      </border>
    </dxf>
    <dxf>
      <font>
        <color theme="1"/>
      </font>
      <fill>
        <patternFill>
          <bgColor rgb="FFE8E8E8"/>
        </patternFill>
      </fill>
      <border>
        <left/>
        <right/>
        <top/>
        <bottom/>
        <vertical/>
        <horizontal/>
      </border>
    </dxf>
    <dxf>
      <font>
        <b/>
        <color theme="1"/>
      </font>
      <border>
        <bottom/>
        <vertical/>
        <horizontal/>
      </border>
    </dxf>
    <dxf>
      <font>
        <color theme="1"/>
      </font>
      <fill>
        <patternFill>
          <bgColor rgb="FFE8E8E8"/>
        </patternFill>
      </fill>
      <border>
        <left/>
        <right/>
        <top/>
        <bottom/>
        <vertical/>
        <horizontal/>
      </border>
    </dxf>
  </dxfs>
  <tableStyles count="5" defaultTableStyle="TableStyleMedium2" defaultPivotStyle="PivotStyleLight16">
    <tableStyle name="menu" pivot="0" table="0" count="10" xr9:uid="{613D4E7D-4A04-47B5-9C78-A907673543FA}">
      <tableStyleElement type="wholeTable" dxfId="26"/>
      <tableStyleElement type="headerRow" dxfId="25"/>
    </tableStyle>
    <tableStyle name="menu 2" pivot="0" table="0" count="10" xr9:uid="{5A4BB919-15E4-4606-85C9-9B2A6FA9A7E6}">
      <tableStyleElement type="wholeTable" dxfId="24"/>
      <tableStyleElement type="headerRow" dxfId="23"/>
    </tableStyle>
    <tableStyle name="menu 3" pivot="0" table="0" count="10" xr9:uid="{8082C9C2-8CB1-4A08-A06F-44E38D07FDC7}">
      <tableStyleElement type="wholeTable" dxfId="22"/>
      <tableStyleElement type="headerRow" dxfId="21"/>
    </tableStyle>
    <tableStyle name="SlicerStyleLight1 2" pivot="0" table="0" count="10" xr9:uid="{1F591B97-BD79-47F8-A96B-CF06228338C4}">
      <tableStyleElement type="wholeTable" dxfId="20"/>
      <tableStyleElement type="headerRow" dxfId="19"/>
    </tableStyle>
    <tableStyle name="SlicerStyleLight1 2 2" pivot="0" table="0" count="10" xr9:uid="{D786882A-A66B-48C9-8915-D472018FD038}">
      <tableStyleElement type="wholeTable" dxfId="18"/>
      <tableStyleElement type="headerRow" dxfId="17"/>
    </tableStyle>
  </tableStyles>
  <colors>
    <mruColors>
      <color rgb="FF3AE89F"/>
      <color rgb="FF00FFFF"/>
      <color rgb="FF8D1FF8"/>
      <color rgb="FF9CDCBB"/>
      <color rgb="FFD2EFE0"/>
      <color rgb="FF2D2D2D"/>
      <color rgb="FF1A62FF"/>
      <color rgb="FFFF00FF"/>
      <color rgb="FF000000"/>
      <color rgb="FF1DBAFC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auto="1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 val="0"/>
            <i val="0"/>
            <color theme="1"/>
          </font>
          <fill>
            <patternFill patternType="solid">
              <fgColor theme="4" tint="0.59999389629810485"/>
              <bgColor rgb="FFD2EFE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 tint="-0.499984740745262"/>
          </font>
          <fill>
            <patternFill patternType="solid">
              <fgColor rgb="FFFFFFFF"/>
              <bgColor rgb="FF2D2D2D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256947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rgb="FF338F6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 val="0"/>
            <i val="0"/>
            <color rgb="FF256947"/>
          </font>
          <fill>
            <patternFill patternType="solid">
              <fgColor theme="4" tint="0.59999389629810485"/>
              <bgColor theme="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338F60"/>
          </font>
          <fill>
            <patternFill patternType="solid">
              <fgColor rgb="FFFFFFFF"/>
              <bgColor rgb="FFD2EFE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sz val="36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40"/>
            <color auto="1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36"/>
            <color theme="1" tint="0.499984740745262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40"/>
            <color rgb="FFD2EFE0"/>
          </font>
          <fill>
            <patternFill patternType="solid">
              <fgColor theme="4" tint="0.59999389629810485"/>
              <bgColor rgb="FF000000"/>
            </patternFill>
          </fill>
          <border>
            <left style="thin">
              <color rgb="FFD2EFE0"/>
            </left>
            <right style="thin">
              <color rgb="FFD2EFE0"/>
            </right>
            <top style="thin">
              <color rgb="FFD2EFE0"/>
            </top>
            <bottom style="thin">
              <color rgb="FFD2EFE0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sz val="36"/>
            <color theme="1" tint="0.34998626667073579"/>
          </font>
          <fill>
            <patternFill patternType="solid">
              <fgColor rgb="FFFFFFFF"/>
              <bgColor rgb="FF000000"/>
            </patternFill>
          </fill>
          <border>
            <left style="thin">
              <color theme="1" tint="0.24994659260841701"/>
            </left>
            <right style="thin">
              <color theme="1" tint="0.24994659260841701"/>
            </right>
            <top style="thin">
              <color theme="1" tint="0.24994659260841701"/>
            </top>
            <bottom style="thin">
              <color theme="1" tint="0.24994659260841701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36"/>
            <color rgb="FF7030A0"/>
          </font>
          <fill>
            <patternFill patternType="solid">
              <fgColor theme="4" tint="0.59999389629810485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36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40"/>
            <color rgb="FF338F6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36"/>
            <color theme="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40"/>
            <color rgb="FF338F60"/>
          </font>
          <fill>
            <patternFill patternType="solid">
              <fgColor theme="4" tint="0.59999389629810485"/>
              <bgColor rgb="FFFFFFF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sz val="36"/>
            <color rgb="FF9CDCBB"/>
          </font>
          <fill>
            <patternFill patternType="solid">
              <fgColor rgb="FFFFFFFF"/>
              <bgColor rgb="FFF2F2F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menu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menu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menu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11-4E3D-8C12-A39423C78BE3}"/>
              </c:ext>
            </c:extLst>
          </c:dPt>
          <c:dPt>
            <c:idx val="1"/>
            <c:bubble3D val="0"/>
            <c:spPr>
              <a:solidFill>
                <a:srgbClr val="338F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11-4E3D-8C12-A39423C78BE3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0.76258324299210156</c:v>
                </c:pt>
                <c:pt idx="1">
                  <c:v>0.23741675700789841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11-4E3D-8C12-A39423C78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EA-4965-894A-5FD81BBFDA2D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EA-4965-894A-5FD81BBFDA2D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0.76258324299210156</c:v>
                </c:pt>
                <c:pt idx="1">
                  <c:v>0.23741675700789841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EA-4965-894A-5FD81BBF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Processing!$M$4</c:f>
          <c:strCache>
            <c:ptCount val="1"/>
            <c:pt idx="0">
              <c:v>Total Revenue by Motnhs</c:v>
            </c:pt>
          </c:strCache>
        </c:strRef>
      </c:tx>
      <c:layout>
        <c:manualLayout>
          <c:xMode val="edge"/>
          <c:yMode val="edge"/>
          <c:x val="3.6813596829808046E-2"/>
          <c:y val="5.5339757476158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5947712418300651E-2"/>
          <c:y val="0.17668758248051591"/>
          <c:w val="0.92810457516339873"/>
          <c:h val="0.50549538109110836"/>
        </c:manualLayout>
      </c:layout>
      <c:areaChart>
        <c:grouping val="standard"/>
        <c:varyColors val="0"/>
        <c:ser>
          <c:idx val="1"/>
          <c:order val="1"/>
          <c:spPr>
            <a:gradFill>
              <a:gsLst>
                <a:gs pos="99574">
                  <a:schemeClr val="bg1"/>
                </a:gs>
                <a:gs pos="21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val>
            <c:numRef>
              <c:f>Processing!$N$5:$N$16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232</c:v>
                </c:pt>
                <c:pt idx="11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1-4380-B4A6-88D6C25CA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areaChart>
      <c:lineChart>
        <c:grouping val="stacked"/>
        <c:varyColors val="0"/>
        <c:ser>
          <c:idx val="0"/>
          <c:order val="0"/>
          <c:spPr>
            <a:ln w="476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Processing!$N$5:$N$16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232</c:v>
                </c:pt>
                <c:pt idx="11">
                  <c:v>147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E1-4380-B4A6-88D6C25CA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7578224"/>
        <c:axId val="1057576976"/>
      </c:lineChart>
      <c:scatterChart>
        <c:scatterStyle val="lineMarker"/>
        <c:varyColors val="0"/>
        <c:ser>
          <c:idx val="2"/>
          <c:order val="2"/>
          <c:spPr>
            <a:ln w="2540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solidFill>
                <a:schemeClr val="bg1"/>
              </a:solidFill>
              <a:ln w="12700">
                <a:solidFill>
                  <a:srgbClr val="007AD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Processing!$O$14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1-4391-A960-AFDCBA6F4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scatterChart>
      <c:catAx>
        <c:axId val="1057578224"/>
        <c:scaling>
          <c:orientation val="minMax"/>
        </c:scaling>
        <c:delete val="1"/>
        <c:axPos val="b"/>
        <c:majorTickMark val="none"/>
        <c:minorTickMark val="none"/>
        <c:tickLblPos val="nextTo"/>
        <c:crossAx val="1057576976"/>
        <c:crosses val="autoZero"/>
        <c:auto val="1"/>
        <c:lblAlgn val="ctr"/>
        <c:lblOffset val="100"/>
        <c:noMultiLvlLbl val="0"/>
      </c:catAx>
      <c:valAx>
        <c:axId val="1057576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5757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Processing!$A$10</c:f>
          <c:strCache>
            <c:ptCount val="1"/>
            <c:pt idx="0">
              <c:v>Product
Distribution</c:v>
            </c:pt>
          </c:strCache>
        </c:strRef>
      </c:tx>
      <c:layout>
        <c:manualLayout>
          <c:xMode val="edge"/>
          <c:yMode val="edge"/>
          <c:x val="0.31162625923133519"/>
          <c:y val="0.36749250135802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9071052894528873"/>
          <c:y val="0.11516788761275751"/>
          <c:w val="0.59537797378437052"/>
          <c:h val="0.7284651089126518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E2F6E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74-4F75-981E-16FD3F248F49}"/>
              </c:ext>
            </c:extLst>
          </c:dPt>
          <c:dPt>
            <c:idx val="1"/>
            <c:bubble3D val="0"/>
            <c:spPr>
              <a:solidFill>
                <a:srgbClr val="9CDCB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74-4F75-981E-16FD3F248F49}"/>
              </c:ext>
            </c:extLst>
          </c:dPt>
          <c:dPt>
            <c:idx val="2"/>
            <c:bubble3D val="0"/>
            <c:spPr>
              <a:solidFill>
                <a:srgbClr val="338F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74-4F75-981E-16FD3F248F49}"/>
              </c:ext>
            </c:extLst>
          </c:dPt>
          <c:dLbls>
            <c:dLbl>
              <c:idx val="0"/>
              <c:layout>
                <c:manualLayout>
                  <c:x val="0.16796545005313979"/>
                  <c:y val="-5.2931792185900946E-2"/>
                </c:manualLayout>
              </c:layout>
              <c:tx>
                <c:rich>
                  <a:bodyPr/>
                  <a:lstStyle/>
                  <a:p>
                    <a:fld id="{5905BA9A-B0E4-4854-8FF4-D3FCFBC3BEBF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974-4F75-981E-16FD3F248F49}"/>
                </c:ext>
              </c:extLst>
            </c:dLbl>
            <c:dLbl>
              <c:idx val="1"/>
              <c:layout>
                <c:manualLayout>
                  <c:x val="-0.1514143359343065"/>
                  <c:y val="2.6465795217262646E-2"/>
                </c:manualLayout>
              </c:layout>
              <c:tx>
                <c:rich>
                  <a:bodyPr/>
                  <a:lstStyle/>
                  <a:p>
                    <a:fld id="{26EA1799-5007-4591-B567-B879DF1C4212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974-4F75-981E-16FD3F248F49}"/>
                </c:ext>
              </c:extLst>
            </c:dLbl>
            <c:dLbl>
              <c:idx val="2"/>
              <c:layout>
                <c:manualLayout>
                  <c:x val="-0.14394864970432475"/>
                  <c:y val="-0.15131746673408822"/>
                </c:manualLayout>
              </c:layout>
              <c:tx>
                <c:rich>
                  <a:bodyPr/>
                  <a:lstStyle/>
                  <a:p>
                    <a:fld id="{8106A556-E650-4B56-805B-312063114108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974-4F75-981E-16FD3F248F49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Processing!$A$11:$A$13</c:f>
              <c:strCache>
                <c:ptCount val="3"/>
                <c:pt idx="0">
                  <c:v>online</c:v>
                </c:pt>
                <c:pt idx="1">
                  <c:v>video</c:v>
                </c:pt>
                <c:pt idx="2">
                  <c:v>books</c:v>
                </c:pt>
              </c:strCache>
            </c:strRef>
          </c:cat>
          <c:val>
            <c:numRef>
              <c:f>Processing!$B$11:$B$13</c:f>
              <c:numCache>
                <c:formatCode>General</c:formatCode>
                <c:ptCount val="3"/>
                <c:pt idx="0">
                  <c:v>561</c:v>
                </c:pt>
                <c:pt idx="1">
                  <c:v>451</c:v>
                </c:pt>
                <c:pt idx="2">
                  <c:v>287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Processing!$C$11:$C$13</c15:f>
                <c15:dlblRangeCache>
                  <c:ptCount val="3"/>
                  <c:pt idx="0">
                    <c:v>561</c:v>
                  </c:pt>
                  <c:pt idx="1">
                    <c:v>451</c:v>
                  </c:pt>
                  <c:pt idx="2">
                    <c:v>287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974-4F75-981E-16FD3F248F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816794898580219E-2"/>
          <c:y val="0.85084321850249689"/>
          <c:w val="0.81668475841834187"/>
          <c:h val="0.14887114005754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Processing!$A$15</c:f>
          <c:strCache>
            <c:ptCount val="1"/>
            <c:pt idx="0">
              <c:v>Product Comparison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4682969779595546"/>
          <c:y val="0.27461507750838671"/>
          <c:w val="0.56086684844353563"/>
          <c:h val="0.60266739913324796"/>
        </c:manualLayout>
      </c:layout>
      <c:radarChart>
        <c:radarStyle val="filled"/>
        <c:varyColors val="0"/>
        <c:ser>
          <c:idx val="4"/>
          <c:order val="4"/>
          <c:tx>
            <c:v>TotalPlus</c:v>
          </c:tx>
          <c:spPr>
            <a:solidFill>
              <a:srgbClr val="7DD1A5">
                <a:alpha val="41961"/>
              </a:srgbClr>
            </a:solidFill>
            <a:ln>
              <a:noFill/>
            </a:ln>
            <a:effectLst/>
          </c:spP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231</c:v>
                </c:pt>
                <c:pt idx="11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1C-4E91-9F86-BB149AEC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radarChart>
        <c:radarStyle val="marker"/>
        <c:varyColors val="0"/>
        <c:ser>
          <c:idx val="0"/>
          <c:order val="0"/>
          <c:tx>
            <c:strRef>
              <c:f>Processing!$B$15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4FC185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231</c:v>
                </c:pt>
                <c:pt idx="11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C-4E91-9F86-BB149AECBF61}"/>
            </c:ext>
          </c:extLst>
        </c:ser>
        <c:ser>
          <c:idx val="1"/>
          <c:order val="1"/>
          <c:tx>
            <c:strRef>
              <c:f>Processing!$C$15</c:f>
              <c:strCache>
                <c:ptCount val="1"/>
                <c:pt idx="0">
                  <c:v>online</c:v>
                </c:pt>
              </c:strCache>
            </c:strRef>
          </c:tx>
          <c:spPr>
            <a:ln w="19050" cap="rnd">
              <a:solidFill>
                <a:srgbClr val="C8EEDA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Processing!$C$29:$C$40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C-4E91-9F86-BB149AECBF61}"/>
            </c:ext>
          </c:extLst>
        </c:ser>
        <c:ser>
          <c:idx val="2"/>
          <c:order val="2"/>
          <c:tx>
            <c:strRef>
              <c:f>Processing!$D$15</c:f>
              <c:strCache>
                <c:ptCount val="1"/>
                <c:pt idx="0">
                  <c:v>video</c:v>
                </c:pt>
              </c:strCache>
            </c:strRef>
          </c:tx>
          <c:spPr>
            <a:ln w="19050" cap="rnd">
              <a:solidFill>
                <a:srgbClr val="338F60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Processing!$D$29:$D$40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C-4E91-9F86-BB149AECBF61}"/>
            </c:ext>
          </c:extLst>
        </c:ser>
        <c:ser>
          <c:idx val="3"/>
          <c:order val="3"/>
          <c:tx>
            <c:strRef>
              <c:f>Processing!$E$15</c:f>
              <c:strCache>
                <c:ptCount val="1"/>
                <c:pt idx="0">
                  <c:v>books</c:v>
                </c:pt>
              </c:strCache>
            </c:strRef>
          </c:tx>
          <c:spPr>
            <a:ln w="19050" cap="rnd">
              <a:solidFill>
                <a:srgbClr val="9CDCBB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Processing!$E$29:$E$40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C-4E91-9F86-BB149AEC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catAx>
        <c:axId val="85711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121632"/>
        <c:crosses val="autoZero"/>
        <c:auto val="1"/>
        <c:lblAlgn val="ctr"/>
        <c:lblOffset val="100"/>
        <c:noMultiLvlLbl val="0"/>
      </c:catAx>
      <c:valAx>
        <c:axId val="8571216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5711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Processing!$H$25</c:f>
          <c:strCache>
            <c:ptCount val="1"/>
            <c:pt idx="0">
              <c:v>Cost Ad</c:v>
            </c:pt>
          </c:strCache>
        </c:strRef>
      </c:tx>
      <c:layout>
        <c:manualLayout>
          <c:xMode val="edge"/>
          <c:yMode val="edge"/>
          <c:x val="0.39025627975210325"/>
          <c:y val="1.5506715506715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531041984770914"/>
          <c:y val="0.18596459096459098"/>
          <c:w val="0.76498108839056711"/>
          <c:h val="0.45515689865689868"/>
        </c:manualLayout>
      </c:layout>
      <c:lineChart>
        <c:grouping val="standard"/>
        <c:varyColors val="0"/>
        <c:ser>
          <c:idx val="0"/>
          <c:order val="0"/>
          <c:tx>
            <c:strRef>
              <c:f>Processing!$L$25</c:f>
              <c:strCache>
                <c:ptCount val="1"/>
                <c:pt idx="0">
                  <c:v>Chart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1587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Processing!$J$26:$J$31</c:f>
              <c:strCache>
                <c:ptCount val="6"/>
                <c:pt idx="0">
                  <c:v>Facebook</c:v>
                </c:pt>
                <c:pt idx="1">
                  <c:v>Youtube</c:v>
                </c:pt>
                <c:pt idx="2">
                  <c:v>Google Ad</c:v>
                </c:pt>
                <c:pt idx="3">
                  <c:v>Twitter</c:v>
                </c:pt>
                <c:pt idx="4">
                  <c:v>Instagram</c:v>
                </c:pt>
                <c:pt idx="5">
                  <c:v>Tiktok</c:v>
                </c:pt>
              </c:strCache>
            </c:strRef>
          </c:cat>
          <c:val>
            <c:numRef>
              <c:f>Processing!$L$26:$L$31</c:f>
              <c:numCache>
                <c:formatCode>General</c:formatCode>
                <c:ptCount val="6"/>
                <c:pt idx="0">
                  <c:v>187</c:v>
                </c:pt>
                <c:pt idx="1">
                  <c:v>177</c:v>
                </c:pt>
                <c:pt idx="2">
                  <c:v>136</c:v>
                </c:pt>
                <c:pt idx="3">
                  <c:v>70</c:v>
                </c:pt>
                <c:pt idx="4">
                  <c:v>50</c:v>
                </c:pt>
                <c:pt idx="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D-487F-81B3-A49E49725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362144"/>
        <c:axId val="1586359232"/>
      </c:lineChart>
      <c:catAx>
        <c:axId val="158636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6359232"/>
        <c:crosses val="autoZero"/>
        <c:auto val="1"/>
        <c:lblAlgn val="ctr"/>
        <c:lblOffset val="100"/>
        <c:noMultiLvlLbl val="0"/>
      </c:catAx>
      <c:valAx>
        <c:axId val="15863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636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Processing!$K$18</c:f>
          <c:strCache>
            <c:ptCount val="1"/>
            <c:pt idx="0">
              <c:v>Top Revenue</c:v>
            </c:pt>
          </c:strCache>
        </c:strRef>
      </c:tx>
      <c:layout>
        <c:manualLayout>
          <c:xMode val="edge"/>
          <c:yMode val="edge"/>
          <c:x val="0.363290444843407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30800618392180329"/>
          <c:y val="0.28830771153605794"/>
          <c:w val="0.5838011170955516"/>
          <c:h val="0.6243907011623547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Processing!$J$19:$J$24</c:f>
              <c:strCache>
                <c:ptCount val="6"/>
                <c:pt idx="0">
                  <c:v>Facebook</c:v>
                </c:pt>
                <c:pt idx="1">
                  <c:v>Youtube</c:v>
                </c:pt>
                <c:pt idx="2">
                  <c:v>Google Ad</c:v>
                </c:pt>
                <c:pt idx="3">
                  <c:v>Twitter</c:v>
                </c:pt>
                <c:pt idx="4">
                  <c:v>Instagram</c:v>
                </c:pt>
                <c:pt idx="5">
                  <c:v>Tiktok</c:v>
                </c:pt>
              </c:strCache>
            </c:strRef>
          </c:cat>
          <c:val>
            <c:numRef>
              <c:f>Processing!$K$19:$K$24</c:f>
              <c:numCache>
                <c:formatCode>General</c:formatCode>
                <c:ptCount val="6"/>
                <c:pt idx="0">
                  <c:v>375</c:v>
                </c:pt>
                <c:pt idx="1">
                  <c:v>355</c:v>
                </c:pt>
                <c:pt idx="2">
                  <c:v>272</c:v>
                </c:pt>
                <c:pt idx="3">
                  <c:v>140</c:v>
                </c:pt>
                <c:pt idx="4">
                  <c:v>100</c:v>
                </c:pt>
                <c:pt idx="5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4-450D-B843-B7C6560FD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1562744032"/>
        <c:axId val="1562755264"/>
      </c:barChart>
      <c:catAx>
        <c:axId val="1562744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755264"/>
        <c:crosses val="autoZero"/>
        <c:auto val="1"/>
        <c:lblAlgn val="ctr"/>
        <c:lblOffset val="100"/>
        <c:noMultiLvlLbl val="0"/>
      </c:catAx>
      <c:valAx>
        <c:axId val="156275526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74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Processing!$L$18</c:f>
          <c:strCache>
            <c:ptCount val="1"/>
            <c:pt idx="0">
              <c:v>Top Traffic Sources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8180573339024045"/>
          <c:y val="0.18270318197533139"/>
          <c:w val="0.64768103570920477"/>
          <c:h val="0.8032912080610555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25-4847-9447-D7348AF19077}"/>
              </c:ext>
            </c:extLst>
          </c:dPt>
          <c:val>
            <c:numRef>
              <c:f>Processing!$L$24:$M$24</c:f>
              <c:numCache>
                <c:formatCode>General</c:formatCode>
                <c:ptCount val="2"/>
                <c:pt idx="0">
                  <c:v>2.7</c:v>
                </c:pt>
                <c:pt idx="1">
                  <c:v>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25-4847-9447-D7348AF1907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125-4847-9447-D7348AF19077}"/>
              </c:ext>
            </c:extLst>
          </c:dPt>
          <c:val>
            <c:numRef>
              <c:f>Processing!$L$23:$M$23</c:f>
              <c:numCache>
                <c:formatCode>General</c:formatCode>
                <c:ptCount val="2"/>
                <c:pt idx="0">
                  <c:v>3.9</c:v>
                </c:pt>
                <c:pt idx="1">
                  <c:v>7.1399999999999988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25-4847-9447-D7348AF1907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rgbClr val="338F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125-4847-9447-D7348AF19077}"/>
              </c:ext>
            </c:extLst>
          </c:dPt>
          <c:val>
            <c:numRef>
              <c:f>Processing!$L$22:$M$22</c:f>
              <c:numCache>
                <c:formatCode>General</c:formatCode>
                <c:ptCount val="2"/>
                <c:pt idx="0">
                  <c:v>5.3</c:v>
                </c:pt>
                <c:pt idx="1">
                  <c:v>5.7399999999999993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25-4847-9447-D7348AF1907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rgbClr val="FF00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F125-4847-9447-D7348AF19077}"/>
              </c:ext>
            </c:extLst>
          </c:dPt>
          <c:val>
            <c:numRef>
              <c:f>Processing!$L$21:$M$21</c:f>
              <c:numCache>
                <c:formatCode>General</c:formatCode>
                <c:ptCount val="2"/>
                <c:pt idx="0">
                  <c:v>6.7</c:v>
                </c:pt>
                <c:pt idx="1">
                  <c:v>4.339999999999999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125-4847-9447-D7348AF1907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rgbClr val="CC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125-4847-9447-D7348AF19077}"/>
              </c:ext>
            </c:extLst>
          </c:dPt>
          <c:val>
            <c:numRef>
              <c:f>Processing!$L$20:$M$20</c:f>
              <c:numCache>
                <c:formatCode>General</c:formatCode>
                <c:ptCount val="2"/>
                <c:pt idx="0">
                  <c:v>7.4</c:v>
                </c:pt>
                <c:pt idx="1">
                  <c:v>3.6399999999999988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125-4847-9447-D7348AF19077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F125-4847-9447-D7348AF19077}"/>
              </c:ext>
            </c:extLst>
          </c:dPt>
          <c:val>
            <c:numRef>
              <c:f>Processing!$L$19:$M$19</c:f>
              <c:numCache>
                <c:formatCode>General</c:formatCode>
                <c:ptCount val="2"/>
                <c:pt idx="0">
                  <c:v>9.1999999999999993</c:v>
                </c:pt>
                <c:pt idx="1">
                  <c:v>1.8399999999999999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125-4847-9447-D7348AF19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Processing!$O$32</c:f>
          <c:strCache>
            <c:ptCount val="1"/>
            <c:pt idx="0">
              <c:v>Traffic in Month </c:v>
            </c:pt>
          </c:strCache>
        </c:strRef>
      </c:tx>
      <c:layout>
        <c:manualLayout>
          <c:xMode val="edge"/>
          <c:yMode val="edge"/>
          <c:x val="3.8344867358708179E-2"/>
          <c:y val="2.7776927215702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3415128796616686"/>
          <c:y val="0.31046964439138147"/>
          <c:w val="0.6279315647827759"/>
          <c:h val="0.55454636748083586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Processing!$N$34:$N$45</c:f>
              <c:numCache>
                <c:formatCode>General</c:formatCode>
                <c:ptCount val="12"/>
                <c:pt idx="0">
                  <c:v>1102177</c:v>
                </c:pt>
                <c:pt idx="1">
                  <c:v>2012801</c:v>
                </c:pt>
                <c:pt idx="2">
                  <c:v>3335497</c:v>
                </c:pt>
                <c:pt idx="3">
                  <c:v>3057338</c:v>
                </c:pt>
                <c:pt idx="4">
                  <c:v>2950955</c:v>
                </c:pt>
                <c:pt idx="5">
                  <c:v>3182955</c:v>
                </c:pt>
                <c:pt idx="6">
                  <c:v>3751497</c:v>
                </c:pt>
                <c:pt idx="7">
                  <c:v>2780422</c:v>
                </c:pt>
                <c:pt idx="8">
                  <c:v>2866644</c:v>
                </c:pt>
                <c:pt idx="9">
                  <c:v>2484879</c:v>
                </c:pt>
                <c:pt idx="10">
                  <c:v>4358882</c:v>
                </c:pt>
                <c:pt idx="11">
                  <c:v>3315416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5A8-4596-A773-896EF3DC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541184"/>
        <c:axId val="173553494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2700">
                <a:solidFill>
                  <a:srgbClr val="7030A0"/>
                </a:solidFill>
              </a:ln>
              <a:effectLst/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Processing!$O$34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A8-4596-A773-896EF3DC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541184"/>
        <c:axId val="1735534944"/>
      </c:scatterChart>
      <c:catAx>
        <c:axId val="17355411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35534944"/>
        <c:crosses val="autoZero"/>
        <c:auto val="1"/>
        <c:lblAlgn val="ctr"/>
        <c:lblOffset val="100"/>
        <c:noMultiLvlLbl val="0"/>
      </c:catAx>
      <c:valAx>
        <c:axId val="17355349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54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Processing!$A$47</c:f>
          <c:strCache>
            <c:ptCount val="1"/>
            <c:pt idx="0">
              <c:v>Count product sales by Managers and Teams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5707366248180765E-2"/>
          <c:y val="0.1002464451804701"/>
          <c:w val="0.92858526750363846"/>
          <c:h val="0.64289264048818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Processing!$A$50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C8EEDA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Processing!$B$50:$Q$50</c:f>
              <c:numCache>
                <c:formatCode>General</c:formatCode>
                <c:ptCount val="16"/>
                <c:pt idx="0">
                  <c:v>40720.699999999997</c:v>
                </c:pt>
                <c:pt idx="1">
                  <c:v>35616.699999999997</c:v>
                </c:pt>
                <c:pt idx="2">
                  <c:v>32199.300000000003</c:v>
                </c:pt>
                <c:pt idx="3">
                  <c:v>27095.300000000003</c:v>
                </c:pt>
                <c:pt idx="4">
                  <c:v>34778.660000000003</c:v>
                </c:pt>
                <c:pt idx="5">
                  <c:v>49189.120000000003</c:v>
                </c:pt>
                <c:pt idx="6">
                  <c:v>27613.88</c:v>
                </c:pt>
                <c:pt idx="7">
                  <c:v>42024.34</c:v>
                </c:pt>
                <c:pt idx="8">
                  <c:v>25407.519999999997</c:v>
                </c:pt>
                <c:pt idx="9">
                  <c:v>36566.26</c:v>
                </c:pt>
                <c:pt idx="10">
                  <c:v>26790.240000000002</c:v>
                </c:pt>
                <c:pt idx="11">
                  <c:v>37948.980000000003</c:v>
                </c:pt>
                <c:pt idx="12">
                  <c:v>37999.910000000003</c:v>
                </c:pt>
                <c:pt idx="13">
                  <c:v>35074.899999999994</c:v>
                </c:pt>
                <c:pt idx="14">
                  <c:v>37270.6</c:v>
                </c:pt>
                <c:pt idx="15">
                  <c:v>34345.589999999997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D-4E4A-88AB-CC3D6BFC484D}"/>
            </c:ext>
          </c:extLst>
        </c:ser>
        <c:ser>
          <c:idx val="1"/>
          <c:order val="1"/>
          <c:tx>
            <c:strRef>
              <c:f>Processing!$A$51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rgbClr val="9CDCBB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Processing!$B$51:$Q$51</c:f>
              <c:numCache>
                <c:formatCode>General</c:formatCode>
                <c:ptCount val="16"/>
                <c:pt idx="0">
                  <c:v>31575.029999999995</c:v>
                </c:pt>
                <c:pt idx="1">
                  <c:v>30583.200000000001</c:v>
                </c:pt>
                <c:pt idx="2">
                  <c:v>29524.799999999999</c:v>
                </c:pt>
                <c:pt idx="3">
                  <c:v>28532.970000000005</c:v>
                </c:pt>
                <c:pt idx="4">
                  <c:v>33470.81</c:v>
                </c:pt>
                <c:pt idx="5">
                  <c:v>24892.14</c:v>
                </c:pt>
                <c:pt idx="6">
                  <c:v>27861.86</c:v>
                </c:pt>
                <c:pt idx="7">
                  <c:v>19283.190000000002</c:v>
                </c:pt>
                <c:pt idx="8">
                  <c:v>33677.840000000004</c:v>
                </c:pt>
                <c:pt idx="9">
                  <c:v>24311.620000000003</c:v>
                </c:pt>
                <c:pt idx="10">
                  <c:v>35771.879999999997</c:v>
                </c:pt>
                <c:pt idx="11">
                  <c:v>26405.66</c:v>
                </c:pt>
                <c:pt idx="12">
                  <c:v>29785.03</c:v>
                </c:pt>
                <c:pt idx="13">
                  <c:v>19577.46</c:v>
                </c:pt>
                <c:pt idx="14">
                  <c:v>33152.54</c:v>
                </c:pt>
                <c:pt idx="15">
                  <c:v>22944.97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D-4E4A-88AB-CC3D6BFC484D}"/>
            </c:ext>
          </c:extLst>
        </c:ser>
        <c:ser>
          <c:idx val="2"/>
          <c:order val="2"/>
          <c:tx>
            <c:strRef>
              <c:f>Processing!$A$52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rgbClr val="338F60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Processing!$B$52:$Q$52</c:f>
              <c:numCache>
                <c:formatCode>General</c:formatCode>
                <c:ptCount val="16"/>
                <c:pt idx="0">
                  <c:v>14033.209999999997</c:v>
                </c:pt>
                <c:pt idx="1">
                  <c:v>14759.49</c:v>
                </c:pt>
                <c:pt idx="2">
                  <c:v>21662.010000000002</c:v>
                </c:pt>
                <c:pt idx="3">
                  <c:v>22388.289999999997</c:v>
                </c:pt>
                <c:pt idx="4">
                  <c:v>17633.45</c:v>
                </c:pt>
                <c:pt idx="5">
                  <c:v>16723.12</c:v>
                </c:pt>
                <c:pt idx="6">
                  <c:v>18826.38</c:v>
                </c:pt>
                <c:pt idx="7">
                  <c:v>17916.049999999996</c:v>
                </c:pt>
                <c:pt idx="8">
                  <c:v>20501.740000000002</c:v>
                </c:pt>
                <c:pt idx="9">
                  <c:v>17990.399999999998</c:v>
                </c:pt>
                <c:pt idx="10">
                  <c:v>18206.599999999999</c:v>
                </c:pt>
                <c:pt idx="11">
                  <c:v>15695.259999999998</c:v>
                </c:pt>
                <c:pt idx="12">
                  <c:v>16013.17</c:v>
                </c:pt>
                <c:pt idx="13">
                  <c:v>18013.879999999997</c:v>
                </c:pt>
                <c:pt idx="14">
                  <c:v>17313.62</c:v>
                </c:pt>
                <c:pt idx="15">
                  <c:v>19314.330000000002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4D-4E4A-88AB-CC3D6BFC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00170928"/>
        <c:axId val="1400171344"/>
      </c:barChart>
      <c:lineChart>
        <c:grouping val="standard"/>
        <c:varyColors val="0"/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Processing!$B$53:$Q$53</c:f>
              <c:numCache>
                <c:formatCode>General</c:formatCode>
                <c:ptCount val="16"/>
                <c:pt idx="0">
                  <c:v>219127.33333333334</c:v>
                </c:pt>
                <c:pt idx="1">
                  <c:v>219127.33333333334</c:v>
                </c:pt>
                <c:pt idx="2">
                  <c:v>219127.33333333334</c:v>
                </c:pt>
                <c:pt idx="3">
                  <c:v>219127.33333333334</c:v>
                </c:pt>
                <c:pt idx="4">
                  <c:v>220142</c:v>
                </c:pt>
                <c:pt idx="5">
                  <c:v>220142</c:v>
                </c:pt>
                <c:pt idx="6">
                  <c:v>220142</c:v>
                </c:pt>
                <c:pt idx="7">
                  <c:v>220142</c:v>
                </c:pt>
                <c:pt idx="8">
                  <c:v>212849.33333333334</c:v>
                </c:pt>
                <c:pt idx="9">
                  <c:v>212849.33333333334</c:v>
                </c:pt>
                <c:pt idx="10">
                  <c:v>212849.33333333334</c:v>
                </c:pt>
                <c:pt idx="11">
                  <c:v>212849.33333333334</c:v>
                </c:pt>
                <c:pt idx="12">
                  <c:v>213870.66666666666</c:v>
                </c:pt>
                <c:pt idx="13">
                  <c:v>213870.66666666666</c:v>
                </c:pt>
                <c:pt idx="14">
                  <c:v>213870.66666666666</c:v>
                </c:pt>
                <c:pt idx="15">
                  <c:v>213870.66666666666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4D-4E4A-88AB-CC3D6BFC484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Processing!$B$54:$Q$54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4D-4E4A-88AB-CC3D6BFC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gradFill>
                <a:gsLst>
                  <a:gs pos="0">
                    <a:srgbClr val="7030A0">
                      <a:alpha val="74000"/>
                    </a:srgbClr>
                  </a:gs>
                  <a:gs pos="72000">
                    <a:srgbClr val="B686DA">
                      <a:alpha val="0"/>
                    </a:srgbClr>
                  </a:gs>
                </a:gsLst>
                <a:lin ang="5400000" scaled="1"/>
              </a:gradFill>
              <a:ln w="9525" cap="flat" cmpd="sng" algn="ctr">
                <a:solidFill>
                  <a:schemeClr val="bg1"/>
                </a:solidFill>
                <a:round/>
              </a:ln>
              <a:effectLst/>
            </c:spPr>
          </c:downBars>
        </c:upDownBars>
        <c:marker val="1"/>
        <c:smooth val="0"/>
        <c:axId val="1400170928"/>
        <c:axId val="1400171344"/>
      </c:lineChart>
      <c:catAx>
        <c:axId val="14001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0171344"/>
        <c:crosses val="autoZero"/>
        <c:auto val="1"/>
        <c:lblAlgn val="ctr"/>
        <c:lblOffset val="100"/>
        <c:noMultiLvlLbl val="0"/>
      </c:catAx>
      <c:valAx>
        <c:axId val="14001713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001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33656896005167586"/>
          <c:y val="0.88649244143462647"/>
          <c:w val="0.32686195895160924"/>
          <c:h val="9.2469224559751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rgbClr val="B686DA">
                    <a:alpha val="67000"/>
                  </a:srgbClr>
                </a:gs>
                <a:gs pos="100000">
                  <a:srgbClr val="FE4C35">
                    <a:alpha val="0"/>
                  </a:srgb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val>
            <c:numRef>
              <c:f>Processing!$T$34:$T$45</c:f>
              <c:numCache>
                <c:formatCode>mm:ss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D-45B5-85E3-C55C0E73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952031823"/>
        <c:axId val="1952032655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Processing!$R$34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Processing!$S$34</c:f>
              <c:numCache>
                <c:formatCode>mm:ss</c:formatCode>
                <c:ptCount val="1"/>
                <c:pt idx="0">
                  <c:v>3.3188657407407416E-3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7D-45B5-85E3-C55C0E73E75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Processing!$R$35</c:f>
              <c:numCache>
                <c:formatCode>General</c:formatCode>
                <c:ptCount val="1"/>
                <c:pt idx="0">
                  <c:v>2</c:v>
                </c:pt>
              </c:numCache>
            </c:numRef>
          </c:xVal>
          <c:yVal>
            <c:numRef>
              <c:f>Processing!$S$35</c:f>
              <c:numCache>
                <c:formatCode>mm:ss</c:formatCode>
                <c:ptCount val="1"/>
                <c:pt idx="0">
                  <c:v>2.7498070987654324E-3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7D-45B5-85E3-C55C0E73E75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Processing!$R$36</c:f>
              <c:numCache>
                <c:formatCode>General</c:formatCode>
                <c:ptCount val="1"/>
                <c:pt idx="0">
                  <c:v>3</c:v>
                </c:pt>
              </c:numCache>
            </c:numRef>
          </c:xVal>
          <c:yVal>
            <c:numRef>
              <c:f>Processing!$S$36</c:f>
              <c:numCache>
                <c:formatCode>mm:ss</c:formatCode>
                <c:ptCount val="1"/>
                <c:pt idx="0">
                  <c:v>1.7480066872427981E-3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7D-45B5-85E3-C55C0E73E75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Processing!$R$37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Processing!$S$37</c:f>
              <c:numCache>
                <c:formatCode>mm:ss</c:formatCode>
                <c:ptCount val="1"/>
                <c:pt idx="0">
                  <c:v>4.0097736625514411E-3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7D-45B5-85E3-C55C0E73E7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Processing!$R$38</c:f>
              <c:numCache>
                <c:formatCode>General</c:formatCode>
                <c:ptCount val="1"/>
                <c:pt idx="0">
                  <c:v>5</c:v>
                </c:pt>
              </c:numCache>
            </c:numRef>
          </c:xVal>
          <c:yVal>
            <c:numRef>
              <c:f>Processing!$S$38</c:f>
              <c:numCache>
                <c:formatCode>mm:ss</c:formatCode>
                <c:ptCount val="1"/>
                <c:pt idx="0">
                  <c:v>2.9292052469135797E-3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7D-45B5-85E3-C55C0E73E756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Processing!$R$39</c:f>
              <c:numCache>
                <c:formatCode>General</c:formatCode>
                <c:ptCount val="1"/>
                <c:pt idx="0">
                  <c:v>6</c:v>
                </c:pt>
              </c:numCache>
            </c:numRef>
          </c:xVal>
          <c:yVal>
            <c:numRef>
              <c:f>Processing!$S$39</c:f>
              <c:numCache>
                <c:formatCode>mm:ss</c:formatCode>
                <c:ptCount val="1"/>
                <c:pt idx="0">
                  <c:v>3.5852301954732504E-3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7D-45B5-85E3-C55C0E73E756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Processing!$R$40</c:f>
              <c:numCache>
                <c:formatCode>General</c:formatCode>
                <c:ptCount val="1"/>
                <c:pt idx="0">
                  <c:v>7</c:v>
                </c:pt>
              </c:numCache>
            </c:numRef>
          </c:xVal>
          <c:yVal>
            <c:numRef>
              <c:f>Processing!$S$40</c:f>
              <c:numCache>
                <c:formatCode>mm:ss</c:formatCode>
                <c:ptCount val="1"/>
                <c:pt idx="0">
                  <c:v>2.9865933641975307E-3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D-45B5-85E3-C55C0E73E756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Processing!$R$41</c:f>
              <c:numCache>
                <c:formatCode>General</c:formatCode>
                <c:ptCount val="1"/>
                <c:pt idx="0">
                  <c:v>8</c:v>
                </c:pt>
              </c:numCache>
            </c:numRef>
          </c:xVal>
          <c:yVal>
            <c:numRef>
              <c:f>Processing!$S$41</c:f>
              <c:numCache>
                <c:formatCode>mm:ss</c:formatCode>
                <c:ptCount val="1"/>
                <c:pt idx="0">
                  <c:v>3.9009452160493818E-3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7D-45B5-85E3-C55C0E73E756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Processing!$R$42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Processing!$S$42</c:f>
              <c:numCache>
                <c:formatCode>mm:ss</c:formatCode>
                <c:ptCount val="1"/>
                <c:pt idx="0">
                  <c:v>4.4153485082304537E-3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7D-45B5-85E3-C55C0E73E756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Processing!$R$43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Processing!$S$43</c:f>
              <c:numCache>
                <c:formatCode>mm:ss</c:formatCode>
                <c:ptCount val="1"/>
                <c:pt idx="0">
                  <c:v>2.9087898662551429E-3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7D-45B5-85E3-C55C0E73E756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Processing!$R$44</c:f>
              <c:numCache>
                <c:formatCode>General</c:formatCode>
                <c:ptCount val="1"/>
                <c:pt idx="0">
                  <c:v>11</c:v>
                </c:pt>
              </c:numCache>
            </c:numRef>
          </c:xVal>
          <c:yVal>
            <c:numRef>
              <c:f>Processing!$S$44</c:f>
              <c:numCache>
                <c:formatCode>mm:ss</c:formatCode>
                <c:ptCount val="1"/>
                <c:pt idx="0">
                  <c:v>3.614647633744856E-3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E7D-45B5-85E3-C55C0E73E756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Processing!$R$45</c:f>
              <c:numCache>
                <c:formatCode>General</c:formatCode>
                <c:ptCount val="1"/>
                <c:pt idx="0">
                  <c:v>12</c:v>
                </c:pt>
              </c:numCache>
            </c:numRef>
          </c:xVal>
          <c:yVal>
            <c:numRef>
              <c:f>Processing!$S$45</c:f>
              <c:numCache>
                <c:formatCode>mm:ss</c:formatCode>
                <c:ptCount val="1"/>
                <c:pt idx="0">
                  <c:v>3.1658307613168721E-3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E7D-45B5-85E3-C55C0E73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31823"/>
        <c:axId val="1952032655"/>
      </c:scatterChart>
      <c:catAx>
        <c:axId val="195203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032655"/>
        <c:crosses val="autoZero"/>
        <c:auto val="1"/>
        <c:lblAlgn val="ctr"/>
        <c:lblOffset val="100"/>
        <c:noMultiLvlLbl val="0"/>
      </c:catAx>
      <c:valAx>
        <c:axId val="19520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03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Processing!$H$32</c:f>
          <c:strCache>
            <c:ptCount val="1"/>
            <c:pt idx="0">
              <c:v>Traffic from Channels by Month</c:v>
            </c:pt>
          </c:strCache>
        </c:strRef>
      </c:tx>
      <c:layout>
        <c:manualLayout>
          <c:xMode val="edge"/>
          <c:yMode val="edge"/>
          <c:x val="0.31505433316162584"/>
          <c:y val="6.3191153238546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4267912772585667E-2"/>
          <c:y val="0.23302319833339219"/>
          <c:w val="0.75791228199278826"/>
          <c:h val="0.62029824747242901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Processing!$M$33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Processing!$M$34:$M$45</c:f>
              <c:numCache>
                <c:formatCode>General</c:formatCode>
                <c:ptCount val="12"/>
                <c:pt idx="0">
                  <c:v>198146</c:v>
                </c:pt>
                <c:pt idx="1">
                  <c:v>551993</c:v>
                </c:pt>
                <c:pt idx="2">
                  <c:v>410454</c:v>
                </c:pt>
                <c:pt idx="3">
                  <c:v>651069</c:v>
                </c:pt>
                <c:pt idx="4">
                  <c:v>629837</c:v>
                </c:pt>
                <c:pt idx="5">
                  <c:v>1521532</c:v>
                </c:pt>
                <c:pt idx="6">
                  <c:v>205224</c:v>
                </c:pt>
                <c:pt idx="7">
                  <c:v>297224</c:v>
                </c:pt>
                <c:pt idx="8">
                  <c:v>1641839</c:v>
                </c:pt>
                <c:pt idx="9">
                  <c:v>268916</c:v>
                </c:pt>
                <c:pt idx="10">
                  <c:v>1783378</c:v>
                </c:pt>
                <c:pt idx="11">
                  <c:v>1040298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B3-4CCD-92E1-8505B47761D3}"/>
            </c:ext>
          </c:extLst>
        </c:ser>
        <c:ser>
          <c:idx val="4"/>
          <c:order val="1"/>
          <c:tx>
            <c:strRef>
              <c:f>Processing!$L$33</c:f>
              <c:strCache>
                <c:ptCount val="1"/>
                <c:pt idx="0">
                  <c:v>Youtube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val>
            <c:numRef>
              <c:f>Processing!$L$34:$L$45</c:f>
              <c:numCache>
                <c:formatCode>General</c:formatCode>
                <c:ptCount val="12"/>
                <c:pt idx="0">
                  <c:v>330147</c:v>
                </c:pt>
                <c:pt idx="1">
                  <c:v>165070</c:v>
                </c:pt>
                <c:pt idx="2">
                  <c:v>239069</c:v>
                </c:pt>
                <c:pt idx="3">
                  <c:v>1223836</c:v>
                </c:pt>
                <c:pt idx="4">
                  <c:v>216300</c:v>
                </c:pt>
                <c:pt idx="5">
                  <c:v>836760</c:v>
                </c:pt>
                <c:pt idx="6">
                  <c:v>506606</c:v>
                </c:pt>
                <c:pt idx="7">
                  <c:v>1434456</c:v>
                </c:pt>
                <c:pt idx="8">
                  <c:v>159375</c:v>
                </c:pt>
                <c:pt idx="9">
                  <c:v>443992</c:v>
                </c:pt>
                <c:pt idx="10">
                  <c:v>1320608</c:v>
                </c:pt>
                <c:pt idx="11">
                  <c:v>523684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B3-4CCD-92E1-8505B47761D3}"/>
            </c:ext>
          </c:extLst>
        </c:ser>
        <c:ser>
          <c:idx val="2"/>
          <c:order val="2"/>
          <c:tx>
            <c:strRef>
              <c:f>Processing!$J$33</c:f>
              <c:strCache>
                <c:ptCount val="1"/>
                <c:pt idx="0">
                  <c:v>Google Ad</c:v>
                </c:pt>
              </c:strCache>
            </c:strRef>
          </c:tx>
          <c:spPr>
            <a:solidFill>
              <a:srgbClr val="338F60"/>
            </a:solidFill>
            <a:ln>
              <a:noFill/>
            </a:ln>
            <a:effectLst/>
          </c:spPr>
          <c:invertIfNegative val="0"/>
          <c:val>
            <c:numRef>
              <c:f>Processing!$J$34:$J$45</c:f>
              <c:numCache>
                <c:formatCode>General</c:formatCode>
                <c:ptCount val="12"/>
                <c:pt idx="0">
                  <c:v>171213</c:v>
                </c:pt>
                <c:pt idx="1">
                  <c:v>599299</c:v>
                </c:pt>
                <c:pt idx="2">
                  <c:v>945838</c:v>
                </c:pt>
                <c:pt idx="3">
                  <c:v>154916</c:v>
                </c:pt>
                <c:pt idx="4">
                  <c:v>876530</c:v>
                </c:pt>
                <c:pt idx="5">
                  <c:v>362839</c:v>
                </c:pt>
                <c:pt idx="6">
                  <c:v>1027378</c:v>
                </c:pt>
                <c:pt idx="7">
                  <c:v>317993</c:v>
                </c:pt>
                <c:pt idx="8">
                  <c:v>114146</c:v>
                </c:pt>
                <c:pt idx="9">
                  <c:v>375070</c:v>
                </c:pt>
                <c:pt idx="10">
                  <c:v>118225</c:v>
                </c:pt>
                <c:pt idx="11">
                  <c:v>236455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B3-4CCD-92E1-8505B47761D3}"/>
            </c:ext>
          </c:extLst>
        </c:ser>
        <c:ser>
          <c:idx val="3"/>
          <c:order val="3"/>
          <c:tx>
            <c:strRef>
              <c:f>Processing!$K$33</c:f>
              <c:strCache>
                <c:ptCount val="1"/>
                <c:pt idx="0">
                  <c:v>Instagram</c:v>
                </c:pt>
              </c:strCache>
            </c:strRef>
          </c:tx>
          <c:spPr>
            <a:solidFill>
              <a:srgbClr val="FF00FF"/>
            </a:solidFill>
            <a:ln>
              <a:noFill/>
            </a:ln>
            <a:effectLst/>
          </c:spPr>
          <c:invertIfNegative val="0"/>
          <c:val>
            <c:numRef>
              <c:f>Processing!$K$34:$K$45</c:f>
              <c:numCache>
                <c:formatCode>General</c:formatCode>
                <c:ptCount val="12"/>
                <c:pt idx="0">
                  <c:v>216454</c:v>
                </c:pt>
                <c:pt idx="1">
                  <c:v>401993</c:v>
                </c:pt>
                <c:pt idx="2">
                  <c:v>1108072</c:v>
                </c:pt>
                <c:pt idx="3">
                  <c:v>458684</c:v>
                </c:pt>
                <c:pt idx="4">
                  <c:v>474147</c:v>
                </c:pt>
                <c:pt idx="5">
                  <c:v>298915</c:v>
                </c:pt>
                <c:pt idx="6">
                  <c:v>1298762</c:v>
                </c:pt>
                <c:pt idx="7">
                  <c:v>149454</c:v>
                </c:pt>
                <c:pt idx="8">
                  <c:v>144299</c:v>
                </c:pt>
                <c:pt idx="9">
                  <c:v>1195685</c:v>
                </c:pt>
                <c:pt idx="10">
                  <c:v>195839</c:v>
                </c:pt>
                <c:pt idx="11">
                  <c:v>757608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B3-4CCD-92E1-8505B47761D3}"/>
            </c:ext>
          </c:extLst>
        </c:ser>
        <c:ser>
          <c:idx val="1"/>
          <c:order val="4"/>
          <c:tx>
            <c:strRef>
              <c:f>Processing!$I$33</c:f>
              <c:strCache>
                <c:ptCount val="1"/>
                <c:pt idx="0">
                  <c:v>Tiktok</c:v>
                </c:pt>
              </c:strCache>
            </c:strRef>
          </c:tx>
          <c:spPr>
            <a:solidFill>
              <a:srgbClr val="6D00A3"/>
            </a:solidFill>
            <a:ln>
              <a:noFill/>
            </a:ln>
            <a:effectLst/>
          </c:spPr>
          <c:invertIfNegative val="0"/>
          <c:val>
            <c:numRef>
              <c:f>Processing!$I$34:$I$45</c:f>
              <c:numCache>
                <c:formatCode>General</c:formatCode>
                <c:ptCount val="12"/>
                <c:pt idx="0">
                  <c:v>125993</c:v>
                </c:pt>
                <c:pt idx="1">
                  <c:v>173992</c:v>
                </c:pt>
                <c:pt idx="2">
                  <c:v>440994</c:v>
                </c:pt>
                <c:pt idx="3">
                  <c:v>86994</c:v>
                </c:pt>
                <c:pt idx="4">
                  <c:v>695993</c:v>
                </c:pt>
                <c:pt idx="5">
                  <c:v>83993</c:v>
                </c:pt>
                <c:pt idx="6">
                  <c:v>266993</c:v>
                </c:pt>
                <c:pt idx="7">
                  <c:v>275994</c:v>
                </c:pt>
                <c:pt idx="8">
                  <c:v>644992</c:v>
                </c:pt>
                <c:pt idx="9">
                  <c:v>113993</c:v>
                </c:pt>
                <c:pt idx="10">
                  <c:v>755993</c:v>
                </c:pt>
                <c:pt idx="11">
                  <c:v>233994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B3-4CCD-92E1-8505B47761D3}"/>
            </c:ext>
          </c:extLst>
        </c:ser>
        <c:ser>
          <c:idx val="0"/>
          <c:order val="5"/>
          <c:tx>
            <c:strRef>
              <c:f>Processing!$H$33</c:f>
              <c:strCache>
                <c:ptCount val="1"/>
                <c:pt idx="0">
                  <c:v>Twitter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Processing!$H$34:$H$45</c:f>
              <c:numCache>
                <c:formatCode>General</c:formatCode>
                <c:ptCount val="12"/>
                <c:pt idx="0">
                  <c:v>60224</c:v>
                </c:pt>
                <c:pt idx="1">
                  <c:v>120454</c:v>
                </c:pt>
                <c:pt idx="2">
                  <c:v>191070</c:v>
                </c:pt>
                <c:pt idx="3">
                  <c:v>481839</c:v>
                </c:pt>
                <c:pt idx="4">
                  <c:v>58148</c:v>
                </c:pt>
                <c:pt idx="5">
                  <c:v>78916</c:v>
                </c:pt>
                <c:pt idx="6">
                  <c:v>446534</c:v>
                </c:pt>
                <c:pt idx="7">
                  <c:v>305301</c:v>
                </c:pt>
                <c:pt idx="8">
                  <c:v>161993</c:v>
                </c:pt>
                <c:pt idx="9">
                  <c:v>87223</c:v>
                </c:pt>
                <c:pt idx="10">
                  <c:v>184839</c:v>
                </c:pt>
                <c:pt idx="11">
                  <c:v>523377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3-4CCD-92E1-8505B4776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0"/>
        <c:overlap val="100"/>
        <c:axId val="928682224"/>
        <c:axId val="928683888"/>
      </c:barChart>
      <c:lineChart>
        <c:grouping val="standard"/>
        <c:varyColors val="0"/>
        <c:ser>
          <c:idx val="6"/>
          <c:order val="6"/>
          <c:tx>
            <c:strRef>
              <c:f>Processing!$P$33</c:f>
              <c:strCache>
                <c:ptCount val="1"/>
                <c:pt idx="0">
                  <c:v>___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solidFill>
                  <a:srgbClr val="2D9CD6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Processing!$P$34:$P$45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3-4CCD-92E1-8505B47761D3}"/>
            </c:ext>
          </c:extLst>
        </c:ser>
        <c:ser>
          <c:idx val="7"/>
          <c:order val="7"/>
          <c:tx>
            <c:strRef>
              <c:f>Processing!$Q$33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03A588C-295F-4CD6-92E6-1606C1DB67FA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2DB3-4CCD-92E1-8505B47761D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4BBD84A-757C-4487-B953-E29033C7104C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DB3-4CCD-92E1-8505B47761D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9520DCF-68E8-4AD8-8842-E7EBBA3F705E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DB3-4CCD-92E1-8505B47761D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3D0375-8492-4223-A213-3FA6044D1007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DB3-4CCD-92E1-8505B47761D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ECBE5CA-D8EF-4AB1-B92D-7BD4B27F2C45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DB3-4CCD-92E1-8505B47761D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B239488-FE74-4A33-8812-6CDC82E6F84A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DB3-4CCD-92E1-8505B47761D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1E90B7B-B9FF-4F87-ABE5-573B65AFEDC9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DB3-4CCD-92E1-8505B47761D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50FF4A5-2FEA-4BE1-90D5-243B982A0623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DB3-4CCD-92E1-8505B47761D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11594D4-2AF4-4F05-BA62-EC6B234EEE62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DB3-4CCD-92E1-8505B47761D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574BF19-A77C-41B5-AAE7-BB8FA49675E0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DB3-4CCD-92E1-8505B47761D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181EC30-0BC1-4A60-AB49-7C3D3CE248B5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DB3-4CCD-92E1-8505B47761D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5F4D93C-649B-4F0D-83EF-31D7ACBDA52F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DB3-4CCD-92E1-8505B47761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Processing!$N$34:$N$45</c:f>
              <c:numCache>
                <c:formatCode>General</c:formatCode>
                <c:ptCount val="12"/>
                <c:pt idx="0">
                  <c:v>1102177</c:v>
                </c:pt>
                <c:pt idx="1">
                  <c:v>2012801</c:v>
                </c:pt>
                <c:pt idx="2">
                  <c:v>3335497</c:v>
                </c:pt>
                <c:pt idx="3">
                  <c:v>3057338</c:v>
                </c:pt>
                <c:pt idx="4">
                  <c:v>2950955</c:v>
                </c:pt>
                <c:pt idx="5">
                  <c:v>3182955</c:v>
                </c:pt>
                <c:pt idx="6">
                  <c:v>3751497</c:v>
                </c:pt>
                <c:pt idx="7">
                  <c:v>2780422</c:v>
                </c:pt>
                <c:pt idx="8">
                  <c:v>2866644</c:v>
                </c:pt>
                <c:pt idx="9">
                  <c:v>2484879</c:v>
                </c:pt>
                <c:pt idx="10">
                  <c:v>4358882</c:v>
                </c:pt>
                <c:pt idx="11">
                  <c:v>3315416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Processing!$Q$34:$Q$45</c15:f>
                <c15:dlblRangeCache>
                  <c:ptCount val="12"/>
                  <c:pt idx="1">
                    <c:v>+29%</c:v>
                  </c:pt>
                  <c:pt idx="2">
                    <c:v>+25%</c:v>
                  </c:pt>
                  <c:pt idx="3">
                    <c:v>-4%</c:v>
                  </c:pt>
                  <c:pt idx="4">
                    <c:v>-2%</c:v>
                  </c:pt>
                  <c:pt idx="5">
                    <c:v>+4%</c:v>
                  </c:pt>
                  <c:pt idx="6">
                    <c:v>+8%</c:v>
                  </c:pt>
                  <c:pt idx="7">
                    <c:v>-15%</c:v>
                  </c:pt>
                  <c:pt idx="8">
                    <c:v>+2%</c:v>
                  </c:pt>
                  <c:pt idx="9">
                    <c:v>-7%</c:v>
                  </c:pt>
                  <c:pt idx="10">
                    <c:v>+27%</c:v>
                  </c:pt>
                  <c:pt idx="11">
                    <c:v>-14%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2DB3-4CCD-92E1-8505B4776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682224"/>
        <c:axId val="928683888"/>
      </c:lineChart>
      <c:catAx>
        <c:axId val="92868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8683888"/>
        <c:crosses val="autoZero"/>
        <c:auto val="1"/>
        <c:lblAlgn val="ctr"/>
        <c:lblOffset val="100"/>
        <c:noMultiLvlLbl val="0"/>
      </c:catAx>
      <c:valAx>
        <c:axId val="928683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868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3288883544934611"/>
          <c:y val="0.23174786567453218"/>
          <c:w val="0.14871315327426654"/>
          <c:h val="0.65309866967764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</c:f>
          <c:strCache>
            <c:ptCount val="1"/>
            <c:pt idx="0">
              <c:v>Total Sales by:
Sales Team</c:v>
            </c:pt>
          </c:strCache>
        </c:strRef>
      </c:tx>
      <c:layout>
        <c:manualLayout>
          <c:xMode val="edge"/>
          <c:yMode val="edge"/>
          <c:x val="5.3679482182450174E-2"/>
          <c:y val="5.8169974846894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9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1142234186712566"/>
          <c:y val="0.28481176181102369"/>
          <c:w val="0.6740642474781755"/>
          <c:h val="0.6382207905829953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7453201929282288E-2"/>
                  <c:y val="6.8350831150085278E-7"/>
                </c:manualLayout>
              </c:layout>
              <c:tx>
                <c:rich>
                  <a:bodyPr/>
                  <a:lstStyle/>
                  <a:p>
                    <a:fld id="{45A927BE-3151-4FE9-BF66-59FAE57FC088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160-4925-83AF-A8A6AFAC78F0}"/>
                </c:ext>
              </c:extLst>
            </c:dLbl>
            <c:dLbl>
              <c:idx val="1"/>
              <c:layout>
                <c:manualLayout>
                  <c:x val="-3.7453201929282288E-2"/>
                  <c:y val="4.1010498687664041E-6"/>
                </c:manualLayout>
              </c:layout>
              <c:tx>
                <c:rich>
                  <a:bodyPr/>
                  <a:lstStyle/>
                  <a:p>
                    <a:fld id="{94E9691F-7831-4846-8E29-53676EAD2E39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160-4925-83AF-A8A6AFAC78F0}"/>
                </c:ext>
              </c:extLst>
            </c:dLbl>
            <c:dLbl>
              <c:idx val="2"/>
              <c:layout>
                <c:manualLayout>
                  <c:x val="-3.7453201929282288E-2"/>
                  <c:y val="1.3670166230017056E-6"/>
                </c:manualLayout>
              </c:layout>
              <c:tx>
                <c:rich>
                  <a:bodyPr/>
                  <a:lstStyle/>
                  <a:p>
                    <a:fld id="{2B780DB8-468F-4632-B0E9-A07CE131EADD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160-4925-83AF-A8A6AFAC78F0}"/>
                </c:ext>
              </c:extLst>
            </c:dLbl>
            <c:dLbl>
              <c:idx val="3"/>
              <c:layout>
                <c:manualLayout>
                  <c:x val="-3.7453201929282288E-2"/>
                  <c:y val="1.3670166230812765E-6"/>
                </c:manualLayout>
              </c:layout>
              <c:tx>
                <c:rich>
                  <a:bodyPr/>
                  <a:lstStyle/>
                  <a:p>
                    <a:fld id="{F43CB088-F9F5-4C5F-99AA-220CB2E5AF2C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160-4925-83AF-A8A6AFAC78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Processing!$D$5:$D$8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Processing!$A$5:$A$8</c15:f>
                <c15:dlblRangeCache>
                  <c:ptCount val="4"/>
                  <c:pt idx="0">
                    <c:v>North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6160-4925-83AF-A8A6AFAC78F0}"/>
            </c:ext>
          </c:extLst>
        </c:ser>
        <c:ser>
          <c:idx val="0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Processing!$B$5:$B$8</c:f>
              <c:numCache>
                <c:formatCode>0%</c:formatCode>
                <c:ptCount val="4"/>
                <c:pt idx="0">
                  <c:v>0.25327174749807546</c:v>
                </c:pt>
                <c:pt idx="1">
                  <c:v>0.2540415704387991</c:v>
                </c:pt>
                <c:pt idx="2">
                  <c:v>0.2455735180908391</c:v>
                </c:pt>
                <c:pt idx="3">
                  <c:v>0.24711316397228639</c:v>
                </c:pt>
              </c:numCache>
            </c:numRef>
          </c:cat>
          <c:val>
            <c:numRef>
              <c:f>Processing!$C$5:$C$8</c:f>
              <c:numCache>
                <c:formatCode>_-* #\ ##0_-;\-* #\ ##0_-;_-* "-"??_-;_-@_-</c:formatCode>
                <c:ptCount val="4"/>
                <c:pt idx="0">
                  <c:v>329</c:v>
                </c:pt>
                <c:pt idx="1">
                  <c:v>330</c:v>
                </c:pt>
                <c:pt idx="2">
                  <c:v>319</c:v>
                </c:pt>
                <c:pt idx="3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0-4925-83AF-A8A6AFAC78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0"/>
        <c:overlap val="-70"/>
        <c:axId val="1236741552"/>
        <c:axId val="1236743632"/>
      </c:barChart>
      <c:catAx>
        <c:axId val="1236741552"/>
        <c:scaling>
          <c:orientation val="maxMin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743632"/>
        <c:crosses val="autoZero"/>
        <c:auto val="1"/>
        <c:lblAlgn val="ctr"/>
        <c:lblOffset val="100"/>
        <c:noMultiLvlLbl val="0"/>
      </c:catAx>
      <c:valAx>
        <c:axId val="123674363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23674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Processing!$G$4</c:f>
          <c:strCache>
            <c:ptCount val="1"/>
            <c:pt idx="0">
              <c:v>Products by Sales Team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2049800696491159E-2"/>
          <c:y val="0.17155176714063758"/>
          <c:w val="0.88544652179109329"/>
          <c:h val="0.506461691573764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911-4306-925F-E5DA5EE781FC}"/>
              </c:ext>
            </c:extLst>
          </c:dPt>
          <c:dPt>
            <c:idx val="1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11-4306-925F-E5DA5EE781FC}"/>
              </c:ext>
            </c:extLst>
          </c:dPt>
          <c:dPt>
            <c:idx val="2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911-4306-925F-E5DA5EE781FC}"/>
              </c:ext>
            </c:extLst>
          </c:dPt>
          <c:dPt>
            <c:idx val="3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11-4306-925F-E5DA5EE781FC}"/>
              </c:ext>
            </c:extLst>
          </c:dPt>
          <c:dPt>
            <c:idx val="4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911-4306-925F-E5DA5EE781FC}"/>
              </c:ext>
            </c:extLst>
          </c:dPt>
          <c:dPt>
            <c:idx val="5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911-4306-925F-E5DA5EE781FC}"/>
              </c:ext>
            </c:extLst>
          </c:dPt>
          <c:dPt>
            <c:idx val="6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911-4306-925F-E5DA5EE781FC}"/>
              </c:ext>
            </c:extLst>
          </c:dPt>
          <c:dPt>
            <c:idx val="7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911-4306-925F-E5DA5EE781FC}"/>
              </c:ext>
            </c:extLst>
          </c:dPt>
          <c:dPt>
            <c:idx val="8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911-4306-925F-E5DA5EE781FC}"/>
              </c:ext>
            </c:extLst>
          </c:dPt>
          <c:dPt>
            <c:idx val="9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911-4306-925F-E5DA5EE781FC}"/>
              </c:ext>
            </c:extLst>
          </c:dPt>
          <c:dPt>
            <c:idx val="10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911-4306-925F-E5DA5EE781FC}"/>
              </c:ext>
            </c:extLst>
          </c:dPt>
          <c:dPt>
            <c:idx val="11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911-4306-925F-E5DA5EE781FC}"/>
              </c:ext>
            </c:extLst>
          </c:dPt>
          <c:cat>
            <c:multiLvlStrRef>
              <c:f>Processing!$G$5:$H$16</c:f>
              <c:multiLvlStrCache>
                <c:ptCount val="12"/>
                <c:lvl>
                  <c:pt idx="0">
                    <c:v>online</c:v>
                  </c:pt>
                  <c:pt idx="1">
                    <c:v>video</c:v>
                  </c:pt>
                  <c:pt idx="2">
                    <c:v>books</c:v>
                  </c:pt>
                  <c:pt idx="3">
                    <c:v>online</c:v>
                  </c:pt>
                  <c:pt idx="4">
                    <c:v>video</c:v>
                  </c:pt>
                  <c:pt idx="5">
                    <c:v>books</c:v>
                  </c:pt>
                  <c:pt idx="6">
                    <c:v>online</c:v>
                  </c:pt>
                  <c:pt idx="7">
                    <c:v>video</c:v>
                  </c:pt>
                  <c:pt idx="8">
                    <c:v>books</c:v>
                  </c:pt>
                  <c:pt idx="9">
                    <c:v>online</c:v>
                  </c:pt>
                  <c:pt idx="10">
                    <c:v>video</c:v>
                  </c:pt>
                  <c:pt idx="11">
                    <c:v>books</c:v>
                  </c:pt>
                </c:lvl>
                <c:lvl>
                  <c:pt idx="0">
                    <c:v>North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Processing!$I$5:$I$16</c:f>
              <c:numCache>
                <c:formatCode>General</c:formatCode>
                <c:ptCount val="12"/>
                <c:pt idx="0">
                  <c:v>135632</c:v>
                </c:pt>
                <c:pt idx="1">
                  <c:v>120216</c:v>
                </c:pt>
                <c:pt idx="2">
                  <c:v>72843</c:v>
                </c:pt>
                <c:pt idx="3">
                  <c:v>153606</c:v>
                </c:pt>
                <c:pt idx="4">
                  <c:v>105508</c:v>
                </c:pt>
                <c:pt idx="5">
                  <c:v>71099</c:v>
                </c:pt>
                <c:pt idx="6">
                  <c:v>126713</c:v>
                </c:pt>
                <c:pt idx="7">
                  <c:v>120167</c:v>
                </c:pt>
                <c:pt idx="8">
                  <c:v>72394</c:v>
                </c:pt>
                <c:pt idx="9">
                  <c:v>144691</c:v>
                </c:pt>
                <c:pt idx="10">
                  <c:v>105460</c:v>
                </c:pt>
                <c:pt idx="11">
                  <c:v>70655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0-4FBB-8CBC-98361A773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80976"/>
        <c:axId val="1329647680"/>
      </c:barChart>
      <c:catAx>
        <c:axId val="11450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9647680"/>
        <c:crosses val="autoZero"/>
        <c:auto val="1"/>
        <c:lblAlgn val="ctr"/>
        <c:lblOffset val="100"/>
        <c:noMultiLvlLbl val="0"/>
      </c:catAx>
      <c:valAx>
        <c:axId val="1329647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508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57023170116984"/>
          <c:y val="7.7136322085299858E-2"/>
          <c:w val="0.75942535328779281"/>
          <c:h val="0.870385034887716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E19-45A9-844C-3AB54C7E25C0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19-45A9-844C-3AB54C7E25C0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E19-45A9-844C-3AB54C7E25C0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E19-45A9-844C-3AB54C7E25C0}"/>
              </c:ext>
            </c:extLst>
          </c:dPt>
          <c:val>
            <c:numRef>
              <c:f>Processing!$S$18:$S$21</c:f>
              <c:numCache>
                <c:formatCode>0%</c:formatCode>
                <c:ptCount val="4"/>
                <c:pt idx="0">
                  <c:v>0.5013310185185188</c:v>
                </c:pt>
                <c:pt idx="1">
                  <c:v>0.4986689814814812</c:v>
                </c:pt>
                <c:pt idx="2">
                  <c:v>0.5013310185185188</c:v>
                </c:pt>
                <c:pt idx="3">
                  <c:v>0.4986689814814812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19-45A9-844C-3AB54C7E25C0}"/>
            </c:ext>
          </c:extLst>
        </c:ser>
        <c:ser>
          <c:idx val="2"/>
          <c:order val="2"/>
          <c:tx>
            <c:v>1</c:v>
          </c:tx>
          <c:spPr>
            <a:noFill/>
            <a:ln w="25400">
              <a:noFill/>
            </a:ln>
          </c:spPr>
          <c:dPt>
            <c:idx val="0"/>
            <c:bubble3D val="0"/>
            <c:spPr>
              <a:noFill/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E19-45A9-844C-3AB54C7E25C0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FE19-45A9-844C-3AB54C7E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6"/>
      </c:doughnut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dash"/>
            <c:size val="28"/>
            <c:spPr>
              <a:solidFill>
                <a:schemeClr val="bg1">
                  <a:alpha val="55000"/>
                </a:schemeClr>
              </a:solidFill>
              <a:ln w="1270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267225818709877"/>
                  <c:y val="-8.4870696385529271E-2"/>
                </c:manualLayout>
              </c:layout>
              <c:tx>
                <c:rich>
                  <a:bodyPr/>
                  <a:lstStyle/>
                  <a:p>
                    <a:fld id="{20C61A01-7787-4721-8B91-A6065E0DD696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FE19-45A9-844C-3AB54C7E25C0}"/>
                </c:ext>
              </c:extLst>
            </c:dLbl>
            <c:dLbl>
              <c:idx val="1"/>
              <c:layout>
                <c:manualLayout>
                  <c:x val="-0.11222972838949387"/>
                  <c:y val="-7.7432221109412683E-2"/>
                </c:manualLayout>
              </c:layout>
              <c:tx>
                <c:rich>
                  <a:bodyPr/>
                  <a:lstStyle/>
                  <a:p>
                    <a:fld id="{93CE8182-3389-472C-9E97-523DB561058C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FE19-45A9-844C-3AB54C7E25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Processing!$V$19:$V$20</c:f>
              <c:numCache>
                <c:formatCode>0.000</c:formatCode>
                <c:ptCount val="2"/>
                <c:pt idx="0">
                  <c:v>-1.0999903832129831</c:v>
                </c:pt>
                <c:pt idx="1">
                  <c:v>1.0999903832129831</c:v>
                </c:pt>
              </c:numCache>
            </c:numRef>
          </c:xVal>
          <c:yVal>
            <c:numRef>
              <c:f>Processing!$W$19:$W$20</c:f>
              <c:numCache>
                <c:formatCode>0.000</c:formatCode>
                <c:ptCount val="2"/>
                <c:pt idx="0">
                  <c:v>4.5996563952637346E-3</c:v>
                </c:pt>
                <c:pt idx="1">
                  <c:v>-4.5996563952637346E-3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Processing!$U$19:$U$20</c15:f>
                <c15:dlblRangeCache>
                  <c:ptCount val="2"/>
                  <c:pt idx="0">
                    <c:v>50%</c:v>
                  </c:pt>
                  <c:pt idx="1">
                    <c:v>50%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FE19-45A9-844C-3AB54C7E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57872"/>
        <c:axId val="1143957456"/>
      </c:scatterChart>
      <c:valAx>
        <c:axId val="1143957872"/>
        <c:scaling>
          <c:orientation val="minMax"/>
          <c:max val="1.5"/>
          <c:min val="-1.5"/>
        </c:scaling>
        <c:delete val="1"/>
        <c:axPos val="b"/>
        <c:numFmt formatCode="0.000" sourceLinked="1"/>
        <c:majorTickMark val="out"/>
        <c:minorTickMark val="none"/>
        <c:tickLblPos val="nextTo"/>
        <c:crossAx val="1143957456"/>
        <c:crosses val="autoZero"/>
        <c:crossBetween val="midCat"/>
      </c:valAx>
      <c:valAx>
        <c:axId val="1143957456"/>
        <c:scaling>
          <c:orientation val="minMax"/>
          <c:max val="1.5"/>
          <c:min val="-1.5"/>
        </c:scaling>
        <c:delete val="1"/>
        <c:axPos val="l"/>
        <c:numFmt formatCode="0.000" sourceLinked="1"/>
        <c:majorTickMark val="out"/>
        <c:minorTickMark val="none"/>
        <c:tickLblPos val="nextTo"/>
        <c:crossAx val="11439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428571428571425E-2"/>
          <c:y val="9.5985524547775952E-2"/>
          <c:w val="0.79761904761904767"/>
          <c:h val="0.9040144875846085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yVal>
            <c:numRef>
              <c:f>Processing!$P$19</c:f>
              <c:numCache>
                <c:formatCode>General</c:formatCode>
                <c:ptCount val="1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D-403C-B947-D9608D512A8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0000"/>
              </a:solidFill>
              <a:ln w="9525">
                <a:noFill/>
              </a:ln>
              <a:effectLst/>
            </c:spPr>
          </c:marker>
          <c:yVal>
            <c:numRef>
              <c:f>Processing!$P$20</c:f>
              <c:numCache>
                <c:formatCode>General</c:formatCode>
                <c:ptCount val="1"/>
                <c:pt idx="0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ED-403C-B947-D9608D512A8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FF"/>
              </a:solidFill>
              <a:ln w="9525">
                <a:noFill/>
              </a:ln>
              <a:effectLst/>
            </c:spPr>
          </c:marker>
          <c:yVal>
            <c:numRef>
              <c:f>Processing!$P$21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ED-403C-B947-D9608D512A8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338F60"/>
              </a:solidFill>
              <a:ln w="9525">
                <a:noFill/>
              </a:ln>
              <a:effectLst/>
            </c:spPr>
          </c:marker>
          <c:yVal>
            <c:numRef>
              <c:f>Processing!$P$22</c:f>
              <c:numCache>
                <c:formatCode>General</c:formatCode>
                <c:ptCount val="1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ED-403C-B947-D9608D512A83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6D00A3"/>
              </a:solidFill>
              <a:ln w="9525">
                <a:noFill/>
              </a:ln>
              <a:effectLst/>
            </c:spPr>
          </c:marker>
          <c:yVal>
            <c:numRef>
              <c:f>Processing!$P$23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ED-403C-B947-D9608D512A8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yVal>
            <c:numRef>
              <c:f>Processing!$P$24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ED-403C-B947-D9608D51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314832"/>
        <c:axId val="2052311504"/>
      </c:scatterChart>
      <c:valAx>
        <c:axId val="2052314832"/>
        <c:scaling>
          <c:orientation val="minMax"/>
        </c:scaling>
        <c:delete val="1"/>
        <c:axPos val="b"/>
        <c:majorTickMark val="none"/>
        <c:minorTickMark val="none"/>
        <c:tickLblPos val="nextTo"/>
        <c:crossAx val="2052311504"/>
        <c:crosses val="autoZero"/>
        <c:crossBetween val="midCat"/>
      </c:valAx>
      <c:valAx>
        <c:axId val="2052311504"/>
        <c:scaling>
          <c:orientation val="minMax"/>
          <c:max val="6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205231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2D2D2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76-4224-87FD-648BDED1C3F3}"/>
              </c:ext>
            </c:extLst>
          </c:dPt>
          <c:dPt>
            <c:idx val="1"/>
            <c:bubble3D val="0"/>
            <c:spPr>
              <a:solidFill>
                <a:srgbClr val="FE690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276-4224-87FD-648BDED1C3F3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0.76258324299210156</c:v>
                </c:pt>
                <c:pt idx="1">
                  <c:v>0.23741675700789841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6-4224-87FD-648BDED1C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AAFF9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D8-45A6-AACA-11D5C8207B7B}"/>
              </c:ext>
            </c:extLst>
          </c:dPt>
          <c:dPt>
            <c:idx val="1"/>
            <c:bubble3D val="0"/>
            <c:spPr>
              <a:solidFill>
                <a:srgbClr val="2D2D2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D8-45A6-AACA-11D5C8207B7B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0.76258324299210156</c:v>
                </c:pt>
                <c:pt idx="1">
                  <c:v>0.23741675700789841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D8-45A6-AACA-11D5C8207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Processing!$M$4</c:f>
          <c:strCache>
            <c:ptCount val="1"/>
            <c:pt idx="0">
              <c:v>Total Revenue by Motnhs</c:v>
            </c:pt>
          </c:strCache>
        </c:strRef>
      </c:tx>
      <c:layout>
        <c:manualLayout>
          <c:xMode val="edge"/>
          <c:yMode val="edge"/>
          <c:x val="3.6813596829808046E-2"/>
          <c:y val="5.5339757476158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5947712418300651E-2"/>
          <c:y val="0.17668758248051591"/>
          <c:w val="0.92810457516339873"/>
          <c:h val="0.50549538109110836"/>
        </c:manualLayout>
      </c:layout>
      <c:areaChart>
        <c:grouping val="standard"/>
        <c:varyColors val="0"/>
        <c:ser>
          <c:idx val="1"/>
          <c:order val="1"/>
          <c:spPr>
            <a:gradFill>
              <a:gsLst>
                <a:gs pos="0">
                  <a:srgbClr val="3AE89F">
                    <a:alpha val="70000"/>
                  </a:srgbClr>
                </a:gs>
                <a:gs pos="100000">
                  <a:srgbClr val="3AE89F">
                    <a:alpha val="10000"/>
                  </a:srgbClr>
                </a:gs>
              </a:gsLst>
              <a:lin ang="5400000" scaled="0"/>
            </a:gradFill>
            <a:ln>
              <a:noFill/>
            </a:ln>
            <a:effectLst/>
          </c:spPr>
          <c:val>
            <c:numRef>
              <c:f>Processing!$N$5:$N$16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232</c:v>
                </c:pt>
                <c:pt idx="11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8-4C23-BFFF-C0B435DF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areaChart>
      <c:lineChart>
        <c:grouping val="stacked"/>
        <c:varyColors val="0"/>
        <c:ser>
          <c:idx val="0"/>
          <c:order val="0"/>
          <c:spPr>
            <a:ln w="47625" cap="rnd">
              <a:gradFill flip="none" rotWithShape="1">
                <a:gsLst>
                  <a:gs pos="0">
                    <a:srgbClr val="7030A0"/>
                  </a:gs>
                  <a:gs pos="100000">
                    <a:srgbClr val="FF00FF"/>
                  </a:gs>
                </a:gsLst>
                <a:lin ang="0" scaled="1"/>
                <a:tileRect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Processing!$N$5:$N$16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232</c:v>
                </c:pt>
                <c:pt idx="11">
                  <c:v>147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E28-4C23-BFFF-C0B435DF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7578224"/>
        <c:axId val="1057576976"/>
      </c:lineChart>
      <c:scatterChart>
        <c:scatterStyle val="lineMarker"/>
        <c:varyColors val="0"/>
        <c:ser>
          <c:idx val="2"/>
          <c:order val="2"/>
          <c:spPr>
            <a:ln w="25400" cap="rnd">
              <a:noFill/>
              <a:round/>
            </a:ln>
            <a:effectLst>
              <a:glow rad="101600">
                <a:srgbClr val="00FFFF">
                  <a:alpha val="40000"/>
                </a:srgb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solidFill>
                <a:schemeClr val="tx1"/>
              </a:solidFill>
              <a:ln w="12700">
                <a:solidFill>
                  <a:srgbClr val="00FFFF"/>
                </a:solidFill>
              </a:ln>
              <a:effectLst>
                <a:glow rad="101600">
                  <a:srgbClr val="00FFFF">
                    <a:alpha val="40000"/>
                  </a:srgb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Processing!$O$14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28-4C23-BFFF-C0B435DF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scatterChart>
      <c:catAx>
        <c:axId val="1057578224"/>
        <c:scaling>
          <c:orientation val="minMax"/>
        </c:scaling>
        <c:delete val="1"/>
        <c:axPos val="b"/>
        <c:majorTickMark val="none"/>
        <c:minorTickMark val="none"/>
        <c:tickLblPos val="nextTo"/>
        <c:crossAx val="1057576976"/>
        <c:crosses val="autoZero"/>
        <c:auto val="1"/>
        <c:lblAlgn val="ctr"/>
        <c:lblOffset val="100"/>
        <c:noMultiLvlLbl val="0"/>
      </c:catAx>
      <c:valAx>
        <c:axId val="1057576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5757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Processing!$A$10</c:f>
          <c:strCache>
            <c:ptCount val="1"/>
            <c:pt idx="0">
              <c:v>Product
Distribution</c:v>
            </c:pt>
          </c:strCache>
        </c:strRef>
      </c:tx>
      <c:layout>
        <c:manualLayout>
          <c:xMode val="edge"/>
          <c:yMode val="edge"/>
          <c:x val="0.31162625923133519"/>
          <c:y val="0.36749250135802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9071052894528873"/>
          <c:y val="0.11516788761275751"/>
          <c:w val="0.59537797378437052"/>
          <c:h val="0.7284651089126518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3AE89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19-43A8-9EC4-82FE6B65DD46}"/>
              </c:ext>
            </c:extLst>
          </c:dPt>
          <c:dPt>
            <c:idx val="1"/>
            <c:bubble3D val="0"/>
            <c:spPr>
              <a:solidFill>
                <a:srgbClr val="00FF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19-43A8-9EC4-82FE6B65DD46}"/>
              </c:ext>
            </c:extLst>
          </c:dPt>
          <c:dPt>
            <c:idx val="2"/>
            <c:bubble3D val="0"/>
            <c:spPr>
              <a:solidFill>
                <a:srgbClr val="8D1FF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019-43A8-9EC4-82FE6B65DD46}"/>
              </c:ext>
            </c:extLst>
          </c:dPt>
          <c:dLbls>
            <c:dLbl>
              <c:idx val="0"/>
              <c:layout>
                <c:manualLayout>
                  <c:x val="0.16796545005313979"/>
                  <c:y val="-5.2931792185900946E-2"/>
                </c:manualLayout>
              </c:layout>
              <c:tx>
                <c:rich>
                  <a:bodyPr/>
                  <a:lstStyle/>
                  <a:p>
                    <a:fld id="{A5A4BF3F-86C3-49E5-B294-9A455856D4A6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019-43A8-9EC4-82FE6B65DD46}"/>
                </c:ext>
              </c:extLst>
            </c:dLbl>
            <c:dLbl>
              <c:idx val="1"/>
              <c:layout>
                <c:manualLayout>
                  <c:x val="-0.1514143359343065"/>
                  <c:y val="2.6465795217262646E-2"/>
                </c:manualLayout>
              </c:layout>
              <c:tx>
                <c:rich>
                  <a:bodyPr/>
                  <a:lstStyle/>
                  <a:p>
                    <a:fld id="{CE0DD3DB-EF77-40A1-9CA5-8E18C6F9B93B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019-43A8-9EC4-82FE6B65DD46}"/>
                </c:ext>
              </c:extLst>
            </c:dLbl>
            <c:dLbl>
              <c:idx val="2"/>
              <c:layout>
                <c:manualLayout>
                  <c:x val="-0.14394864970432475"/>
                  <c:y val="-0.15131746673408822"/>
                </c:manualLayout>
              </c:layout>
              <c:tx>
                <c:rich>
                  <a:bodyPr/>
                  <a:lstStyle/>
                  <a:p>
                    <a:fld id="{07A16A30-8B69-4392-9CB8-C39B0F3240D7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019-43A8-9EC4-82FE6B65DD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Processing!$A$11:$A$13</c:f>
              <c:strCache>
                <c:ptCount val="3"/>
                <c:pt idx="0">
                  <c:v>online</c:v>
                </c:pt>
                <c:pt idx="1">
                  <c:v>video</c:v>
                </c:pt>
                <c:pt idx="2">
                  <c:v>books</c:v>
                </c:pt>
              </c:strCache>
            </c:strRef>
          </c:cat>
          <c:val>
            <c:numRef>
              <c:f>Processing!$B$11:$B$13</c:f>
              <c:numCache>
                <c:formatCode>General</c:formatCode>
                <c:ptCount val="3"/>
                <c:pt idx="0">
                  <c:v>561</c:v>
                </c:pt>
                <c:pt idx="1">
                  <c:v>451</c:v>
                </c:pt>
                <c:pt idx="2">
                  <c:v>287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Processing!$C$11:$C$13</c15:f>
                <c15:dlblRangeCache>
                  <c:ptCount val="3"/>
                  <c:pt idx="0">
                    <c:v>561</c:v>
                  </c:pt>
                  <c:pt idx="1">
                    <c:v>451</c:v>
                  </c:pt>
                  <c:pt idx="2">
                    <c:v>287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019-43A8-9EC4-82FE6B65DD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816794898580219E-2"/>
          <c:y val="0.85084321850249689"/>
          <c:w val="0.81668475841834187"/>
          <c:h val="0.14887114005754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Processing!$A$15</c:f>
          <c:strCache>
            <c:ptCount val="1"/>
            <c:pt idx="0">
              <c:v>Product Comparison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4682969779595546"/>
          <c:y val="0.27461507750838671"/>
          <c:w val="0.56086684844353563"/>
          <c:h val="0.60266739913324796"/>
        </c:manualLayout>
      </c:layout>
      <c:radarChart>
        <c:radarStyle val="filled"/>
        <c:varyColors val="0"/>
        <c:ser>
          <c:idx val="4"/>
          <c:order val="4"/>
          <c:tx>
            <c:v>TotalPlus</c:v>
          </c:tx>
          <c:spPr>
            <a:solidFill>
              <a:srgbClr val="7DD1A5">
                <a:alpha val="41961"/>
              </a:srgbClr>
            </a:solidFill>
            <a:ln>
              <a:noFill/>
            </a:ln>
            <a:effectLst/>
          </c:spP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231</c:v>
                </c:pt>
                <c:pt idx="11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9-435E-AC82-9290B439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radarChart>
        <c:radarStyle val="marker"/>
        <c:varyColors val="0"/>
        <c:ser>
          <c:idx val="0"/>
          <c:order val="0"/>
          <c:tx>
            <c:strRef>
              <c:f>Processing!$B$15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4FC185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42</c:v>
                </c:pt>
                <c:pt idx="1">
                  <c:v>58</c:v>
                </c:pt>
                <c:pt idx="2">
                  <c:v>28</c:v>
                </c:pt>
                <c:pt idx="3">
                  <c:v>89</c:v>
                </c:pt>
                <c:pt idx="4">
                  <c:v>78</c:v>
                </c:pt>
                <c:pt idx="5">
                  <c:v>38</c:v>
                </c:pt>
                <c:pt idx="6">
                  <c:v>29</c:v>
                </c:pt>
                <c:pt idx="7">
                  <c:v>92</c:v>
                </c:pt>
                <c:pt idx="8">
                  <c:v>215</c:v>
                </c:pt>
                <c:pt idx="9">
                  <c:v>252</c:v>
                </c:pt>
                <c:pt idx="10">
                  <c:v>231</c:v>
                </c:pt>
                <c:pt idx="11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9-435E-AC82-9290B439E9A3}"/>
            </c:ext>
          </c:extLst>
        </c:ser>
        <c:ser>
          <c:idx val="1"/>
          <c:order val="1"/>
          <c:tx>
            <c:strRef>
              <c:f>Processing!$C$15</c:f>
              <c:strCache>
                <c:ptCount val="1"/>
                <c:pt idx="0">
                  <c:v>online</c:v>
                </c:pt>
              </c:strCache>
            </c:strRef>
          </c:tx>
          <c:spPr>
            <a:ln w="19050" cap="rnd">
              <a:solidFill>
                <a:srgbClr val="3AE89F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Processing!$C$29:$C$40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9-435E-AC82-9290B439E9A3}"/>
            </c:ext>
          </c:extLst>
        </c:ser>
        <c:ser>
          <c:idx val="2"/>
          <c:order val="2"/>
          <c:tx>
            <c:strRef>
              <c:f>Processing!$D$15</c:f>
              <c:strCache>
                <c:ptCount val="1"/>
                <c:pt idx="0">
                  <c:v>video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Processing!$D$29:$D$40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9-435E-AC82-9290B439E9A3}"/>
            </c:ext>
          </c:extLst>
        </c:ser>
        <c:ser>
          <c:idx val="3"/>
          <c:order val="3"/>
          <c:tx>
            <c:strRef>
              <c:f>Processing!$E$15</c:f>
              <c:strCache>
                <c:ptCount val="1"/>
                <c:pt idx="0">
                  <c:v>books</c:v>
                </c:pt>
              </c:strCache>
            </c:strRef>
          </c:tx>
          <c:spPr>
            <a:ln w="19050" cap="rnd">
              <a:solidFill>
                <a:srgbClr val="8D1FF8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Processing!$E$29:$E$40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9-435E-AC82-9290B439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catAx>
        <c:axId val="85711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121632"/>
        <c:crosses val="autoZero"/>
        <c:auto val="1"/>
        <c:lblAlgn val="ctr"/>
        <c:lblOffset val="100"/>
        <c:noMultiLvlLbl val="0"/>
      </c:catAx>
      <c:valAx>
        <c:axId val="8571216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5711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Processing!$L$18</c:f>
          <c:strCache>
            <c:ptCount val="1"/>
            <c:pt idx="0">
              <c:v>Top Traffic Sources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8180573339024045"/>
          <c:y val="0.18270318197533139"/>
          <c:w val="0.64768103570920477"/>
          <c:h val="0.80329120806105558"/>
        </c:manualLayout>
      </c:layout>
      <c:doughnutChart>
        <c:varyColors val="1"/>
        <c:ser>
          <c:idx val="0"/>
          <c:order val="0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38-4601-B4C6-048C7F447210}"/>
              </c:ext>
            </c:extLst>
          </c:dPt>
          <c:val>
            <c:numRef>
              <c:f>Processing!$L$24:$M$24</c:f>
              <c:numCache>
                <c:formatCode>General</c:formatCode>
                <c:ptCount val="2"/>
                <c:pt idx="0">
                  <c:v>2.7</c:v>
                </c:pt>
                <c:pt idx="1">
                  <c:v>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38-4601-B4C6-048C7F447210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738-4601-B4C6-048C7F447210}"/>
              </c:ext>
            </c:extLst>
          </c:dPt>
          <c:val>
            <c:numRef>
              <c:f>Processing!$L$23:$M$23</c:f>
              <c:numCache>
                <c:formatCode>General</c:formatCode>
                <c:ptCount val="2"/>
                <c:pt idx="0">
                  <c:v>3.9</c:v>
                </c:pt>
                <c:pt idx="1">
                  <c:v>7.1399999999999988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38-4601-B4C6-048C7F447210}"/>
            </c:ext>
          </c:extLst>
        </c:ser>
        <c:ser>
          <c:idx val="2"/>
          <c:order val="2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338F6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738-4601-B4C6-048C7F447210}"/>
              </c:ext>
            </c:extLst>
          </c:dPt>
          <c:val>
            <c:numRef>
              <c:f>Processing!$L$22:$M$22</c:f>
              <c:numCache>
                <c:formatCode>General</c:formatCode>
                <c:ptCount val="2"/>
                <c:pt idx="0">
                  <c:v>5.3</c:v>
                </c:pt>
                <c:pt idx="1">
                  <c:v>5.7399999999999993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38-4601-B4C6-048C7F447210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6738-4601-B4C6-048C7F447210}"/>
              </c:ext>
            </c:extLst>
          </c:dPt>
          <c:val>
            <c:numRef>
              <c:f>Processing!$L$21:$M$21</c:f>
              <c:numCache>
                <c:formatCode>General</c:formatCode>
                <c:ptCount val="2"/>
                <c:pt idx="0">
                  <c:v>6.7</c:v>
                </c:pt>
                <c:pt idx="1">
                  <c:v>4.339999999999999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738-4601-B4C6-048C7F447210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CC000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738-4601-B4C6-048C7F447210}"/>
              </c:ext>
            </c:extLst>
          </c:dPt>
          <c:val>
            <c:numRef>
              <c:f>Processing!$L$20:$M$20</c:f>
              <c:numCache>
                <c:formatCode>General</c:formatCode>
                <c:ptCount val="2"/>
                <c:pt idx="0">
                  <c:v>7.4</c:v>
                </c:pt>
                <c:pt idx="1">
                  <c:v>3.6399999999999988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738-4601-B4C6-048C7F447210}"/>
            </c:ext>
          </c:extLst>
        </c:ser>
        <c:ser>
          <c:idx val="5"/>
          <c:order val="5"/>
          <c:spPr>
            <a:gradFill>
              <a:gsLst>
                <a:gs pos="98000">
                  <a:srgbClr val="FF00FF"/>
                </a:gs>
                <a:gs pos="0">
                  <a:srgbClr val="8D1FF8"/>
                </a:gs>
              </a:gsLst>
              <a:lin ang="5400000" scaled="0"/>
            </a:gradFill>
            <a:ln>
              <a:solidFill>
                <a:schemeClr val="tx1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96000">
                    <a:srgbClr val="FF00FF"/>
                  </a:gs>
                  <a:gs pos="30000">
                    <a:srgbClr val="2050E8"/>
                  </a:gs>
                </a:gsLst>
                <a:lin ang="2700000" scaled="1"/>
                <a:tileRect/>
              </a:gra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738-4601-B4C6-048C7F447210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6738-4601-B4C6-048C7F447210}"/>
              </c:ext>
            </c:extLst>
          </c:dPt>
          <c:val>
            <c:numRef>
              <c:f>Processing!$L$19:$M$19</c:f>
              <c:numCache>
                <c:formatCode>General</c:formatCode>
                <c:ptCount val="2"/>
                <c:pt idx="0">
                  <c:v>9.1999999999999993</c:v>
                </c:pt>
                <c:pt idx="1">
                  <c:v>1.8399999999999999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738-4601-B4C6-048C7F447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Processing!$O$32</c:f>
          <c:strCache>
            <c:ptCount val="1"/>
            <c:pt idx="0">
              <c:v>Traffic in Month </c:v>
            </c:pt>
          </c:strCache>
        </c:strRef>
      </c:tx>
      <c:layout>
        <c:manualLayout>
          <c:xMode val="edge"/>
          <c:yMode val="edge"/>
          <c:x val="3.8344867358708179E-2"/>
          <c:y val="2.7776927215702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3415128796616686"/>
          <c:y val="0.31046964439138147"/>
          <c:w val="0.6279315647827759"/>
          <c:h val="0.55454636748083586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3AE89F"/>
              </a:solidFill>
              <a:round/>
            </a:ln>
            <a:effectLst/>
          </c:spPr>
          <c:marker>
            <c:symbol val="none"/>
          </c:marker>
          <c:val>
            <c:numRef>
              <c:f>Processing!$N$34:$N$45</c:f>
              <c:numCache>
                <c:formatCode>General</c:formatCode>
                <c:ptCount val="12"/>
                <c:pt idx="0">
                  <c:v>1102177</c:v>
                </c:pt>
                <c:pt idx="1">
                  <c:v>2012801</c:v>
                </c:pt>
                <c:pt idx="2">
                  <c:v>3335497</c:v>
                </c:pt>
                <c:pt idx="3">
                  <c:v>3057338</c:v>
                </c:pt>
                <c:pt idx="4">
                  <c:v>2950955</c:v>
                </c:pt>
                <c:pt idx="5">
                  <c:v>3182955</c:v>
                </c:pt>
                <c:pt idx="6">
                  <c:v>3751497</c:v>
                </c:pt>
                <c:pt idx="7">
                  <c:v>2780422</c:v>
                </c:pt>
                <c:pt idx="8">
                  <c:v>2866644</c:v>
                </c:pt>
                <c:pt idx="9">
                  <c:v>2484879</c:v>
                </c:pt>
                <c:pt idx="10">
                  <c:v>4358882</c:v>
                </c:pt>
                <c:pt idx="11">
                  <c:v>3315416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D8B-40EA-9413-AF2C4426D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541184"/>
        <c:axId val="173553494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Processing!$O$34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8B-40EA-9413-AF2C4426D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541184"/>
        <c:axId val="1735534944"/>
      </c:scatterChart>
      <c:catAx>
        <c:axId val="17355411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35534944"/>
        <c:crosses val="autoZero"/>
        <c:auto val="1"/>
        <c:lblAlgn val="ctr"/>
        <c:lblOffset val="100"/>
        <c:noMultiLvlLbl val="0"/>
      </c:catAx>
      <c:valAx>
        <c:axId val="17355349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54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Processing!$A$47</c:f>
          <c:strCache>
            <c:ptCount val="1"/>
            <c:pt idx="0">
              <c:v>Count product sales by Managers and Teams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5707366248180765E-2"/>
          <c:y val="0.1002464451804701"/>
          <c:w val="0.92858526750363846"/>
          <c:h val="0.64289264048818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Processing!$A$50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3AE89F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Processing!$B$50:$Q$50</c:f>
              <c:numCache>
                <c:formatCode>General</c:formatCode>
                <c:ptCount val="16"/>
                <c:pt idx="0">
                  <c:v>40720.699999999997</c:v>
                </c:pt>
                <c:pt idx="1">
                  <c:v>35616.699999999997</c:v>
                </c:pt>
                <c:pt idx="2">
                  <c:v>32199.300000000003</c:v>
                </c:pt>
                <c:pt idx="3">
                  <c:v>27095.300000000003</c:v>
                </c:pt>
                <c:pt idx="4">
                  <c:v>34778.660000000003</c:v>
                </c:pt>
                <c:pt idx="5">
                  <c:v>49189.120000000003</c:v>
                </c:pt>
                <c:pt idx="6">
                  <c:v>27613.88</c:v>
                </c:pt>
                <c:pt idx="7">
                  <c:v>42024.34</c:v>
                </c:pt>
                <c:pt idx="8">
                  <c:v>25407.519999999997</c:v>
                </c:pt>
                <c:pt idx="9">
                  <c:v>36566.26</c:v>
                </c:pt>
                <c:pt idx="10">
                  <c:v>26790.240000000002</c:v>
                </c:pt>
                <c:pt idx="11">
                  <c:v>37948.980000000003</c:v>
                </c:pt>
                <c:pt idx="12">
                  <c:v>37999.910000000003</c:v>
                </c:pt>
                <c:pt idx="13">
                  <c:v>35074.899999999994</c:v>
                </c:pt>
                <c:pt idx="14">
                  <c:v>37270.6</c:v>
                </c:pt>
                <c:pt idx="15">
                  <c:v>34345.589999999997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F-4299-BE12-A66916CBD338}"/>
            </c:ext>
          </c:extLst>
        </c:ser>
        <c:ser>
          <c:idx val="1"/>
          <c:order val="1"/>
          <c:tx>
            <c:strRef>
              <c:f>Processing!$A$51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Processing!$B$51:$Q$51</c:f>
              <c:numCache>
                <c:formatCode>General</c:formatCode>
                <c:ptCount val="16"/>
                <c:pt idx="0">
                  <c:v>31575.029999999995</c:v>
                </c:pt>
                <c:pt idx="1">
                  <c:v>30583.200000000001</c:v>
                </c:pt>
                <c:pt idx="2">
                  <c:v>29524.799999999999</c:v>
                </c:pt>
                <c:pt idx="3">
                  <c:v>28532.970000000005</c:v>
                </c:pt>
                <c:pt idx="4">
                  <c:v>33470.81</c:v>
                </c:pt>
                <c:pt idx="5">
                  <c:v>24892.14</c:v>
                </c:pt>
                <c:pt idx="6">
                  <c:v>27861.86</c:v>
                </c:pt>
                <c:pt idx="7">
                  <c:v>19283.190000000002</c:v>
                </c:pt>
                <c:pt idx="8">
                  <c:v>33677.840000000004</c:v>
                </c:pt>
                <c:pt idx="9">
                  <c:v>24311.620000000003</c:v>
                </c:pt>
                <c:pt idx="10">
                  <c:v>35771.879999999997</c:v>
                </c:pt>
                <c:pt idx="11">
                  <c:v>26405.66</c:v>
                </c:pt>
                <c:pt idx="12">
                  <c:v>29785.03</c:v>
                </c:pt>
                <c:pt idx="13">
                  <c:v>19577.46</c:v>
                </c:pt>
                <c:pt idx="14">
                  <c:v>33152.54</c:v>
                </c:pt>
                <c:pt idx="15">
                  <c:v>22944.97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5F-4299-BE12-A66916CBD338}"/>
            </c:ext>
          </c:extLst>
        </c:ser>
        <c:ser>
          <c:idx val="2"/>
          <c:order val="2"/>
          <c:tx>
            <c:strRef>
              <c:f>Processing!$A$52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rgbClr val="8D1FF8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Processing!$B$52:$Q$52</c:f>
              <c:numCache>
                <c:formatCode>General</c:formatCode>
                <c:ptCount val="16"/>
                <c:pt idx="0">
                  <c:v>14033.209999999997</c:v>
                </c:pt>
                <c:pt idx="1">
                  <c:v>14759.49</c:v>
                </c:pt>
                <c:pt idx="2">
                  <c:v>21662.010000000002</c:v>
                </c:pt>
                <c:pt idx="3">
                  <c:v>22388.289999999997</c:v>
                </c:pt>
                <c:pt idx="4">
                  <c:v>17633.45</c:v>
                </c:pt>
                <c:pt idx="5">
                  <c:v>16723.12</c:v>
                </c:pt>
                <c:pt idx="6">
                  <c:v>18826.38</c:v>
                </c:pt>
                <c:pt idx="7">
                  <c:v>17916.049999999996</c:v>
                </c:pt>
                <c:pt idx="8">
                  <c:v>20501.740000000002</c:v>
                </c:pt>
                <c:pt idx="9">
                  <c:v>17990.399999999998</c:v>
                </c:pt>
                <c:pt idx="10">
                  <c:v>18206.599999999999</c:v>
                </c:pt>
                <c:pt idx="11">
                  <c:v>15695.259999999998</c:v>
                </c:pt>
                <c:pt idx="12">
                  <c:v>16013.17</c:v>
                </c:pt>
                <c:pt idx="13">
                  <c:v>18013.879999999997</c:v>
                </c:pt>
                <c:pt idx="14">
                  <c:v>17313.62</c:v>
                </c:pt>
                <c:pt idx="15">
                  <c:v>19314.330000000002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5F-4299-BE12-A66916CBD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00170928"/>
        <c:axId val="1400171344"/>
      </c:barChart>
      <c:lineChart>
        <c:grouping val="standard"/>
        <c:varyColors val="0"/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Processing!$B$53:$Q$53</c:f>
              <c:numCache>
                <c:formatCode>General</c:formatCode>
                <c:ptCount val="16"/>
                <c:pt idx="0">
                  <c:v>219127.33333333334</c:v>
                </c:pt>
                <c:pt idx="1">
                  <c:v>219127.33333333334</c:v>
                </c:pt>
                <c:pt idx="2">
                  <c:v>219127.33333333334</c:v>
                </c:pt>
                <c:pt idx="3">
                  <c:v>219127.33333333334</c:v>
                </c:pt>
                <c:pt idx="4">
                  <c:v>220142</c:v>
                </c:pt>
                <c:pt idx="5">
                  <c:v>220142</c:v>
                </c:pt>
                <c:pt idx="6">
                  <c:v>220142</c:v>
                </c:pt>
                <c:pt idx="7">
                  <c:v>220142</c:v>
                </c:pt>
                <c:pt idx="8">
                  <c:v>212849.33333333334</c:v>
                </c:pt>
                <c:pt idx="9">
                  <c:v>212849.33333333334</c:v>
                </c:pt>
                <c:pt idx="10">
                  <c:v>212849.33333333334</c:v>
                </c:pt>
                <c:pt idx="11">
                  <c:v>212849.33333333334</c:v>
                </c:pt>
                <c:pt idx="12">
                  <c:v>213870.66666666666</c:v>
                </c:pt>
                <c:pt idx="13">
                  <c:v>213870.66666666666</c:v>
                </c:pt>
                <c:pt idx="14">
                  <c:v>213870.66666666666</c:v>
                </c:pt>
                <c:pt idx="15">
                  <c:v>213870.66666666666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F-4299-BE12-A66916CBD338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Processing!$B$54:$Q$54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5F-4299-BE12-A66916CBD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gradFill>
                <a:gsLst>
                  <a:gs pos="0">
                    <a:srgbClr val="7030A0">
                      <a:alpha val="74000"/>
                    </a:srgbClr>
                  </a:gs>
                  <a:gs pos="72000">
                    <a:srgbClr val="B686DA">
                      <a:alpha val="0"/>
                    </a:srgbClr>
                  </a:gs>
                </a:gsLst>
                <a:lin ang="5400000" scaled="1"/>
              </a:gradFill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downBars>
        </c:upDownBars>
        <c:marker val="1"/>
        <c:smooth val="0"/>
        <c:axId val="1400170928"/>
        <c:axId val="1400171344"/>
      </c:lineChart>
      <c:catAx>
        <c:axId val="14001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0171344"/>
        <c:crosses val="autoZero"/>
        <c:auto val="1"/>
        <c:lblAlgn val="ctr"/>
        <c:lblOffset val="100"/>
        <c:noMultiLvlLbl val="0"/>
      </c:catAx>
      <c:valAx>
        <c:axId val="14001713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001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33656896005167586"/>
          <c:y val="0.88649244143462647"/>
          <c:w val="0.32686195895160924"/>
          <c:h val="9.2469224559751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rgbClr val="B686DA">
                    <a:alpha val="67000"/>
                  </a:srgbClr>
                </a:gs>
                <a:gs pos="100000">
                  <a:srgbClr val="FE4C35">
                    <a:alpha val="0"/>
                  </a:srgb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val>
            <c:numRef>
              <c:f>Processing!$T$34:$T$45</c:f>
              <c:numCache>
                <c:formatCode>mm:ss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B-43CA-AEEF-711EAA59D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952031823"/>
        <c:axId val="1952032655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Processing!$R$34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Processing!$S$34</c:f>
              <c:numCache>
                <c:formatCode>mm:ss</c:formatCode>
                <c:ptCount val="1"/>
                <c:pt idx="0">
                  <c:v>3.3188657407407416E-3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5B-43CA-AEEF-711EAA59D62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Processing!$R$35</c:f>
              <c:numCache>
                <c:formatCode>General</c:formatCode>
                <c:ptCount val="1"/>
                <c:pt idx="0">
                  <c:v>2</c:v>
                </c:pt>
              </c:numCache>
            </c:numRef>
          </c:xVal>
          <c:yVal>
            <c:numRef>
              <c:f>Processing!$S$35</c:f>
              <c:numCache>
                <c:formatCode>mm:ss</c:formatCode>
                <c:ptCount val="1"/>
                <c:pt idx="0">
                  <c:v>2.7498070987654324E-3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5B-43CA-AEEF-711EAA59D62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Processing!$R$36</c:f>
              <c:numCache>
                <c:formatCode>General</c:formatCode>
                <c:ptCount val="1"/>
                <c:pt idx="0">
                  <c:v>3</c:v>
                </c:pt>
              </c:numCache>
            </c:numRef>
          </c:xVal>
          <c:yVal>
            <c:numRef>
              <c:f>Processing!$S$36</c:f>
              <c:numCache>
                <c:formatCode>mm:ss</c:formatCode>
                <c:ptCount val="1"/>
                <c:pt idx="0">
                  <c:v>1.7480066872427981E-3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5B-43CA-AEEF-711EAA59D62D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Processing!$R$37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Processing!$S$37</c:f>
              <c:numCache>
                <c:formatCode>mm:ss</c:formatCode>
                <c:ptCount val="1"/>
                <c:pt idx="0">
                  <c:v>4.0097736625514411E-3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5B-43CA-AEEF-711EAA59D62D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Processing!$R$38</c:f>
              <c:numCache>
                <c:formatCode>General</c:formatCode>
                <c:ptCount val="1"/>
                <c:pt idx="0">
                  <c:v>5</c:v>
                </c:pt>
              </c:numCache>
            </c:numRef>
          </c:xVal>
          <c:yVal>
            <c:numRef>
              <c:f>Processing!$S$38</c:f>
              <c:numCache>
                <c:formatCode>mm:ss</c:formatCode>
                <c:ptCount val="1"/>
                <c:pt idx="0">
                  <c:v>2.9292052469135797E-3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5B-43CA-AEEF-711EAA59D62D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Processing!$R$39</c:f>
              <c:numCache>
                <c:formatCode>General</c:formatCode>
                <c:ptCount val="1"/>
                <c:pt idx="0">
                  <c:v>6</c:v>
                </c:pt>
              </c:numCache>
            </c:numRef>
          </c:xVal>
          <c:yVal>
            <c:numRef>
              <c:f>Processing!$S$39</c:f>
              <c:numCache>
                <c:formatCode>mm:ss</c:formatCode>
                <c:ptCount val="1"/>
                <c:pt idx="0">
                  <c:v>3.5852301954732504E-3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5B-43CA-AEEF-711EAA59D62D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Processing!$R$40</c:f>
              <c:numCache>
                <c:formatCode>General</c:formatCode>
                <c:ptCount val="1"/>
                <c:pt idx="0">
                  <c:v>7</c:v>
                </c:pt>
              </c:numCache>
            </c:numRef>
          </c:xVal>
          <c:yVal>
            <c:numRef>
              <c:f>Processing!$S$40</c:f>
              <c:numCache>
                <c:formatCode>mm:ss</c:formatCode>
                <c:ptCount val="1"/>
                <c:pt idx="0">
                  <c:v>2.9865933641975307E-3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B-43CA-AEEF-711EAA59D62D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Processing!$R$41</c:f>
              <c:numCache>
                <c:formatCode>General</c:formatCode>
                <c:ptCount val="1"/>
                <c:pt idx="0">
                  <c:v>8</c:v>
                </c:pt>
              </c:numCache>
            </c:numRef>
          </c:xVal>
          <c:yVal>
            <c:numRef>
              <c:f>Processing!$S$41</c:f>
              <c:numCache>
                <c:formatCode>mm:ss</c:formatCode>
                <c:ptCount val="1"/>
                <c:pt idx="0">
                  <c:v>3.9009452160493818E-3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B-43CA-AEEF-711EAA59D62D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Processing!$R$42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Processing!$S$42</c:f>
              <c:numCache>
                <c:formatCode>mm:ss</c:formatCode>
                <c:ptCount val="1"/>
                <c:pt idx="0">
                  <c:v>4.4153485082304537E-3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B-43CA-AEEF-711EAA59D62D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Processing!$R$43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Processing!$S$43</c:f>
              <c:numCache>
                <c:formatCode>mm:ss</c:formatCode>
                <c:ptCount val="1"/>
                <c:pt idx="0">
                  <c:v>2.9087898662551429E-3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B-43CA-AEEF-711EAA59D62D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Processing!$R$44</c:f>
              <c:numCache>
                <c:formatCode>General</c:formatCode>
                <c:ptCount val="1"/>
                <c:pt idx="0">
                  <c:v>11</c:v>
                </c:pt>
              </c:numCache>
            </c:numRef>
          </c:xVal>
          <c:yVal>
            <c:numRef>
              <c:f>Processing!$S$44</c:f>
              <c:numCache>
                <c:formatCode>mm:ss</c:formatCode>
                <c:ptCount val="1"/>
                <c:pt idx="0">
                  <c:v>3.614647633744856E-3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65B-43CA-AEEF-711EAA59D62D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Processing!$R$45</c:f>
              <c:numCache>
                <c:formatCode>General</c:formatCode>
                <c:ptCount val="1"/>
                <c:pt idx="0">
                  <c:v>12</c:v>
                </c:pt>
              </c:numCache>
            </c:numRef>
          </c:xVal>
          <c:yVal>
            <c:numRef>
              <c:f>Processing!$S$45</c:f>
              <c:numCache>
                <c:formatCode>mm:ss</c:formatCode>
                <c:ptCount val="1"/>
                <c:pt idx="0">
                  <c:v>3.1658307613168721E-3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65B-43CA-AEEF-711EAA59D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31823"/>
        <c:axId val="1952032655"/>
      </c:scatterChart>
      <c:catAx>
        <c:axId val="195203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032655"/>
        <c:crosses val="autoZero"/>
        <c:auto val="1"/>
        <c:lblAlgn val="ctr"/>
        <c:lblOffset val="100"/>
        <c:noMultiLvlLbl val="0"/>
      </c:catAx>
      <c:valAx>
        <c:axId val="1952032655"/>
        <c:scaling>
          <c:orientation val="minMax"/>
        </c:scaling>
        <c:delete val="0"/>
        <c:axPos val="l"/>
        <c:numFmt formatCode="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03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Processing!$H$32</c:f>
          <c:strCache>
            <c:ptCount val="1"/>
            <c:pt idx="0">
              <c:v>Traffic from Channels by Month</c:v>
            </c:pt>
          </c:strCache>
        </c:strRef>
      </c:tx>
      <c:layout>
        <c:manualLayout>
          <c:xMode val="edge"/>
          <c:yMode val="edge"/>
          <c:x val="0.31505433316162584"/>
          <c:y val="6.3191153238546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4267912772585667E-2"/>
          <c:y val="0.23302319833339219"/>
          <c:w val="0.75791228199278826"/>
          <c:h val="0.62029824747242901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Processing!$M$33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rgbClr val="1A62FF"/>
            </a:solidFill>
            <a:ln>
              <a:noFill/>
            </a:ln>
            <a:effectLst/>
          </c:spPr>
          <c:invertIfNegative val="0"/>
          <c:val>
            <c:numRef>
              <c:f>Processing!$M$34:$M$45</c:f>
              <c:numCache>
                <c:formatCode>General</c:formatCode>
                <c:ptCount val="12"/>
                <c:pt idx="0">
                  <c:v>198146</c:v>
                </c:pt>
                <c:pt idx="1">
                  <c:v>551993</c:v>
                </c:pt>
                <c:pt idx="2">
                  <c:v>410454</c:v>
                </c:pt>
                <c:pt idx="3">
                  <c:v>651069</c:v>
                </c:pt>
                <c:pt idx="4">
                  <c:v>629837</c:v>
                </c:pt>
                <c:pt idx="5">
                  <c:v>1521532</c:v>
                </c:pt>
                <c:pt idx="6">
                  <c:v>205224</c:v>
                </c:pt>
                <c:pt idx="7">
                  <c:v>297224</c:v>
                </c:pt>
                <c:pt idx="8">
                  <c:v>1641839</c:v>
                </c:pt>
                <c:pt idx="9">
                  <c:v>268916</c:v>
                </c:pt>
                <c:pt idx="10">
                  <c:v>1783378</c:v>
                </c:pt>
                <c:pt idx="11">
                  <c:v>1040298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0-4CF6-BCDF-B7C6D6EDF1AC}"/>
            </c:ext>
          </c:extLst>
        </c:ser>
        <c:ser>
          <c:idx val="4"/>
          <c:order val="1"/>
          <c:tx>
            <c:strRef>
              <c:f>Processing!$L$33</c:f>
              <c:strCache>
                <c:ptCount val="1"/>
                <c:pt idx="0">
                  <c:v>Youtube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val>
            <c:numRef>
              <c:f>Processing!$L$34:$L$45</c:f>
              <c:numCache>
                <c:formatCode>General</c:formatCode>
                <c:ptCount val="12"/>
                <c:pt idx="0">
                  <c:v>330147</c:v>
                </c:pt>
                <c:pt idx="1">
                  <c:v>165070</c:v>
                </c:pt>
                <c:pt idx="2">
                  <c:v>239069</c:v>
                </c:pt>
                <c:pt idx="3">
                  <c:v>1223836</c:v>
                </c:pt>
                <c:pt idx="4">
                  <c:v>216300</c:v>
                </c:pt>
                <c:pt idx="5">
                  <c:v>836760</c:v>
                </c:pt>
                <c:pt idx="6">
                  <c:v>506606</c:v>
                </c:pt>
                <c:pt idx="7">
                  <c:v>1434456</c:v>
                </c:pt>
                <c:pt idx="8">
                  <c:v>159375</c:v>
                </c:pt>
                <c:pt idx="9">
                  <c:v>443992</c:v>
                </c:pt>
                <c:pt idx="10">
                  <c:v>1320608</c:v>
                </c:pt>
                <c:pt idx="11">
                  <c:v>523684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0-4CF6-BCDF-B7C6D6EDF1AC}"/>
            </c:ext>
          </c:extLst>
        </c:ser>
        <c:ser>
          <c:idx val="2"/>
          <c:order val="2"/>
          <c:tx>
            <c:strRef>
              <c:f>Processing!$J$33</c:f>
              <c:strCache>
                <c:ptCount val="1"/>
                <c:pt idx="0">
                  <c:v>Google Ad</c:v>
                </c:pt>
              </c:strCache>
            </c:strRef>
          </c:tx>
          <c:spPr>
            <a:solidFill>
              <a:srgbClr val="338F60"/>
            </a:solidFill>
            <a:ln>
              <a:noFill/>
            </a:ln>
            <a:effectLst/>
          </c:spPr>
          <c:invertIfNegative val="0"/>
          <c:val>
            <c:numRef>
              <c:f>Processing!$J$34:$J$45</c:f>
              <c:numCache>
                <c:formatCode>General</c:formatCode>
                <c:ptCount val="12"/>
                <c:pt idx="0">
                  <c:v>171213</c:v>
                </c:pt>
                <c:pt idx="1">
                  <c:v>599299</c:v>
                </c:pt>
                <c:pt idx="2">
                  <c:v>945838</c:v>
                </c:pt>
                <c:pt idx="3">
                  <c:v>154916</c:v>
                </c:pt>
                <c:pt idx="4">
                  <c:v>876530</c:v>
                </c:pt>
                <c:pt idx="5">
                  <c:v>362839</c:v>
                </c:pt>
                <c:pt idx="6">
                  <c:v>1027378</c:v>
                </c:pt>
                <c:pt idx="7">
                  <c:v>317993</c:v>
                </c:pt>
                <c:pt idx="8">
                  <c:v>114146</c:v>
                </c:pt>
                <c:pt idx="9">
                  <c:v>375070</c:v>
                </c:pt>
                <c:pt idx="10">
                  <c:v>118225</c:v>
                </c:pt>
                <c:pt idx="11">
                  <c:v>236455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40-4CF6-BCDF-B7C6D6EDF1AC}"/>
            </c:ext>
          </c:extLst>
        </c:ser>
        <c:ser>
          <c:idx val="3"/>
          <c:order val="3"/>
          <c:tx>
            <c:strRef>
              <c:f>Processing!$K$33</c:f>
              <c:strCache>
                <c:ptCount val="1"/>
                <c:pt idx="0">
                  <c:v>Instagram</c:v>
                </c:pt>
              </c:strCache>
            </c:strRef>
          </c:tx>
          <c:spPr>
            <a:solidFill>
              <a:srgbClr val="FF00FF"/>
            </a:solidFill>
            <a:ln>
              <a:noFill/>
            </a:ln>
            <a:effectLst/>
          </c:spPr>
          <c:invertIfNegative val="0"/>
          <c:val>
            <c:numRef>
              <c:f>Processing!$K$34:$K$45</c:f>
              <c:numCache>
                <c:formatCode>General</c:formatCode>
                <c:ptCount val="12"/>
                <c:pt idx="0">
                  <c:v>216454</c:v>
                </c:pt>
                <c:pt idx="1">
                  <c:v>401993</c:v>
                </c:pt>
                <c:pt idx="2">
                  <c:v>1108072</c:v>
                </c:pt>
                <c:pt idx="3">
                  <c:v>458684</c:v>
                </c:pt>
                <c:pt idx="4">
                  <c:v>474147</c:v>
                </c:pt>
                <c:pt idx="5">
                  <c:v>298915</c:v>
                </c:pt>
                <c:pt idx="6">
                  <c:v>1298762</c:v>
                </c:pt>
                <c:pt idx="7">
                  <c:v>149454</c:v>
                </c:pt>
                <c:pt idx="8">
                  <c:v>144299</c:v>
                </c:pt>
                <c:pt idx="9">
                  <c:v>1195685</c:v>
                </c:pt>
                <c:pt idx="10">
                  <c:v>195839</c:v>
                </c:pt>
                <c:pt idx="11">
                  <c:v>757608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40-4CF6-BCDF-B7C6D6EDF1AC}"/>
            </c:ext>
          </c:extLst>
        </c:ser>
        <c:ser>
          <c:idx val="1"/>
          <c:order val="4"/>
          <c:tx>
            <c:strRef>
              <c:f>Processing!$I$33</c:f>
              <c:strCache>
                <c:ptCount val="1"/>
                <c:pt idx="0">
                  <c:v>Tiktok</c:v>
                </c:pt>
              </c:strCache>
            </c:strRef>
          </c:tx>
          <c:spPr>
            <a:solidFill>
              <a:srgbClr val="6D00A3"/>
            </a:solidFill>
            <a:ln>
              <a:noFill/>
            </a:ln>
            <a:effectLst/>
          </c:spPr>
          <c:invertIfNegative val="0"/>
          <c:val>
            <c:numRef>
              <c:f>Processing!$I$34:$I$45</c:f>
              <c:numCache>
                <c:formatCode>General</c:formatCode>
                <c:ptCount val="12"/>
                <c:pt idx="0">
                  <c:v>125993</c:v>
                </c:pt>
                <c:pt idx="1">
                  <c:v>173992</c:v>
                </c:pt>
                <c:pt idx="2">
                  <c:v>440994</c:v>
                </c:pt>
                <c:pt idx="3">
                  <c:v>86994</c:v>
                </c:pt>
                <c:pt idx="4">
                  <c:v>695993</c:v>
                </c:pt>
                <c:pt idx="5">
                  <c:v>83993</c:v>
                </c:pt>
                <c:pt idx="6">
                  <c:v>266993</c:v>
                </c:pt>
                <c:pt idx="7">
                  <c:v>275994</c:v>
                </c:pt>
                <c:pt idx="8">
                  <c:v>644992</c:v>
                </c:pt>
                <c:pt idx="9">
                  <c:v>113993</c:v>
                </c:pt>
                <c:pt idx="10">
                  <c:v>755993</c:v>
                </c:pt>
                <c:pt idx="11">
                  <c:v>233994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40-4CF6-BCDF-B7C6D6EDF1AC}"/>
            </c:ext>
          </c:extLst>
        </c:ser>
        <c:ser>
          <c:idx val="0"/>
          <c:order val="5"/>
          <c:tx>
            <c:strRef>
              <c:f>Processing!$H$33</c:f>
              <c:strCache>
                <c:ptCount val="1"/>
                <c:pt idx="0">
                  <c:v>Twitter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Processing!$H$34:$H$45</c:f>
              <c:numCache>
                <c:formatCode>General</c:formatCode>
                <c:ptCount val="12"/>
                <c:pt idx="0">
                  <c:v>60224</c:v>
                </c:pt>
                <c:pt idx="1">
                  <c:v>120454</c:v>
                </c:pt>
                <c:pt idx="2">
                  <c:v>191070</c:v>
                </c:pt>
                <c:pt idx="3">
                  <c:v>481839</c:v>
                </c:pt>
                <c:pt idx="4">
                  <c:v>58148</c:v>
                </c:pt>
                <c:pt idx="5">
                  <c:v>78916</c:v>
                </c:pt>
                <c:pt idx="6">
                  <c:v>446534</c:v>
                </c:pt>
                <c:pt idx="7">
                  <c:v>305301</c:v>
                </c:pt>
                <c:pt idx="8">
                  <c:v>161993</c:v>
                </c:pt>
                <c:pt idx="9">
                  <c:v>87223</c:v>
                </c:pt>
                <c:pt idx="10">
                  <c:v>184839</c:v>
                </c:pt>
                <c:pt idx="11">
                  <c:v>523377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40-4CF6-BCDF-B7C6D6ED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0"/>
        <c:overlap val="100"/>
        <c:axId val="928682224"/>
        <c:axId val="928683888"/>
      </c:barChart>
      <c:lineChart>
        <c:grouping val="standard"/>
        <c:varyColors val="0"/>
        <c:ser>
          <c:idx val="6"/>
          <c:order val="6"/>
          <c:tx>
            <c:strRef>
              <c:f>Processing!$P$33</c:f>
              <c:strCache>
                <c:ptCount val="1"/>
                <c:pt idx="0">
                  <c:v>___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solidFill>
                  <a:srgbClr val="2D9CD6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Processing!$P$34:$P$45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40-4CF6-BCDF-B7C6D6EDF1AC}"/>
            </c:ext>
          </c:extLst>
        </c:ser>
        <c:ser>
          <c:idx val="7"/>
          <c:order val="7"/>
          <c:tx>
            <c:strRef>
              <c:f>Processing!$Q$33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B7A18D4-1AB2-40EC-9033-05842F98A486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940-4CF6-BCDF-B7C6D6EDF1A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07647D1-8566-4308-B71A-3D6029882936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940-4CF6-BCDF-B7C6D6EDF1A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9841EB5-C339-4DAD-A3F6-A90D4F27F73B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940-4CF6-BCDF-B7C6D6EDF1A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376E64B-B5D0-4644-AD03-F01D544F45DF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940-4CF6-BCDF-B7C6D6EDF1A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A2B338A-13AA-47FE-A1FE-C25E03D67454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940-4CF6-BCDF-B7C6D6EDF1A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94360CA-97BC-4B3E-9342-95C10C3DC669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940-4CF6-BCDF-B7C6D6EDF1A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264C6C1-F269-4A31-B60E-AFD1B6F32E30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940-4CF6-BCDF-B7C6D6EDF1A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73FAF36-CFAC-4F5A-AAD4-2C768546E830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940-4CF6-BCDF-B7C6D6EDF1A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0049306-37BC-4047-B6A2-17B72F6CE674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940-4CF6-BCDF-B7C6D6EDF1A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21CD161-4894-4149-A93F-1A70964EAD1F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940-4CF6-BCDF-B7C6D6EDF1A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55B4049-4E6F-4C3C-8898-C2E36522F447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940-4CF6-BCDF-B7C6D6EDF1A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6C25DDC-82FA-4305-BB8E-3584ABED7CB2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940-4CF6-BCDF-B7C6D6EDF1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Processing!$N$34:$N$45</c:f>
              <c:numCache>
                <c:formatCode>General</c:formatCode>
                <c:ptCount val="12"/>
                <c:pt idx="0">
                  <c:v>1102177</c:v>
                </c:pt>
                <c:pt idx="1">
                  <c:v>2012801</c:v>
                </c:pt>
                <c:pt idx="2">
                  <c:v>3335497</c:v>
                </c:pt>
                <c:pt idx="3">
                  <c:v>3057338</c:v>
                </c:pt>
                <c:pt idx="4">
                  <c:v>2950955</c:v>
                </c:pt>
                <c:pt idx="5">
                  <c:v>3182955</c:v>
                </c:pt>
                <c:pt idx="6">
                  <c:v>3751497</c:v>
                </c:pt>
                <c:pt idx="7">
                  <c:v>2780422</c:v>
                </c:pt>
                <c:pt idx="8">
                  <c:v>2866644</c:v>
                </c:pt>
                <c:pt idx="9">
                  <c:v>2484879</c:v>
                </c:pt>
                <c:pt idx="10">
                  <c:v>4358882</c:v>
                </c:pt>
                <c:pt idx="11">
                  <c:v>3315416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Processing!$Q$34:$Q$45</c15:f>
                <c15:dlblRangeCache>
                  <c:ptCount val="12"/>
                  <c:pt idx="1">
                    <c:v>+29%</c:v>
                  </c:pt>
                  <c:pt idx="2">
                    <c:v>+25%</c:v>
                  </c:pt>
                  <c:pt idx="3">
                    <c:v>-4%</c:v>
                  </c:pt>
                  <c:pt idx="4">
                    <c:v>-2%</c:v>
                  </c:pt>
                  <c:pt idx="5">
                    <c:v>+4%</c:v>
                  </c:pt>
                  <c:pt idx="6">
                    <c:v>+8%</c:v>
                  </c:pt>
                  <c:pt idx="7">
                    <c:v>-15%</c:v>
                  </c:pt>
                  <c:pt idx="8">
                    <c:v>+2%</c:v>
                  </c:pt>
                  <c:pt idx="9">
                    <c:v>-7%</c:v>
                  </c:pt>
                  <c:pt idx="10">
                    <c:v>+27%</c:v>
                  </c:pt>
                  <c:pt idx="11">
                    <c:v>-14%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9940-4CF6-BCDF-B7C6D6ED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682224"/>
        <c:axId val="928683888"/>
      </c:lineChart>
      <c:catAx>
        <c:axId val="92868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8683888"/>
        <c:crosses val="autoZero"/>
        <c:auto val="1"/>
        <c:lblAlgn val="ctr"/>
        <c:lblOffset val="100"/>
        <c:noMultiLvlLbl val="0"/>
      </c:catAx>
      <c:valAx>
        <c:axId val="928683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868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3288883544934611"/>
          <c:y val="0.23174786567453218"/>
          <c:w val="0.14871315327426654"/>
          <c:h val="0.65309866967764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</c:f>
          <c:strCache>
            <c:ptCount val="1"/>
            <c:pt idx="0">
              <c:v>Total Sales by:
Sales Team</c:v>
            </c:pt>
          </c:strCache>
        </c:strRef>
      </c:tx>
      <c:layout>
        <c:manualLayout>
          <c:xMode val="edge"/>
          <c:yMode val="edge"/>
          <c:x val="5.3679482182450174E-2"/>
          <c:y val="5.8169974846894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9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1142234186712566"/>
          <c:y val="0.28481176181102369"/>
          <c:w val="0.6740642474781755"/>
          <c:h val="0.6382207905829953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7453201929282288E-2"/>
                  <c:y val="6.8350831150085278E-7"/>
                </c:manualLayout>
              </c:layout>
              <c:tx>
                <c:rich>
                  <a:bodyPr/>
                  <a:lstStyle/>
                  <a:p>
                    <a:fld id="{FD034CDF-44CD-4694-85DB-27E132089722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1BD-4E16-A35C-CFBE81C3B781}"/>
                </c:ext>
              </c:extLst>
            </c:dLbl>
            <c:dLbl>
              <c:idx val="1"/>
              <c:layout>
                <c:manualLayout>
                  <c:x val="-3.7453201929282288E-2"/>
                  <c:y val="4.1010498687664041E-6"/>
                </c:manualLayout>
              </c:layout>
              <c:tx>
                <c:rich>
                  <a:bodyPr/>
                  <a:lstStyle/>
                  <a:p>
                    <a:fld id="{8B613EF7-2B44-4AFF-9F61-276ABC285F37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1BD-4E16-A35C-CFBE81C3B781}"/>
                </c:ext>
              </c:extLst>
            </c:dLbl>
            <c:dLbl>
              <c:idx val="2"/>
              <c:layout>
                <c:manualLayout>
                  <c:x val="-3.7453201929282288E-2"/>
                  <c:y val="1.3670166230017056E-6"/>
                </c:manualLayout>
              </c:layout>
              <c:tx>
                <c:rich>
                  <a:bodyPr/>
                  <a:lstStyle/>
                  <a:p>
                    <a:fld id="{603C3CFF-8C17-45EF-AC0B-0081EDD6789A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1BD-4E16-A35C-CFBE81C3B781}"/>
                </c:ext>
              </c:extLst>
            </c:dLbl>
            <c:dLbl>
              <c:idx val="3"/>
              <c:layout>
                <c:manualLayout>
                  <c:x val="-3.7453201929282288E-2"/>
                  <c:y val="1.3670166230812765E-6"/>
                </c:manualLayout>
              </c:layout>
              <c:tx>
                <c:rich>
                  <a:bodyPr/>
                  <a:lstStyle/>
                  <a:p>
                    <a:fld id="{54AADA1A-5CB2-48A2-8064-BA80A60123F0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1BD-4E16-A35C-CFBE81C3B7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Processing!$D$5:$D$8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Processing!$A$5:$A$8</c15:f>
                <c15:dlblRangeCache>
                  <c:ptCount val="4"/>
                  <c:pt idx="0">
                    <c:v>North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71BD-4E16-A35C-CFBE81C3B781}"/>
            </c:ext>
          </c:extLst>
        </c:ser>
        <c:ser>
          <c:idx val="0"/>
          <c:order val="1"/>
          <c:spPr>
            <a:solidFill>
              <a:srgbClr val="8D1FF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Processing!$B$5:$B$8</c:f>
              <c:numCache>
                <c:formatCode>0%</c:formatCode>
                <c:ptCount val="4"/>
                <c:pt idx="0">
                  <c:v>0.25327174749807546</c:v>
                </c:pt>
                <c:pt idx="1">
                  <c:v>0.2540415704387991</c:v>
                </c:pt>
                <c:pt idx="2">
                  <c:v>0.2455735180908391</c:v>
                </c:pt>
                <c:pt idx="3">
                  <c:v>0.24711316397228639</c:v>
                </c:pt>
              </c:numCache>
            </c:numRef>
          </c:cat>
          <c:val>
            <c:numRef>
              <c:f>Processing!$C$5:$C$8</c:f>
              <c:numCache>
                <c:formatCode>_-* #\ ##0_-;\-* #\ ##0_-;_-* "-"??_-;_-@_-</c:formatCode>
                <c:ptCount val="4"/>
                <c:pt idx="0">
                  <c:v>329</c:v>
                </c:pt>
                <c:pt idx="1">
                  <c:v>330</c:v>
                </c:pt>
                <c:pt idx="2">
                  <c:v>319</c:v>
                </c:pt>
                <c:pt idx="3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BD-4E16-A35C-CFBE81C3B7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0"/>
        <c:overlap val="-70"/>
        <c:axId val="1236741552"/>
        <c:axId val="1236743632"/>
      </c:barChart>
      <c:catAx>
        <c:axId val="1236741552"/>
        <c:scaling>
          <c:orientation val="maxMin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743632"/>
        <c:crosses val="autoZero"/>
        <c:auto val="1"/>
        <c:lblAlgn val="ctr"/>
        <c:lblOffset val="100"/>
        <c:noMultiLvlLbl val="0"/>
      </c:catAx>
      <c:valAx>
        <c:axId val="123674363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23674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Processing!$G$4</c:f>
          <c:strCache>
            <c:ptCount val="1"/>
            <c:pt idx="0">
              <c:v>Products by Sales Team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2049800696491159E-2"/>
          <c:y val="0.17155176714063758"/>
          <c:w val="0.88544652179109329"/>
          <c:h val="0.506461691573764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3AE89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B8-461E-8387-A7F15A787319}"/>
              </c:ext>
            </c:extLst>
          </c:dPt>
          <c:dPt>
            <c:idx val="1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B8-461E-8387-A7F15A787319}"/>
              </c:ext>
            </c:extLst>
          </c:dPt>
          <c:dPt>
            <c:idx val="2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B8-461E-8387-A7F15A787319}"/>
              </c:ext>
            </c:extLst>
          </c:dPt>
          <c:dPt>
            <c:idx val="3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8B8-461E-8387-A7F15A787319}"/>
              </c:ext>
            </c:extLst>
          </c:dPt>
          <c:dPt>
            <c:idx val="4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8B8-461E-8387-A7F15A787319}"/>
              </c:ext>
            </c:extLst>
          </c:dPt>
          <c:dPt>
            <c:idx val="5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8B8-461E-8387-A7F15A787319}"/>
              </c:ext>
            </c:extLst>
          </c:dPt>
          <c:dPt>
            <c:idx val="6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8B8-461E-8387-A7F15A787319}"/>
              </c:ext>
            </c:extLst>
          </c:dPt>
          <c:dPt>
            <c:idx val="7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8B8-461E-8387-A7F15A787319}"/>
              </c:ext>
            </c:extLst>
          </c:dPt>
          <c:dPt>
            <c:idx val="8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8B8-461E-8387-A7F15A787319}"/>
              </c:ext>
            </c:extLst>
          </c:dPt>
          <c:dPt>
            <c:idx val="9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8B8-461E-8387-A7F15A787319}"/>
              </c:ext>
            </c:extLst>
          </c:dPt>
          <c:dPt>
            <c:idx val="10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8B8-461E-8387-A7F15A787319}"/>
              </c:ext>
            </c:extLst>
          </c:dPt>
          <c:dPt>
            <c:idx val="11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8B8-461E-8387-A7F15A787319}"/>
              </c:ext>
            </c:extLst>
          </c:dPt>
          <c:cat>
            <c:multiLvlStrRef>
              <c:f>Processing!$G$5:$H$16</c:f>
              <c:multiLvlStrCache>
                <c:ptCount val="12"/>
                <c:lvl>
                  <c:pt idx="0">
                    <c:v>online</c:v>
                  </c:pt>
                  <c:pt idx="1">
                    <c:v>video</c:v>
                  </c:pt>
                  <c:pt idx="2">
                    <c:v>books</c:v>
                  </c:pt>
                  <c:pt idx="3">
                    <c:v>online</c:v>
                  </c:pt>
                  <c:pt idx="4">
                    <c:v>video</c:v>
                  </c:pt>
                  <c:pt idx="5">
                    <c:v>books</c:v>
                  </c:pt>
                  <c:pt idx="6">
                    <c:v>online</c:v>
                  </c:pt>
                  <c:pt idx="7">
                    <c:v>video</c:v>
                  </c:pt>
                  <c:pt idx="8">
                    <c:v>books</c:v>
                  </c:pt>
                  <c:pt idx="9">
                    <c:v>online</c:v>
                  </c:pt>
                  <c:pt idx="10">
                    <c:v>video</c:v>
                  </c:pt>
                  <c:pt idx="11">
                    <c:v>books</c:v>
                  </c:pt>
                </c:lvl>
                <c:lvl>
                  <c:pt idx="0">
                    <c:v>North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Processing!$I$5:$I$16</c:f>
              <c:numCache>
                <c:formatCode>General</c:formatCode>
                <c:ptCount val="12"/>
                <c:pt idx="0">
                  <c:v>135632</c:v>
                </c:pt>
                <c:pt idx="1">
                  <c:v>120216</c:v>
                </c:pt>
                <c:pt idx="2">
                  <c:v>72843</c:v>
                </c:pt>
                <c:pt idx="3">
                  <c:v>153606</c:v>
                </c:pt>
                <c:pt idx="4">
                  <c:v>105508</c:v>
                </c:pt>
                <c:pt idx="5">
                  <c:v>71099</c:v>
                </c:pt>
                <c:pt idx="6">
                  <c:v>126713</c:v>
                </c:pt>
                <c:pt idx="7">
                  <c:v>120167</c:v>
                </c:pt>
                <c:pt idx="8">
                  <c:v>72394</c:v>
                </c:pt>
                <c:pt idx="9">
                  <c:v>144691</c:v>
                </c:pt>
                <c:pt idx="10">
                  <c:v>105460</c:v>
                </c:pt>
                <c:pt idx="11">
                  <c:v>70655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B8-461E-8387-A7F15A787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80976"/>
        <c:axId val="1329647680"/>
      </c:barChart>
      <c:catAx>
        <c:axId val="11450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9647680"/>
        <c:crosses val="autoZero"/>
        <c:auto val="1"/>
        <c:lblAlgn val="ctr"/>
        <c:lblOffset val="100"/>
        <c:noMultiLvlLbl val="0"/>
      </c:catAx>
      <c:valAx>
        <c:axId val="1329647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508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57023170116984"/>
          <c:y val="7.7136322085299858E-2"/>
          <c:w val="0.75942535328779281"/>
          <c:h val="0.870385034887716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DE-40C6-994F-C6EF4CCF1D96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DE-40C6-994F-C6EF4CCF1D96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3DE-40C6-994F-C6EF4CCF1D96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3DE-40C6-994F-C6EF4CCF1D96}"/>
              </c:ext>
            </c:extLst>
          </c:dPt>
          <c:val>
            <c:numRef>
              <c:f>Processing!$S$18:$S$21</c:f>
              <c:numCache>
                <c:formatCode>0%</c:formatCode>
                <c:ptCount val="4"/>
                <c:pt idx="0">
                  <c:v>0.5013310185185188</c:v>
                </c:pt>
                <c:pt idx="1">
                  <c:v>0.4986689814814812</c:v>
                </c:pt>
                <c:pt idx="2">
                  <c:v>0.5013310185185188</c:v>
                </c:pt>
                <c:pt idx="3">
                  <c:v>0.4986689814814812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DE-40C6-994F-C6EF4CCF1D96}"/>
            </c:ext>
          </c:extLst>
        </c:ser>
        <c:ser>
          <c:idx val="2"/>
          <c:order val="2"/>
          <c:tx>
            <c:v>1</c:v>
          </c:tx>
          <c:spPr>
            <a:noFill/>
            <a:ln w="25400">
              <a:noFill/>
            </a:ln>
          </c:spPr>
          <c:dPt>
            <c:idx val="0"/>
            <c:bubble3D val="0"/>
            <c:spPr>
              <a:noFill/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3DE-40C6-994F-C6EF4CCF1D96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93DE-40C6-994F-C6EF4CCF1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6"/>
      </c:doughnut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dash"/>
            <c:size val="28"/>
            <c:spPr>
              <a:solidFill>
                <a:schemeClr val="bg1">
                  <a:alpha val="55000"/>
                </a:schemeClr>
              </a:solidFill>
              <a:ln w="1270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267225818709877"/>
                  <c:y val="-8.4870696385529271E-2"/>
                </c:manualLayout>
              </c:layout>
              <c:tx>
                <c:rich>
                  <a:bodyPr/>
                  <a:lstStyle/>
                  <a:p>
                    <a:fld id="{5C097157-1339-44CB-9D3C-B640F6EB05B2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93DE-40C6-994F-C6EF4CCF1D96}"/>
                </c:ext>
              </c:extLst>
            </c:dLbl>
            <c:dLbl>
              <c:idx val="1"/>
              <c:layout>
                <c:manualLayout>
                  <c:x val="-0.11222972838949387"/>
                  <c:y val="-7.7432221109412683E-2"/>
                </c:manualLayout>
              </c:layout>
              <c:tx>
                <c:rich>
                  <a:bodyPr/>
                  <a:lstStyle/>
                  <a:p>
                    <a:fld id="{C2653731-8FBB-4D0F-8F65-6568B7E8A007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93DE-40C6-994F-C6EF4CCF1D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Processing!$V$19:$V$20</c:f>
              <c:numCache>
                <c:formatCode>0.000</c:formatCode>
                <c:ptCount val="2"/>
                <c:pt idx="0">
                  <c:v>-1.0999903832129831</c:v>
                </c:pt>
                <c:pt idx="1">
                  <c:v>1.0999903832129831</c:v>
                </c:pt>
              </c:numCache>
            </c:numRef>
          </c:xVal>
          <c:yVal>
            <c:numRef>
              <c:f>Processing!$W$19:$W$20</c:f>
              <c:numCache>
                <c:formatCode>0.000</c:formatCode>
                <c:ptCount val="2"/>
                <c:pt idx="0">
                  <c:v>4.5996563952637346E-3</c:v>
                </c:pt>
                <c:pt idx="1">
                  <c:v>-4.5996563952637346E-3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Processing!$U$19:$U$20</c15:f>
                <c15:dlblRangeCache>
                  <c:ptCount val="2"/>
                  <c:pt idx="0">
                    <c:v>50%</c:v>
                  </c:pt>
                  <c:pt idx="1">
                    <c:v>50%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93DE-40C6-994F-C6EF4CCF1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57872"/>
        <c:axId val="1143957456"/>
      </c:scatterChart>
      <c:valAx>
        <c:axId val="1143957872"/>
        <c:scaling>
          <c:orientation val="minMax"/>
          <c:max val="1.5"/>
          <c:min val="-1.5"/>
        </c:scaling>
        <c:delete val="1"/>
        <c:axPos val="b"/>
        <c:numFmt formatCode="0.000" sourceLinked="1"/>
        <c:majorTickMark val="out"/>
        <c:minorTickMark val="none"/>
        <c:tickLblPos val="nextTo"/>
        <c:crossAx val="1143957456"/>
        <c:crosses val="autoZero"/>
        <c:crossBetween val="midCat"/>
      </c:valAx>
      <c:valAx>
        <c:axId val="1143957456"/>
        <c:scaling>
          <c:orientation val="minMax"/>
          <c:max val="1.5"/>
          <c:min val="-1.5"/>
        </c:scaling>
        <c:delete val="1"/>
        <c:axPos val="l"/>
        <c:numFmt formatCode="0.000" sourceLinked="1"/>
        <c:majorTickMark val="out"/>
        <c:minorTickMark val="none"/>
        <c:tickLblPos val="nextTo"/>
        <c:crossAx val="11439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428571428571425E-2"/>
          <c:y val="9.5985524547775952E-2"/>
          <c:w val="0.79761904761904767"/>
          <c:h val="0.9040144875846085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2050E8"/>
              </a:solidFill>
              <a:ln w="9525">
                <a:noFill/>
              </a:ln>
              <a:effectLst/>
            </c:spPr>
          </c:marker>
          <c:yVal>
            <c:numRef>
              <c:f>Processing!$P$19</c:f>
              <c:numCache>
                <c:formatCode>General</c:formatCode>
                <c:ptCount val="1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EB-4205-9B04-1F6DF16093C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0000"/>
              </a:solidFill>
              <a:ln w="9525">
                <a:noFill/>
              </a:ln>
              <a:effectLst/>
            </c:spPr>
          </c:marker>
          <c:yVal>
            <c:numRef>
              <c:f>Processing!$P$20</c:f>
              <c:numCache>
                <c:formatCode>General</c:formatCode>
                <c:ptCount val="1"/>
                <c:pt idx="0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EB-4205-9B04-1F6DF16093C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FF"/>
              </a:solidFill>
              <a:ln w="9525">
                <a:noFill/>
              </a:ln>
              <a:effectLst/>
            </c:spPr>
          </c:marker>
          <c:yVal>
            <c:numRef>
              <c:f>Processing!$P$21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EB-4205-9B04-1F6DF16093C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338F60"/>
              </a:solidFill>
              <a:ln w="9525">
                <a:noFill/>
              </a:ln>
              <a:effectLst/>
            </c:spPr>
          </c:marker>
          <c:yVal>
            <c:numRef>
              <c:f>Processing!$P$22</c:f>
              <c:numCache>
                <c:formatCode>General</c:formatCode>
                <c:ptCount val="1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EB-4205-9B04-1F6DF16093CF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6D00A3"/>
              </a:solidFill>
              <a:ln w="9525">
                <a:noFill/>
              </a:ln>
              <a:effectLst/>
            </c:spPr>
          </c:marker>
          <c:yVal>
            <c:numRef>
              <c:f>Processing!$P$23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EB-4205-9B04-1F6DF16093CF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yVal>
            <c:numRef>
              <c:f>Processing!$P$24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EB-4205-9B04-1F6DF1609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314832"/>
        <c:axId val="2052311504"/>
      </c:scatterChart>
      <c:valAx>
        <c:axId val="2052314832"/>
        <c:scaling>
          <c:orientation val="minMax"/>
        </c:scaling>
        <c:delete val="1"/>
        <c:axPos val="b"/>
        <c:majorTickMark val="none"/>
        <c:minorTickMark val="none"/>
        <c:tickLblPos val="nextTo"/>
        <c:crossAx val="2052311504"/>
        <c:crosses val="autoZero"/>
        <c:crossBetween val="midCat"/>
      </c:valAx>
      <c:valAx>
        <c:axId val="2052311504"/>
        <c:scaling>
          <c:orientation val="minMax"/>
          <c:max val="6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205231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Processing!$H$25</c:f>
          <c:strCache>
            <c:ptCount val="1"/>
            <c:pt idx="0">
              <c:v>Cost Ad</c:v>
            </c:pt>
          </c:strCache>
        </c:strRef>
      </c:tx>
      <c:layout>
        <c:manualLayout>
          <c:xMode val="edge"/>
          <c:yMode val="edge"/>
          <c:x val="0.39025627975210325"/>
          <c:y val="1.5506715506715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531041984770914"/>
          <c:y val="0.18596459096459098"/>
          <c:w val="0.76498108839056711"/>
          <c:h val="0.45515689865689868"/>
        </c:manualLayout>
      </c:layout>
      <c:lineChart>
        <c:grouping val="standard"/>
        <c:varyColors val="0"/>
        <c:ser>
          <c:idx val="0"/>
          <c:order val="0"/>
          <c:tx>
            <c:strRef>
              <c:f>Processing!$L$25</c:f>
              <c:strCache>
                <c:ptCount val="1"/>
                <c:pt idx="0">
                  <c:v>Chart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5875">
                <a:solidFill>
                  <a:srgbClr val="00FFFF"/>
                </a:solidFill>
              </a:ln>
              <a:effectLst/>
            </c:spPr>
          </c:marker>
          <c:cat>
            <c:strRef>
              <c:f>Processing!$J$26:$J$31</c:f>
              <c:strCache>
                <c:ptCount val="6"/>
                <c:pt idx="0">
                  <c:v>Facebook</c:v>
                </c:pt>
                <c:pt idx="1">
                  <c:v>Youtube</c:v>
                </c:pt>
                <c:pt idx="2">
                  <c:v>Google Ad</c:v>
                </c:pt>
                <c:pt idx="3">
                  <c:v>Twitter</c:v>
                </c:pt>
                <c:pt idx="4">
                  <c:v>Instagram</c:v>
                </c:pt>
                <c:pt idx="5">
                  <c:v>Tiktok</c:v>
                </c:pt>
              </c:strCache>
            </c:strRef>
          </c:cat>
          <c:val>
            <c:numRef>
              <c:f>Processing!$L$26:$L$31</c:f>
              <c:numCache>
                <c:formatCode>General</c:formatCode>
                <c:ptCount val="6"/>
                <c:pt idx="0">
                  <c:v>187</c:v>
                </c:pt>
                <c:pt idx="1">
                  <c:v>177</c:v>
                </c:pt>
                <c:pt idx="2">
                  <c:v>136</c:v>
                </c:pt>
                <c:pt idx="3">
                  <c:v>70</c:v>
                </c:pt>
                <c:pt idx="4">
                  <c:v>50</c:v>
                </c:pt>
                <c:pt idx="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B-4D4C-AE44-FF118954B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362144"/>
        <c:axId val="1586359232"/>
      </c:lineChart>
      <c:catAx>
        <c:axId val="158636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6359232"/>
        <c:crosses val="autoZero"/>
        <c:auto val="1"/>
        <c:lblAlgn val="ctr"/>
        <c:lblOffset val="100"/>
        <c:noMultiLvlLbl val="0"/>
      </c:catAx>
      <c:valAx>
        <c:axId val="15863592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bg1">
                      <a:lumMod val="50000"/>
                      <a:alpha val="77000"/>
                    </a:schemeClr>
                  </a:gs>
                  <a:gs pos="100000">
                    <a:schemeClr val="tx1">
                      <a:lumMod val="75000"/>
                      <a:lumOff val="25000"/>
                      <a:alpha val="65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636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Processing!$K$18</c:f>
          <c:strCache>
            <c:ptCount val="1"/>
            <c:pt idx="0">
              <c:v>Top Revenue</c:v>
            </c:pt>
          </c:strCache>
        </c:strRef>
      </c:tx>
      <c:layout>
        <c:manualLayout>
          <c:xMode val="edge"/>
          <c:yMode val="edge"/>
          <c:x val="0.363290444843407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30800618392180329"/>
          <c:y val="0.28830771153605794"/>
          <c:w val="0.5838011170955516"/>
          <c:h val="0.62439070116235473"/>
        </c:manualLayout>
      </c:layout>
      <c:barChart>
        <c:barDir val="bar"/>
        <c:grouping val="percentStacked"/>
        <c:varyColors val="0"/>
        <c:ser>
          <c:idx val="0"/>
          <c:order val="0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Processing!$J$19:$J$24</c:f>
              <c:strCache>
                <c:ptCount val="6"/>
                <c:pt idx="0">
                  <c:v>Facebook</c:v>
                </c:pt>
                <c:pt idx="1">
                  <c:v>Youtube</c:v>
                </c:pt>
                <c:pt idx="2">
                  <c:v>Google Ad</c:v>
                </c:pt>
                <c:pt idx="3">
                  <c:v>Twitter</c:v>
                </c:pt>
                <c:pt idx="4">
                  <c:v>Instagram</c:v>
                </c:pt>
                <c:pt idx="5">
                  <c:v>Tiktok</c:v>
                </c:pt>
              </c:strCache>
            </c:strRef>
          </c:cat>
          <c:val>
            <c:numRef>
              <c:f>Processing!$K$19:$K$24</c:f>
              <c:numCache>
                <c:formatCode>General</c:formatCode>
                <c:ptCount val="6"/>
                <c:pt idx="0">
                  <c:v>375</c:v>
                </c:pt>
                <c:pt idx="1">
                  <c:v>355</c:v>
                </c:pt>
                <c:pt idx="2">
                  <c:v>272</c:v>
                </c:pt>
                <c:pt idx="3">
                  <c:v>140</c:v>
                </c:pt>
                <c:pt idx="4">
                  <c:v>100</c:v>
                </c:pt>
                <c:pt idx="5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0-4D5E-BF46-F40FC48E7E46}"/>
            </c:ext>
          </c:extLst>
        </c:ser>
        <c:ser>
          <c:idx val="1"/>
          <c:order val="1"/>
          <c:tx>
            <c:strRef>
              <c:f>Processing!$F$18</c:f>
              <c:strCache>
                <c:ptCount val="1"/>
                <c:pt idx="0">
                  <c:v>Night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AC8F75A-241B-4E1D-A356-08B28BF8739E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050-4D5E-BF46-F40FC48E7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D8B844-7C28-4510-BB0C-8982948F8B21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050-4D5E-BF46-F40FC48E7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5D7B61-7461-4B10-928E-BBE9BEFF2957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050-4D5E-BF46-F40FC48E7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7DAF96C-DBE2-4825-8B5F-78BBD409F1FA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050-4D5E-BF46-F40FC48E7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7DC8F1D-573D-49C5-A965-3CADBC1EE093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050-4D5E-BF46-F40FC48E7E4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6E30EF4-B3AF-4D1A-9454-600EB964F187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050-4D5E-BF46-F40FC48E7E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Processing!$F$19:$F$24</c:f>
              <c:numCache>
                <c:formatCode>General</c:formatCode>
                <c:ptCount val="6"/>
                <c:pt idx="0">
                  <c:v>0</c:v>
                </c:pt>
                <c:pt idx="1">
                  <c:v>20</c:v>
                </c:pt>
                <c:pt idx="2">
                  <c:v>103</c:v>
                </c:pt>
                <c:pt idx="3">
                  <c:v>235</c:v>
                </c:pt>
                <c:pt idx="4">
                  <c:v>275</c:v>
                </c:pt>
                <c:pt idx="5">
                  <c:v>318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Processing!$K$19:$K$24</c15:f>
                <c15:dlblRangeCache>
                  <c:ptCount val="6"/>
                  <c:pt idx="0">
                    <c:v>375</c:v>
                  </c:pt>
                  <c:pt idx="1">
                    <c:v>355</c:v>
                  </c:pt>
                  <c:pt idx="2">
                    <c:v>272</c:v>
                  </c:pt>
                  <c:pt idx="3">
                    <c:v>140</c:v>
                  </c:pt>
                  <c:pt idx="4">
                    <c:v>100</c:v>
                  </c:pt>
                  <c:pt idx="5">
                    <c:v>57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6050-4D5E-BF46-F40FC48E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62744032"/>
        <c:axId val="1562755264"/>
      </c:barChart>
      <c:catAx>
        <c:axId val="1562744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755264"/>
        <c:crosses val="autoZero"/>
        <c:auto val="1"/>
        <c:lblAlgn val="ctr"/>
        <c:lblOffset val="100"/>
        <c:noMultiLvlLbl val="0"/>
      </c:catAx>
      <c:valAx>
        <c:axId val="1562755264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74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Processing!$A$28" lockText="1" noThreeD="1"/>
</file>

<file path=xl/ctrlProps/ctrlProp2.xml><?xml version="1.0" encoding="utf-8"?>
<formControlPr xmlns="http://schemas.microsoft.com/office/spreadsheetml/2009/9/main" objectType="CheckBox" checked="Checked" fmlaLink="Processing!$A$28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hyperlink" Target="#NIGHT!B5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18" Type="http://schemas.openxmlformats.org/officeDocument/2006/relationships/chart" Target="../charts/chart32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17" Type="http://schemas.openxmlformats.org/officeDocument/2006/relationships/chart" Target="../charts/chart31.xml"/><Relationship Id="rId2" Type="http://schemas.openxmlformats.org/officeDocument/2006/relationships/chart" Target="../charts/chart17.xml"/><Relationship Id="rId16" Type="http://schemas.openxmlformats.org/officeDocument/2006/relationships/hyperlink" Target="#DAY!B5"/><Relationship Id="rId1" Type="http://schemas.openxmlformats.org/officeDocument/2006/relationships/image" Target="../media/image1.png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167640</xdr:rowOff>
    </xdr:from>
    <xdr:to>
      <xdr:col>22</xdr:col>
      <xdr:colOff>388620</xdr:colOff>
      <xdr:row>32</xdr:row>
      <xdr:rowOff>178255</xdr:rowOff>
    </xdr:to>
    <xdr:pic>
      <xdr:nvPicPr>
        <xdr:cNvPr id="2" name="Рисунок 1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0" y="533400"/>
          <a:ext cx="9761220" cy="5497015"/>
        </a:xfrm>
        <a:prstGeom prst="rect">
          <a:avLst/>
        </a:prstGeom>
      </xdr:spPr>
    </xdr:pic>
    <xdr:clientData/>
  </xdr:twoCellAnchor>
  <xdr:twoCellAnchor>
    <xdr:from>
      <xdr:col>13</xdr:col>
      <xdr:colOff>255537</xdr:colOff>
      <xdr:row>11</xdr:row>
      <xdr:rowOff>143448</xdr:rowOff>
    </xdr:from>
    <xdr:to>
      <xdr:col>16</xdr:col>
      <xdr:colOff>174575</xdr:colOff>
      <xdr:row>20</xdr:row>
      <xdr:rowOff>111382</xdr:rowOff>
    </xdr:to>
    <xdr:grpSp>
      <xdr:nvGrpSpPr>
        <xdr:cNvPr id="20" name="Группа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8180337" y="2931472"/>
          <a:ext cx="1747838" cy="1581581"/>
          <a:chOff x="8048625" y="1447800"/>
          <a:chExt cx="1747838" cy="1602000"/>
        </a:xfrm>
      </xdr:grpSpPr>
      <xdr:sp macro="" textlink="">
        <xdr:nvSpPr>
          <xdr:cNvPr id="8" name="Прямоугольник: скругленные углы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8048625" y="1447800"/>
            <a:ext cx="1747838" cy="160200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" name="Диаграмма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GraphicFramePr>
            <a:graphicFrameLocks/>
          </xdr:cNvGraphicFramePr>
        </xdr:nvGraphicFramePr>
        <xdr:xfrm>
          <a:off x="8153400" y="1558291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7" name="Диаграмма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GraphicFramePr>
            <a:graphicFrameLocks/>
          </xdr:cNvGraphicFramePr>
        </xdr:nvGraphicFramePr>
        <xdr:xfrm>
          <a:off x="8153400" y="2268856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10" name="Прямая соединительная линия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8205788" y="2247900"/>
            <a:ext cx="1443044" cy="0"/>
          </a:xfrm>
          <a:prstGeom prst="line">
            <a:avLst/>
          </a:prstGeom>
          <a:ln w="9525">
            <a:solidFill>
              <a:schemeClr val="bg1">
                <a:lumMod val="8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rocessing!K5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 txBox="1"/>
        </xdr:nvSpPr>
        <xdr:spPr>
          <a:xfrm>
            <a:off x="8281988" y="1781175"/>
            <a:ext cx="457200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C1892FB-DC08-4781-943D-93A5D7471C23}" type="TxLink">
              <a:rPr lang="en-US" sz="10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24%</a:t>
            </a:fld>
            <a:endParaRPr lang="ru-RU" sz="1050"/>
          </a:p>
        </xdr:txBody>
      </xdr:sp>
      <xdr:sp macro="" textlink="Processing!J5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 txBox="1"/>
        </xdr:nvSpPr>
        <xdr:spPr>
          <a:xfrm>
            <a:off x="8281989" y="2490788"/>
            <a:ext cx="457199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0C9F3C5-3455-43D5-9312-842D62475980}" type="TxLink">
              <a:rPr lang="en-US" sz="10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76%</a:t>
            </a:fld>
            <a:endParaRPr lang="ru-RU" sz="900"/>
          </a:p>
        </xdr:txBody>
      </xdr:sp>
      <xdr:sp macro="" textlink="Processing!K4">
        <xdr:nvSpPr>
          <xdr:cNvPr id="16" name="TextBox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8739188" y="1657350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B736EAF1-327C-4A43-924D-449B7641C316}" type="TxLink">
              <a:rPr lang="en-US" sz="9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successful calls</a:t>
            </a:fld>
            <a:endParaRPr lang="ru-RU" sz="700" b="0"/>
          </a:p>
        </xdr:txBody>
      </xdr:sp>
      <xdr:sp macro="" textlink="Processing!J4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8739188" y="2414588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859811EB-76B0-4040-91CB-A2337973C140}" type="TxLink">
              <a:rPr lang="en-US" sz="9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unsuccessful calls</a:t>
            </a:fld>
            <a:endParaRPr lang="ru-RU" sz="400" b="0"/>
          </a:p>
        </xdr:txBody>
      </xdr:sp>
      <xdr:sp macro="" textlink="Processing!K6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8739188" y="1809750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DFD9A72-D403-4A9A-B8E1-CDC9B4248554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 10 731 </a:t>
            </a:fld>
            <a:endParaRPr lang="ru-RU" sz="800" b="0"/>
          </a:p>
        </xdr:txBody>
      </xdr:sp>
      <xdr:sp macro="" textlink="Processing!J6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8739188" y="2557464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0C0584AD-3007-42C7-A8BA-CAD9F8F3BFED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 34 468 </a:t>
            </a:fld>
            <a:endParaRPr lang="ru-RU" sz="1000" b="0"/>
          </a:p>
        </xdr:txBody>
      </xdr:sp>
    </xdr:grpSp>
    <xdr:clientData/>
  </xdr:twoCellAnchor>
  <xdr:twoCellAnchor>
    <xdr:from>
      <xdr:col>6</xdr:col>
      <xdr:colOff>598600</xdr:colOff>
      <xdr:row>11</xdr:row>
      <xdr:rowOff>131601</xdr:rowOff>
    </xdr:from>
    <xdr:to>
      <xdr:col>13</xdr:col>
      <xdr:colOff>223315</xdr:colOff>
      <xdr:row>20</xdr:row>
      <xdr:rowOff>128316</xdr:rowOff>
    </xdr:to>
    <xdr:grpSp>
      <xdr:nvGrpSpPr>
        <xdr:cNvPr id="44" name="Группа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pSpPr/>
      </xdr:nvGrpSpPr>
      <xdr:grpSpPr>
        <a:xfrm>
          <a:off x="4256200" y="2919625"/>
          <a:ext cx="3891915" cy="1610362"/>
          <a:chOff x="4107180" y="1402080"/>
          <a:chExt cx="3891915" cy="1642635"/>
        </a:xfrm>
      </xdr:grpSpPr>
      <xdr:sp macro="" textlink="">
        <xdr:nvSpPr>
          <xdr:cNvPr id="43" name="Прямоугольник: скругленные углы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4107180" y="1402080"/>
            <a:ext cx="3825240" cy="161724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1" name="Диаграмма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GraphicFramePr>
            <a:graphicFrameLocks/>
          </xdr:cNvGraphicFramePr>
        </xdr:nvGraphicFramePr>
        <xdr:xfrm>
          <a:off x="4112895" y="1438275"/>
          <a:ext cx="3886200" cy="16064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Processing!O10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4213860" y="2537460"/>
            <a:ext cx="368046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356637E-3A75-4607-B244-5950A9FC7C21}" type="TxLink">
              <a:rPr lang="en-US" sz="10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↑Highest                      Average                      ↓Lowest</a:t>
            </a:fld>
            <a:endParaRPr lang="ru-RU" sz="1000" b="1"/>
          </a:p>
        </xdr:txBody>
      </xdr:sp>
      <xdr:sp macro="" textlink="Processing!O5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451866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4B228ED-7383-4D66-B130-FA93E6B47646}" type="TxLink">
              <a:rPr lang="en-US" sz="12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 252 000 </a:t>
            </a:fld>
            <a:endParaRPr lang="ru-RU" sz="1250" b="0"/>
          </a:p>
        </xdr:txBody>
      </xdr:sp>
      <xdr:sp macro="" textlink="Processing!O7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 txBox="1"/>
        </xdr:nvSpPr>
        <xdr:spPr>
          <a:xfrm>
            <a:off x="560070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51D77D-D596-4758-A224-36FAA5AF04EA}" type="TxLink">
              <a:rPr lang="en-US" sz="12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 108 000 </a:t>
            </a:fld>
            <a:endParaRPr lang="ru-RU" sz="1250" b="0"/>
          </a:p>
        </xdr:txBody>
      </xdr:sp>
      <xdr:sp macro="" textlink="Processing!O9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 txBox="1"/>
        </xdr:nvSpPr>
        <xdr:spPr>
          <a:xfrm>
            <a:off x="671322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F6616E1-3C61-4614-A10C-0860068F30AD}" type="TxLink">
              <a:rPr lang="en-US" sz="12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 28 000 </a:t>
            </a:fld>
            <a:endParaRPr lang="ru-RU" sz="1250" b="0"/>
          </a:p>
        </xdr:txBody>
      </xdr:sp>
    </xdr:grpSp>
    <xdr:clientData/>
  </xdr:twoCellAnchor>
  <xdr:twoCellAnchor>
    <xdr:from>
      <xdr:col>0</xdr:col>
      <xdr:colOff>214701</xdr:colOff>
      <xdr:row>21</xdr:row>
      <xdr:rowOff>59630</xdr:rowOff>
    </xdr:from>
    <xdr:to>
      <xdr:col>3</xdr:col>
      <xdr:colOff>147293</xdr:colOff>
      <xdr:row>30</xdr:row>
      <xdr:rowOff>30949</xdr:rowOff>
    </xdr:to>
    <xdr:grpSp>
      <xdr:nvGrpSpPr>
        <xdr:cNvPr id="57" name="Группа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pSpPr/>
      </xdr:nvGrpSpPr>
      <xdr:grpSpPr>
        <a:xfrm>
          <a:off x="214701" y="4640595"/>
          <a:ext cx="1761392" cy="1584966"/>
          <a:chOff x="139505" y="3037114"/>
          <a:chExt cx="1761392" cy="1636835"/>
        </a:xfrm>
      </xdr:grpSpPr>
      <xdr:sp macro="" textlink="">
        <xdr:nvSpPr>
          <xdr:cNvPr id="29" name="Прямоугольник: скругленные углы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146282" y="3037114"/>
            <a:ext cx="1747838" cy="1636835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8" name="Диаграмма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GraphicFramePr>
            <a:graphicFrameLocks/>
          </xdr:cNvGraphicFramePr>
        </xdr:nvGraphicFramePr>
        <xdr:xfrm>
          <a:off x="139505" y="3121248"/>
          <a:ext cx="1761392" cy="1466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0</xdr:col>
      <xdr:colOff>214701</xdr:colOff>
      <xdr:row>30</xdr:row>
      <xdr:rowOff>125505</xdr:rowOff>
    </xdr:from>
    <xdr:to>
      <xdr:col>3</xdr:col>
      <xdr:colOff>146301</xdr:colOff>
      <xdr:row>39</xdr:row>
      <xdr:rowOff>172517</xdr:rowOff>
    </xdr:to>
    <xdr:grpSp>
      <xdr:nvGrpSpPr>
        <xdr:cNvPr id="32" name="Группа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pSpPr/>
      </xdr:nvGrpSpPr>
      <xdr:grpSpPr>
        <a:xfrm>
          <a:off x="214701" y="6320117"/>
          <a:ext cx="1760400" cy="1660659"/>
          <a:chOff x="4847659" y="6695070"/>
          <a:chExt cx="1760400" cy="1638300"/>
        </a:xfrm>
      </xdr:grpSpPr>
      <xdr:sp macro="" textlink="">
        <xdr:nvSpPr>
          <xdr:cNvPr id="31" name="Прямоугольник: скругленные углы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4853940" y="6705600"/>
            <a:ext cx="1747838" cy="161724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0" name="Диаграмма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GraphicFramePr>
            <a:graphicFrameLocks/>
          </xdr:cNvGraphicFramePr>
        </xdr:nvGraphicFramePr>
        <xdr:xfrm>
          <a:off x="4847659" y="6695070"/>
          <a:ext cx="1760400" cy="1638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5" name="Check Box 1" hidden="1">
                <a:extLst>
                  <a:ext uri="{63B3BB69-23CF-44E3-9099-C40C66FF867C}">
                    <a14:compatExt spid="_x0000_s1025"/>
                  </a:ext>
                  <a:ext uri="{FF2B5EF4-FFF2-40B4-BE49-F238E27FC236}">
                    <a16:creationId xmlns:a16="http://schemas.microsoft.com/office/drawing/2014/main" id="{00000000-0008-0000-0000-000001040000}"/>
                  </a:ext>
                </a:extLst>
              </xdr:cNvPr>
              <xdr:cNvSpPr/>
            </xdr:nvSpPr>
            <xdr:spPr bwMode="auto">
              <a:xfrm>
                <a:off x="4902350" y="8072625"/>
                <a:ext cx="487680" cy="20574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27432" rIns="0" bIns="27432" anchor="ctr" upright="1"/>
              <a:lstStyle/>
              <a:p>
                <a:pPr algn="l" rtl="0">
                  <a:defRPr sz="1000"/>
                </a:pPr>
                <a:r>
                  <a:rPr lang="ru-RU" sz="800" b="0" i="0" u="none" strike="noStrike" baseline="0">
                    <a:solidFill>
                      <a:srgbClr val="000000"/>
                    </a:solidFill>
                    <a:latin typeface="Segoe UI"/>
                    <a:cs typeface="Segoe UI"/>
                  </a:rPr>
                  <a:t>Total</a:t>
                </a:r>
              </a:p>
            </xdr:txBody>
          </xdr:sp>
        </mc:Choice>
        <mc:Fallback/>
      </mc:AlternateContent>
    </xdr:grpSp>
    <xdr:clientData/>
  </xdr:twoCellAnchor>
  <xdr:twoCellAnchor>
    <xdr:from>
      <xdr:col>3</xdr:col>
      <xdr:colOff>253158</xdr:colOff>
      <xdr:row>21</xdr:row>
      <xdr:rowOff>59630</xdr:rowOff>
    </xdr:from>
    <xdr:to>
      <xdr:col>6</xdr:col>
      <xdr:colOff>504618</xdr:colOff>
      <xdr:row>39</xdr:row>
      <xdr:rowOff>170343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2081958" y="4640595"/>
          <a:ext cx="2080260" cy="3338007"/>
          <a:chOff x="1988820" y="2994660"/>
          <a:chExt cx="2080260" cy="3322320"/>
        </a:xfrm>
      </xdr:grpSpPr>
      <xdr:sp macro="" textlink="">
        <xdr:nvSpPr>
          <xdr:cNvPr id="12" name="Прямоугольник: скругленные углы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988820" y="2994660"/>
            <a:ext cx="2080260" cy="332232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9" name="Диаграмма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GraphicFramePr>
            <a:graphicFrameLocks/>
          </xdr:cNvGraphicFramePr>
        </xdr:nvGraphicFramePr>
        <xdr:xfrm>
          <a:off x="2004060" y="4655820"/>
          <a:ext cx="2004060" cy="1638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1" name="Диаграмма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GraphicFramePr>
            <a:graphicFrameLocks/>
          </xdr:cNvGraphicFramePr>
        </xdr:nvGraphicFramePr>
        <xdr:xfrm>
          <a:off x="2004060" y="3055620"/>
          <a:ext cx="2005200" cy="1600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6</xdr:col>
      <xdr:colOff>496152</xdr:colOff>
      <xdr:row>21</xdr:row>
      <xdr:rowOff>49471</xdr:rowOff>
    </xdr:from>
    <xdr:to>
      <xdr:col>10</xdr:col>
      <xdr:colOff>351372</xdr:colOff>
      <xdr:row>36</xdr:row>
      <xdr:rowOff>107094</xdr:rowOff>
    </xdr:to>
    <xdr:grpSp>
      <xdr:nvGrpSpPr>
        <xdr:cNvPr id="38" name="Группа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4153752" y="4630436"/>
          <a:ext cx="2293620" cy="2747034"/>
          <a:chOff x="4145280" y="3009901"/>
          <a:chExt cx="2293620" cy="2804159"/>
        </a:xfrm>
      </xdr:grpSpPr>
      <xdr:sp macro="" textlink="">
        <xdr:nvSpPr>
          <xdr:cNvPr id="33" name="Прямоугольник: скругленные углы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4251690" y="3017520"/>
            <a:ext cx="2080800" cy="279654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4" name="Диаграмма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GraphicFramePr>
            <a:graphicFrameLocks/>
          </xdr:cNvGraphicFramePr>
        </xdr:nvGraphicFramePr>
        <xdr:xfrm>
          <a:off x="4145280" y="3009901"/>
          <a:ext cx="2293620" cy="18135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Processing!N21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 txBox="1"/>
        </xdr:nvSpPr>
        <xdr:spPr>
          <a:xfrm>
            <a:off x="4961097" y="3924300"/>
            <a:ext cx="738187" cy="2451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A8D7F73-A5A3-4C6E-ACAD-11CDA7662CAF}" type="TxLink">
              <a:rPr lang="en-US" sz="15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35,2m</a:t>
            </a:fld>
            <a:endParaRPr lang="ru-RU" sz="1500" b="0"/>
          </a:p>
        </xdr:txBody>
      </xdr:sp>
    </xdr:grpSp>
    <xdr:clientData/>
  </xdr:twoCellAnchor>
  <xdr:twoCellAnchor>
    <xdr:from>
      <xdr:col>6</xdr:col>
      <xdr:colOff>593977</xdr:colOff>
      <xdr:row>37</xdr:row>
      <xdr:rowOff>9575</xdr:rowOff>
    </xdr:from>
    <xdr:to>
      <xdr:col>10</xdr:col>
      <xdr:colOff>243997</xdr:colOff>
      <xdr:row>40</xdr:row>
      <xdr:rowOff>934</xdr:rowOff>
    </xdr:to>
    <xdr:grpSp>
      <xdr:nvGrpSpPr>
        <xdr:cNvPr id="42" name="Группа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pSpPr/>
      </xdr:nvGrpSpPr>
      <xdr:grpSpPr>
        <a:xfrm>
          <a:off x="4251577" y="7459246"/>
          <a:ext cx="2088420" cy="529241"/>
          <a:chOff x="4259580" y="6231923"/>
          <a:chExt cx="2088420" cy="540956"/>
        </a:xfrm>
      </xdr:grpSpPr>
      <xdr:sp macro="" textlink="">
        <xdr:nvSpPr>
          <xdr:cNvPr id="41" name="Прямоугольник: скругленные углы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4267200" y="6231923"/>
            <a:ext cx="2080800" cy="540956"/>
          </a:xfrm>
          <a:prstGeom prst="roundRect">
            <a:avLst>
              <a:gd name="adj" fmla="val 15347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9" name="Диаграмма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GraphicFramePr>
            <a:graphicFrameLocks/>
          </xdr:cNvGraphicFramePr>
        </xdr:nvGraphicFramePr>
        <xdr:xfrm>
          <a:off x="4259580" y="6258272"/>
          <a:ext cx="2080800" cy="4580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Processing!O36">
        <xdr:nvSpPr>
          <xdr:cNvPr id="40" name="TextBox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 txBox="1"/>
        </xdr:nvSpPr>
        <xdr:spPr>
          <a:xfrm>
            <a:off x="4295273" y="6418868"/>
            <a:ext cx="782052" cy="245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F85ADE8-7CC6-44C3-ACC0-BE7C8E9E9293}" type="TxLink">
              <a:rPr lang="en-US" sz="1000" b="0" i="0" u="none" strike="noStrike">
                <a:solidFill>
                  <a:srgbClr val="0070C0"/>
                </a:solidFill>
                <a:latin typeface="Calibri"/>
                <a:cs typeface="Calibri"/>
              </a:rPr>
              <a:pPr algn="ctr"/>
              <a:t>35,2million</a:t>
            </a:fld>
            <a:endParaRPr lang="ru-RU" sz="1200" b="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20</xdr:col>
      <xdr:colOff>355606</xdr:colOff>
      <xdr:row>21</xdr:row>
      <xdr:rowOff>61323</xdr:rowOff>
    </xdr:from>
    <xdr:to>
      <xdr:col>26</xdr:col>
      <xdr:colOff>568966</xdr:colOff>
      <xdr:row>39</xdr:row>
      <xdr:rowOff>171722</xdr:rowOff>
    </xdr:to>
    <xdr:grpSp>
      <xdr:nvGrpSpPr>
        <xdr:cNvPr id="47" name="Группа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12547606" y="4642288"/>
          <a:ext cx="3870960" cy="3337693"/>
          <a:chOff x="9547860" y="6583680"/>
          <a:chExt cx="4594860" cy="2767860"/>
        </a:xfrm>
      </xdr:grpSpPr>
      <xdr:sp macro="" textlink="">
        <xdr:nvSpPr>
          <xdr:cNvPr id="46" name="Прямоугольник: скругленные углы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/>
        </xdr:nvSpPr>
        <xdr:spPr>
          <a:xfrm>
            <a:off x="9547860" y="6583680"/>
            <a:ext cx="4594860" cy="2767860"/>
          </a:xfrm>
          <a:prstGeom prst="roundRect">
            <a:avLst>
              <a:gd name="adj" fmla="val 3869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5" name="Диаграмма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GraphicFramePr>
            <a:graphicFrameLocks/>
          </xdr:cNvGraphicFramePr>
        </xdr:nvGraphicFramePr>
        <xdr:xfrm>
          <a:off x="9563100" y="65836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13</xdr:col>
      <xdr:colOff>121196</xdr:colOff>
      <xdr:row>21</xdr:row>
      <xdr:rowOff>55396</xdr:rowOff>
    </xdr:from>
    <xdr:to>
      <xdr:col>20</xdr:col>
      <xdr:colOff>334439</xdr:colOff>
      <xdr:row>30</xdr:row>
      <xdr:rowOff>65475</xdr:rowOff>
    </xdr:to>
    <xdr:grpSp>
      <xdr:nvGrpSpPr>
        <xdr:cNvPr id="54" name="Группа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pSpPr/>
      </xdr:nvGrpSpPr>
      <xdr:grpSpPr>
        <a:xfrm>
          <a:off x="8045996" y="4636361"/>
          <a:ext cx="4480443" cy="1623726"/>
          <a:chOff x="6507597" y="6652260"/>
          <a:chExt cx="4899543" cy="1656000"/>
        </a:xfrm>
      </xdr:grpSpPr>
      <xdr:sp macro="" textlink="">
        <xdr:nvSpPr>
          <xdr:cNvPr id="35" name="Прямоугольник: скругленные углы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6507597" y="6652260"/>
            <a:ext cx="4777740" cy="165600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7" name="Диаграмма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GraphicFramePr>
            <a:graphicFrameLocks/>
          </xdr:cNvGraphicFramePr>
        </xdr:nvGraphicFramePr>
        <xdr:xfrm>
          <a:off x="6576060" y="6743701"/>
          <a:ext cx="3314700" cy="14935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 txBox="1"/>
        </xdr:nvSpPr>
        <xdr:spPr>
          <a:xfrm>
            <a:off x="9898380" y="6728460"/>
            <a:ext cx="1348740" cy="434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/>
              <a:t>Paid Calls Duration</a:t>
            </a:r>
          </a:p>
          <a:p>
            <a:r>
              <a:rPr lang="en-US" sz="900"/>
              <a:t>by Month</a:t>
            </a:r>
            <a:endParaRPr lang="ru-RU" sz="900"/>
          </a:p>
        </xdr:txBody>
      </xdr:sp>
      <xdr:sp macro="" textlink="Processing!U42">
        <xdr:nvSpPr>
          <xdr:cNvPr id="49" name="Полилиния: фигура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9997440" y="7254240"/>
            <a:ext cx="1295517" cy="303146"/>
          </a:xfrm>
          <a:custGeom>
            <a:avLst/>
            <a:gdLst>
              <a:gd name="connsiteX0" fmla="*/ 36944 w 1158357"/>
              <a:gd name="connsiteY0" fmla="*/ 0 h 234566"/>
              <a:gd name="connsiteX1" fmla="*/ 1158357 w 1158357"/>
              <a:gd name="connsiteY1" fmla="*/ 0 h 234566"/>
              <a:gd name="connsiteX2" fmla="*/ 1158357 w 1158357"/>
              <a:gd name="connsiteY2" fmla="*/ 234566 h 234566"/>
              <a:gd name="connsiteX3" fmla="*/ 36944 w 1158357"/>
              <a:gd name="connsiteY3" fmla="*/ 234566 h 234566"/>
              <a:gd name="connsiteX4" fmla="*/ 0 w 1158357"/>
              <a:gd name="connsiteY4" fmla="*/ 197622 h 234566"/>
              <a:gd name="connsiteX5" fmla="*/ 0 w 1158357"/>
              <a:gd name="connsiteY5" fmla="*/ 36944 h 234566"/>
              <a:gd name="connsiteX6" fmla="*/ 36944 w 1158357"/>
              <a:gd name="connsiteY6" fmla="*/ 0 h 2345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158357" h="234566">
                <a:moveTo>
                  <a:pt x="36944" y="0"/>
                </a:moveTo>
                <a:lnTo>
                  <a:pt x="1158357" y="0"/>
                </a:lnTo>
                <a:lnTo>
                  <a:pt x="1158357" y="234566"/>
                </a:lnTo>
                <a:lnTo>
                  <a:pt x="36944" y="234566"/>
                </a:lnTo>
                <a:cubicBezTo>
                  <a:pt x="16540" y="234566"/>
                  <a:pt x="0" y="218026"/>
                  <a:pt x="0" y="197622"/>
                </a:cubicBezTo>
                <a:lnTo>
                  <a:pt x="0" y="36944"/>
                </a:lnTo>
                <a:cubicBezTo>
                  <a:pt x="0" y="16540"/>
                  <a:pt x="16540" y="0"/>
                  <a:pt x="36944" y="0"/>
                </a:cubicBezTo>
                <a:close/>
              </a:path>
            </a:pathLst>
          </a:custGeom>
          <a:solidFill>
            <a:srgbClr val="007AD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51AA4974-C934-417B-B7BD-EE33880DCC76}" type="TxLink">
              <a:rPr lang="en-US" sz="14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04:43 mm:ss</a:t>
            </a:fld>
            <a:endParaRPr lang="ru-RU" sz="2400">
              <a:solidFill>
                <a:schemeClr val="bg1"/>
              </a:solidFill>
            </a:endParaRPr>
          </a:p>
        </xdr:txBody>
      </xdr:sp>
      <xdr:sp macro="" textlink="Processing!U40">
        <xdr:nvSpPr>
          <xdr:cNvPr id="51" name="TextBox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 txBox="1"/>
        </xdr:nvSpPr>
        <xdr:spPr>
          <a:xfrm>
            <a:off x="9944100" y="7703820"/>
            <a:ext cx="146304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6657860-EE82-4E29-8144-D95F063C3470}" type="TxLink">
              <a:rPr lang="en-US" sz="9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Minimum    Maximum</a:t>
            </a:fld>
            <a:endParaRPr lang="ru-RU" sz="600" b="1"/>
          </a:p>
        </xdr:txBody>
      </xdr:sp>
      <xdr:sp macro="" textlink="Processing!U44">
        <xdr:nvSpPr>
          <xdr:cNvPr id="52" name="TextBox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 txBox="1"/>
        </xdr:nvSpPr>
        <xdr:spPr>
          <a:xfrm>
            <a:off x="99974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A5EAB1D-6556-4B7C-A33C-22FD48FE70A5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02:31</a:t>
            </a:fld>
            <a:endParaRPr lang="ru-RU" sz="700" b="1"/>
          </a:p>
        </xdr:txBody>
      </xdr:sp>
      <xdr:sp macro="" textlink="Processing!U46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 txBox="1"/>
        </xdr:nvSpPr>
        <xdr:spPr>
          <a:xfrm>
            <a:off x="106070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CA1D28D-47F1-488C-BCB5-B3C179569EEA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06:21</a:t>
            </a:fld>
            <a:endParaRPr lang="ru-RU" sz="800" b="1"/>
          </a:p>
        </xdr:txBody>
      </xdr:sp>
    </xdr:grpSp>
    <xdr:clientData/>
  </xdr:twoCellAnchor>
  <xdr:twoCellAnchor>
    <xdr:from>
      <xdr:col>10</xdr:col>
      <xdr:colOff>362379</xdr:colOff>
      <xdr:row>30</xdr:row>
      <xdr:rowOff>178810</xdr:rowOff>
    </xdr:from>
    <xdr:to>
      <xdr:col>17</xdr:col>
      <xdr:colOff>469179</xdr:colOff>
      <xdr:row>39</xdr:row>
      <xdr:rowOff>170343</xdr:rowOff>
    </xdr:to>
    <xdr:grpSp>
      <xdr:nvGrpSpPr>
        <xdr:cNvPr id="56" name="Группа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6458379" y="6373422"/>
          <a:ext cx="4374000" cy="1605180"/>
          <a:chOff x="6591300" y="5189220"/>
          <a:chExt cx="4305300" cy="1813560"/>
        </a:xfrm>
      </xdr:grpSpPr>
      <xdr:sp macro="" textlink="">
        <xdr:nvSpPr>
          <xdr:cNvPr id="55" name="Прямоугольник: скругленные углы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SpPr/>
        </xdr:nvSpPr>
        <xdr:spPr>
          <a:xfrm>
            <a:off x="6591300" y="5189220"/>
            <a:ext cx="4305300" cy="181356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0" name="Диаграмма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GraphicFramePr>
            <a:graphicFrameLocks/>
          </xdr:cNvGraphicFramePr>
        </xdr:nvGraphicFramePr>
        <xdr:xfrm>
          <a:off x="6697980" y="5189220"/>
          <a:ext cx="4076700" cy="16992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</xdr:grpSp>
    <xdr:clientData/>
  </xdr:twoCellAnchor>
  <xdr:twoCellAnchor>
    <xdr:from>
      <xdr:col>16</xdr:col>
      <xdr:colOff>257101</xdr:colOff>
      <xdr:row>11</xdr:row>
      <xdr:rowOff>143449</xdr:rowOff>
    </xdr:from>
    <xdr:to>
      <xdr:col>19</xdr:col>
      <xdr:colOff>477235</xdr:colOff>
      <xdr:row>20</xdr:row>
      <xdr:rowOff>112249</xdr:rowOff>
    </xdr:to>
    <xdr:grpSp>
      <xdr:nvGrpSpPr>
        <xdr:cNvPr id="61" name="Группа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pSpPr/>
      </xdr:nvGrpSpPr>
      <xdr:grpSpPr>
        <a:xfrm>
          <a:off x="10010701" y="2931473"/>
          <a:ext cx="2048934" cy="1582447"/>
          <a:chOff x="10134600" y="846665"/>
          <a:chExt cx="2048934" cy="1710267"/>
        </a:xfrm>
      </xdr:grpSpPr>
      <xdr:sp macro="" textlink="">
        <xdr:nvSpPr>
          <xdr:cNvPr id="58" name="Прямоугольник: скругленные углы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10134600" y="846665"/>
            <a:ext cx="2040466" cy="1710267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" name="Диаграмма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aphicFramePr>
            <a:graphicFrameLocks/>
          </xdr:cNvGraphicFramePr>
        </xdr:nvGraphicFramePr>
        <xdr:xfrm>
          <a:off x="10224348" y="868305"/>
          <a:ext cx="195918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</xdr:grpSp>
    <xdr:clientData/>
  </xdr:twoCellAnchor>
  <xdr:twoCellAnchor>
    <xdr:from>
      <xdr:col>22</xdr:col>
      <xdr:colOff>233082</xdr:colOff>
      <xdr:row>11</xdr:row>
      <xdr:rowOff>143451</xdr:rowOff>
    </xdr:from>
    <xdr:to>
      <xdr:col>26</xdr:col>
      <xdr:colOff>585900</xdr:colOff>
      <xdr:row>20</xdr:row>
      <xdr:rowOff>118050</xdr:rowOff>
    </xdr:to>
    <xdr:grpSp>
      <xdr:nvGrpSpPr>
        <xdr:cNvPr id="60" name="Группа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pSpPr/>
      </xdr:nvGrpSpPr>
      <xdr:grpSpPr>
        <a:xfrm>
          <a:off x="13644282" y="2931475"/>
          <a:ext cx="2791218" cy="1588246"/>
          <a:chOff x="12834928" y="728134"/>
          <a:chExt cx="2660766" cy="1710267"/>
        </a:xfrm>
      </xdr:grpSpPr>
      <xdr:sp macro="" textlink="">
        <xdr:nvSpPr>
          <xdr:cNvPr id="59" name="Прямоугольник: скругленные углы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12886266" y="728134"/>
            <a:ext cx="2582334" cy="1710267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6" name="Диаграмма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aphicFramePr>
            <a:graphicFrameLocks/>
          </xdr:cNvGraphicFramePr>
        </xdr:nvGraphicFramePr>
        <xdr:xfrm>
          <a:off x="12834928" y="742527"/>
          <a:ext cx="266076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</xdr:grpSp>
    <xdr:clientData/>
  </xdr:twoCellAnchor>
  <xdr:twoCellAnchor>
    <xdr:from>
      <xdr:col>10</xdr:col>
      <xdr:colOff>372538</xdr:colOff>
      <xdr:row>21</xdr:row>
      <xdr:rowOff>33383</xdr:rowOff>
    </xdr:from>
    <xdr:to>
      <xdr:col>12</xdr:col>
      <xdr:colOff>607065</xdr:colOff>
      <xdr:row>30</xdr:row>
      <xdr:rowOff>67249</xdr:rowOff>
    </xdr:to>
    <xdr:sp macro="" textlink="">
      <xdr:nvSpPr>
        <xdr:cNvPr id="62" name="Прямоугольник: скругленные углы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6468538" y="3798559"/>
          <a:ext cx="1453727" cy="1647514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17</xdr:col>
      <xdr:colOff>582710</xdr:colOff>
      <xdr:row>30</xdr:row>
      <xdr:rowOff>178313</xdr:rowOff>
    </xdr:from>
    <xdr:to>
      <xdr:col>20</xdr:col>
      <xdr:colOff>207637</xdr:colOff>
      <xdr:row>39</xdr:row>
      <xdr:rowOff>159466</xdr:rowOff>
    </xdr:to>
    <xdr:sp macro="" textlink="">
      <xdr:nvSpPr>
        <xdr:cNvPr id="63" name="Прямоугольник: скругленные углы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10945910" y="5557137"/>
          <a:ext cx="1453727" cy="15948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19</xdr:col>
      <xdr:colOff>560793</xdr:colOff>
      <xdr:row>11</xdr:row>
      <xdr:rowOff>144944</xdr:rowOff>
    </xdr:from>
    <xdr:to>
      <xdr:col>22</xdr:col>
      <xdr:colOff>185720</xdr:colOff>
      <xdr:row>20</xdr:row>
      <xdr:rowOff>125520</xdr:rowOff>
    </xdr:to>
    <xdr:sp macro="" textlink="">
      <xdr:nvSpPr>
        <xdr:cNvPr id="1024" name="Прямоугольник: скругленные углы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SpPr/>
      </xdr:nvSpPr>
      <xdr:spPr>
        <a:xfrm>
          <a:off x="12143193" y="2117179"/>
          <a:ext cx="1453727" cy="1594223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0</xdr:col>
      <xdr:colOff>233081</xdr:colOff>
      <xdr:row>3</xdr:row>
      <xdr:rowOff>143443</xdr:rowOff>
    </xdr:from>
    <xdr:to>
      <xdr:col>5</xdr:col>
      <xdr:colOff>245081</xdr:colOff>
      <xdr:row>10</xdr:row>
      <xdr:rowOff>148384</xdr:rowOff>
    </xdr:to>
    <xdr:sp macro="" textlink="">
      <xdr:nvSpPr>
        <xdr:cNvPr id="1026" name="Прямоугольник: скругленные углы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/>
      </xdr:nvSpPr>
      <xdr:spPr>
        <a:xfrm>
          <a:off x="233081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b="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461681</xdr:colOff>
      <xdr:row>3</xdr:row>
      <xdr:rowOff>143443</xdr:rowOff>
    </xdr:from>
    <xdr:to>
      <xdr:col>10</xdr:col>
      <xdr:colOff>473681</xdr:colOff>
      <xdr:row>10</xdr:row>
      <xdr:rowOff>148384</xdr:rowOff>
    </xdr:to>
    <xdr:sp macro="" textlink="">
      <xdr:nvSpPr>
        <xdr:cNvPr id="1027" name="Прямоугольник: скругленные углы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/>
      </xdr:nvSpPr>
      <xdr:spPr>
        <a:xfrm>
          <a:off x="3509681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11</xdr:col>
      <xdr:colOff>80681</xdr:colOff>
      <xdr:row>2</xdr:row>
      <xdr:rowOff>62753</xdr:rowOff>
    </xdr:from>
    <xdr:to>
      <xdr:col>16</xdr:col>
      <xdr:colOff>92681</xdr:colOff>
      <xdr:row>10</xdr:row>
      <xdr:rowOff>148384</xdr:rowOff>
    </xdr:to>
    <xdr:sp macro="" textlink="">
      <xdr:nvSpPr>
        <xdr:cNvPr id="1028" name="Прямоугольник: скругленные углы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/>
      </xdr:nvSpPr>
      <xdr:spPr>
        <a:xfrm>
          <a:off x="6786281" y="421341"/>
          <a:ext cx="3060000" cy="1519984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16</xdr:col>
      <xdr:colOff>309281</xdr:colOff>
      <xdr:row>3</xdr:row>
      <xdr:rowOff>143443</xdr:rowOff>
    </xdr:from>
    <xdr:to>
      <xdr:col>21</xdr:col>
      <xdr:colOff>321281</xdr:colOff>
      <xdr:row>10</xdr:row>
      <xdr:rowOff>148384</xdr:rowOff>
    </xdr:to>
    <xdr:sp macro="" textlink="">
      <xdr:nvSpPr>
        <xdr:cNvPr id="1029" name="Прямоугольник: скругленные углы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/>
      </xdr:nvSpPr>
      <xdr:spPr>
        <a:xfrm>
          <a:off x="10062881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537880</xdr:colOff>
      <xdr:row>3</xdr:row>
      <xdr:rowOff>143443</xdr:rowOff>
    </xdr:from>
    <xdr:to>
      <xdr:col>26</xdr:col>
      <xdr:colOff>549880</xdr:colOff>
      <xdr:row>10</xdr:row>
      <xdr:rowOff>148384</xdr:rowOff>
    </xdr:to>
    <xdr:sp macro="" textlink="">
      <xdr:nvSpPr>
        <xdr:cNvPr id="1030" name="Прямоугольник: скругленные углы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/>
      </xdr:nvSpPr>
      <xdr:spPr>
        <a:xfrm>
          <a:off x="13339480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uk-UA" sz="2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35859</xdr:colOff>
      <xdr:row>2</xdr:row>
      <xdr:rowOff>98612</xdr:rowOff>
    </xdr:from>
    <xdr:to>
      <xdr:col>15</xdr:col>
      <xdr:colOff>255495</xdr:colOff>
      <xdr:row>4</xdr:row>
      <xdr:rowOff>98612</xdr:rowOff>
    </xdr:to>
    <xdr:sp macro="" textlink="Processing!S16">
      <xdr:nvSpPr>
        <xdr:cNvPr id="1043" name="TextBox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SpPr txBox="1"/>
      </xdr:nvSpPr>
      <xdr:spPr>
        <a:xfrm>
          <a:off x="7351059" y="457200"/>
          <a:ext cx="2048436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D0BB831-2F65-41BC-AD1A-4C6720426AB5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Marketing vs Selling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600636</xdr:colOff>
      <xdr:row>1</xdr:row>
      <xdr:rowOff>148083</xdr:rowOff>
    </xdr:from>
    <xdr:to>
      <xdr:col>15</xdr:col>
      <xdr:colOff>77994</xdr:colOff>
      <xdr:row>11</xdr:row>
      <xdr:rowOff>26673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337093</xdr:colOff>
      <xdr:row>12</xdr:row>
      <xdr:rowOff>0</xdr:rowOff>
    </xdr:from>
    <xdr:to>
      <xdr:col>6</xdr:col>
      <xdr:colOff>331693</xdr:colOff>
      <xdr:row>20</xdr:row>
      <xdr:rowOff>99247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2" name="Products">
              <a:extLs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093" y="2151529"/>
              <a:ext cx="3652200" cy="1533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475130</xdr:colOff>
      <xdr:row>21</xdr:row>
      <xdr:rowOff>71717</xdr:rowOff>
    </xdr:from>
    <xdr:to>
      <xdr:col>12</xdr:col>
      <xdr:colOff>535955</xdr:colOff>
      <xdr:row>30</xdr:row>
      <xdr:rowOff>78070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3" name="Month">
              <a:extLs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1130" y="3836893"/>
              <a:ext cx="1280025" cy="16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134470</xdr:colOff>
      <xdr:row>12</xdr:row>
      <xdr:rowOff>17932</xdr:rowOff>
    </xdr:from>
    <xdr:to>
      <xdr:col>22</xdr:col>
      <xdr:colOff>26893</xdr:colOff>
      <xdr:row>20</xdr:row>
      <xdr:rowOff>35859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1" name="Teams">
              <a:extLs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6470" y="2169461"/>
              <a:ext cx="1111623" cy="1452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89646</xdr:colOff>
      <xdr:row>31</xdr:row>
      <xdr:rowOff>767</xdr:rowOff>
    </xdr:from>
    <xdr:to>
      <xdr:col>20</xdr:col>
      <xdr:colOff>98611</xdr:colOff>
      <xdr:row>39</xdr:row>
      <xdr:rowOff>154000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4" name="Сhannels">
              <a:extLs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hannel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62446" y="5558885"/>
              <a:ext cx="1228165" cy="15875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105335</xdr:colOff>
      <xdr:row>5</xdr:row>
      <xdr:rowOff>179293</xdr:rowOff>
    </xdr:from>
    <xdr:to>
      <xdr:col>15</xdr:col>
      <xdr:colOff>51547</xdr:colOff>
      <xdr:row>8</xdr:row>
      <xdr:rowOff>116540</xdr:rowOff>
    </xdr:to>
    <xdr:sp macro="" textlink="">
      <xdr:nvSpPr>
        <xdr:cNvPr id="1052" name="TextBox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SpPr txBox="1"/>
      </xdr:nvSpPr>
      <xdr:spPr>
        <a:xfrm>
          <a:off x="7420535" y="1075764"/>
          <a:ext cx="1775012" cy="475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POWER</a:t>
          </a:r>
        </a:p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WEIGHT</a:t>
          </a:r>
        </a:p>
      </xdr:txBody>
    </xdr:sp>
    <xdr:clientData/>
  </xdr:twoCellAnchor>
  <xdr:twoCellAnchor>
    <xdr:from>
      <xdr:col>7</xdr:col>
      <xdr:colOff>235130</xdr:colOff>
      <xdr:row>31</xdr:row>
      <xdr:rowOff>56606</xdr:rowOff>
    </xdr:from>
    <xdr:to>
      <xdr:col>10</xdr:col>
      <xdr:colOff>195942</xdr:colOff>
      <xdr:row>36</xdr:row>
      <xdr:rowOff>177293</xdr:rowOff>
    </xdr:to>
    <xdr:grpSp>
      <xdr:nvGrpSpPr>
        <xdr:cNvPr id="1035" name="Группа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GrpSpPr/>
      </xdr:nvGrpSpPr>
      <xdr:grpSpPr>
        <a:xfrm>
          <a:off x="4502330" y="6430512"/>
          <a:ext cx="1789612" cy="1017157"/>
          <a:chOff x="10760528" y="4587240"/>
          <a:chExt cx="1789612" cy="1035087"/>
        </a:xfrm>
      </xdr:grpSpPr>
      <xdr:graphicFrame macro="">
        <xdr:nvGraphicFramePr>
          <xdr:cNvPr id="1036" name="Диаграмма 1035">
            <a:extLst>
              <a:ext uri="{FF2B5EF4-FFF2-40B4-BE49-F238E27FC236}">
                <a16:creationId xmlns:a16="http://schemas.microsoft.com/office/drawing/2014/main" id="{00000000-0008-0000-0000-00000C040000}"/>
              </a:ext>
            </a:extLst>
          </xdr:cNvPr>
          <xdr:cNvGraphicFramePr/>
        </xdr:nvGraphicFramePr>
        <xdr:xfrm>
          <a:off x="10760528" y="4619896"/>
          <a:ext cx="1066800" cy="9339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Processing!N23">
        <xdr:nvSpPr>
          <xdr:cNvPr id="1037" name="TextBox 1036">
            <a:extLst>
              <a:ext uri="{FF2B5EF4-FFF2-40B4-BE49-F238E27FC236}">
                <a16:creationId xmlns:a16="http://schemas.microsoft.com/office/drawing/2014/main" id="{00000000-0008-0000-0000-00000D040000}"/>
              </a:ext>
            </a:extLst>
          </xdr:cNvPr>
          <xdr:cNvSpPr txBox="1"/>
        </xdr:nvSpPr>
        <xdr:spPr>
          <a:xfrm>
            <a:off x="11269980" y="4587240"/>
            <a:ext cx="1280160" cy="1035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053DF26C-596D-4C29-A133-4A98F44D1F70}" type="TxLink">
              <a:rPr lang="en-US" sz="9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9,2m  Facebook
7,4m  Youtube
6,7m  Instagram
5,3m  Google Ad
3,9m  Tiktok
2,7m  Twitter</a:t>
            </a:fld>
            <a:endParaRPr lang="ru-RU" sz="1100" b="0"/>
          </a:p>
        </xdr:txBody>
      </xdr:sp>
    </xdr:grpSp>
    <xdr:clientData/>
  </xdr:twoCellAnchor>
  <xdr:twoCellAnchor>
    <xdr:from>
      <xdr:col>1</xdr:col>
      <xdr:colOff>304800</xdr:colOff>
      <xdr:row>4</xdr:row>
      <xdr:rowOff>17930</xdr:rowOff>
    </xdr:from>
    <xdr:to>
      <xdr:col>4</xdr:col>
      <xdr:colOff>251012</xdr:colOff>
      <xdr:row>6</xdr:row>
      <xdr:rowOff>17929</xdr:rowOff>
    </xdr:to>
    <xdr:sp macro="" textlink="Processing!H1">
      <xdr:nvSpPr>
        <xdr:cNvPr id="36" name="TextBox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914400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A2262A-B095-42EA-8CD7-83B6D05A03E5}" type="TxLink">
            <a:rPr lang="en-US" sz="1600" b="1" i="0" u="none" strike="noStrike">
              <a:solidFill>
                <a:srgbClr val="2D7F54"/>
              </a:solidFill>
              <a:latin typeface="Calibri"/>
              <a:cs typeface="Calibri"/>
            </a:rPr>
            <a:pPr algn="ctr"/>
            <a:t>Total Revenue</a:t>
          </a:fld>
          <a:endParaRPr lang="ru-RU" sz="1600">
            <a:solidFill>
              <a:srgbClr val="2D7F54"/>
            </a:solidFill>
          </a:endParaRPr>
        </a:p>
      </xdr:txBody>
    </xdr:sp>
    <xdr:clientData/>
  </xdr:twoCellAnchor>
  <xdr:twoCellAnchor>
    <xdr:from>
      <xdr:col>6</xdr:col>
      <xdr:colOff>531159</xdr:colOff>
      <xdr:row>4</xdr:row>
      <xdr:rowOff>17930</xdr:rowOff>
    </xdr:from>
    <xdr:to>
      <xdr:col>9</xdr:col>
      <xdr:colOff>477371</xdr:colOff>
      <xdr:row>6</xdr:row>
      <xdr:rowOff>17929</xdr:rowOff>
    </xdr:to>
    <xdr:sp macro="" textlink="Processing!I1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4188759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697E78F-7C63-495D-AAC4-319A73B73CC4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calls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356347</xdr:colOff>
      <xdr:row>4</xdr:row>
      <xdr:rowOff>17930</xdr:rowOff>
    </xdr:from>
    <xdr:to>
      <xdr:col>20</xdr:col>
      <xdr:colOff>302559</xdr:colOff>
      <xdr:row>6</xdr:row>
      <xdr:rowOff>17929</xdr:rowOff>
    </xdr:to>
    <xdr:sp macro="" textlink="Processing!J1">
      <xdr:nvSpPr>
        <xdr:cNvPr id="1041" name="TextBox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SpPr txBox="1"/>
      </xdr:nvSpPr>
      <xdr:spPr>
        <a:xfrm>
          <a:off x="10719547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FD324D4-1282-4012-A329-1DE8214D7AB8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Cost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0</xdr:colOff>
      <xdr:row>4</xdr:row>
      <xdr:rowOff>17930</xdr:rowOff>
    </xdr:from>
    <xdr:to>
      <xdr:col>25</xdr:col>
      <xdr:colOff>555812</xdr:colOff>
      <xdr:row>6</xdr:row>
      <xdr:rowOff>17929</xdr:rowOff>
    </xdr:to>
    <xdr:sp macro="" textlink="Processing!K1">
      <xdr:nvSpPr>
        <xdr:cNvPr id="1042" name="TextBox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 txBox="1"/>
      </xdr:nvSpPr>
      <xdr:spPr>
        <a:xfrm>
          <a:off x="14020800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82DADFF-D459-46DF-A1BB-99FCD4261226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Traffic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44823</xdr:colOff>
      <xdr:row>6</xdr:row>
      <xdr:rowOff>53788</xdr:rowOff>
    </xdr:from>
    <xdr:to>
      <xdr:col>4</xdr:col>
      <xdr:colOff>367552</xdr:colOff>
      <xdr:row>8</xdr:row>
      <xdr:rowOff>53788</xdr:rowOff>
    </xdr:to>
    <xdr:sp macro="" textlink="Processing!H2">
      <xdr:nvSpPr>
        <xdr:cNvPr id="1044" name="TextBox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SpPr txBox="1"/>
      </xdr:nvSpPr>
      <xdr:spPr>
        <a:xfrm>
          <a:off x="654423" y="1129553"/>
          <a:ext cx="2151529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9BDF5F-6621-4DF5-B18E-3CC9C7D7226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$1 298 984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6</xdr:col>
      <xdr:colOff>502024</xdr:colOff>
      <xdr:row>6</xdr:row>
      <xdr:rowOff>53788</xdr:rowOff>
    </xdr:from>
    <xdr:to>
      <xdr:col>9</xdr:col>
      <xdr:colOff>448236</xdr:colOff>
      <xdr:row>8</xdr:row>
      <xdr:rowOff>53788</xdr:rowOff>
    </xdr:to>
    <xdr:sp macro="" textlink="Processing!I2">
      <xdr:nvSpPr>
        <xdr:cNvPr id="1045" name="TextBox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SpPr txBox="1"/>
      </xdr:nvSpPr>
      <xdr:spPr>
        <a:xfrm>
          <a:off x="4159624" y="1129553"/>
          <a:ext cx="1775012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5196A5-0F21-4245-8334-4D2C7FDA1810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45 199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17</xdr:col>
      <xdr:colOff>277906</xdr:colOff>
      <xdr:row>6</xdr:row>
      <xdr:rowOff>53788</xdr:rowOff>
    </xdr:from>
    <xdr:to>
      <xdr:col>20</xdr:col>
      <xdr:colOff>466164</xdr:colOff>
      <xdr:row>8</xdr:row>
      <xdr:rowOff>53788</xdr:rowOff>
    </xdr:to>
    <xdr:sp macro="" textlink="Processing!J2">
      <xdr:nvSpPr>
        <xdr:cNvPr id="1046" name="TextBox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SpPr txBox="1"/>
      </xdr:nvSpPr>
      <xdr:spPr>
        <a:xfrm>
          <a:off x="10641106" y="1129553"/>
          <a:ext cx="2017058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8C844BD-E480-4BE0-A3E9-407C446E564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$649 223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22</xdr:col>
      <xdr:colOff>403411</xdr:colOff>
      <xdr:row>6</xdr:row>
      <xdr:rowOff>53788</xdr:rowOff>
    </xdr:from>
    <xdr:to>
      <xdr:col>26</xdr:col>
      <xdr:colOff>80683</xdr:colOff>
      <xdr:row>8</xdr:row>
      <xdr:rowOff>53788</xdr:rowOff>
    </xdr:to>
    <xdr:sp macro="" textlink="Processing!K2">
      <xdr:nvSpPr>
        <xdr:cNvPr id="1047" name="TextBox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SpPr txBox="1"/>
      </xdr:nvSpPr>
      <xdr:spPr>
        <a:xfrm>
          <a:off x="13814611" y="1129553"/>
          <a:ext cx="2115672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64FBF9-1207-44B6-92E8-7A19F311F23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35 199 463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11</xdr:col>
      <xdr:colOff>251012</xdr:colOff>
      <xdr:row>7</xdr:row>
      <xdr:rowOff>125506</xdr:rowOff>
    </xdr:from>
    <xdr:to>
      <xdr:col>12</xdr:col>
      <xdr:colOff>143436</xdr:colOff>
      <xdr:row>9</xdr:row>
      <xdr:rowOff>125506</xdr:rowOff>
    </xdr:to>
    <xdr:sp macro="" textlink="">
      <xdr:nvSpPr>
        <xdr:cNvPr id="1048" name="TextBox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SpPr txBox="1"/>
      </xdr:nvSpPr>
      <xdr:spPr>
        <a:xfrm>
          <a:off x="6956612" y="1380565"/>
          <a:ext cx="502024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M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17929</xdr:colOff>
      <xdr:row>7</xdr:row>
      <xdr:rowOff>125506</xdr:rowOff>
    </xdr:from>
    <xdr:to>
      <xdr:col>15</xdr:col>
      <xdr:colOff>519953</xdr:colOff>
      <xdr:row>9</xdr:row>
      <xdr:rowOff>125506</xdr:rowOff>
    </xdr:to>
    <xdr:sp macro="" textlink="">
      <xdr:nvSpPr>
        <xdr:cNvPr id="1049" name="TextBox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SpPr txBox="1"/>
      </xdr:nvSpPr>
      <xdr:spPr>
        <a:xfrm>
          <a:off x="9161929" y="1380565"/>
          <a:ext cx="502024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S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531159</xdr:colOff>
      <xdr:row>8</xdr:row>
      <xdr:rowOff>89647</xdr:rowOff>
    </xdr:from>
    <xdr:to>
      <xdr:col>9</xdr:col>
      <xdr:colOff>477371</xdr:colOff>
      <xdr:row>10</xdr:row>
      <xdr:rowOff>89647</xdr:rowOff>
    </xdr:to>
    <xdr:sp macro="" textlink="">
      <xdr:nvSpPr>
        <xdr:cNvPr id="1053" name="TextBox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SpPr txBox="1"/>
      </xdr:nvSpPr>
      <xdr:spPr>
        <a:xfrm>
          <a:off x="4188759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leads</a:t>
          </a:r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20170</xdr:colOff>
      <xdr:row>8</xdr:row>
      <xdr:rowOff>89647</xdr:rowOff>
    </xdr:from>
    <xdr:to>
      <xdr:col>25</xdr:col>
      <xdr:colOff>575982</xdr:colOff>
      <xdr:row>10</xdr:row>
      <xdr:rowOff>89647</xdr:rowOff>
    </xdr:to>
    <xdr:sp macro="" textlink="">
      <xdr:nvSpPr>
        <xdr:cNvPr id="1054" name="TextBox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SpPr txBox="1"/>
      </xdr:nvSpPr>
      <xdr:spPr>
        <a:xfrm>
          <a:off x="14040970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users</a:t>
          </a:r>
        </a:p>
      </xdr:txBody>
    </xdr:sp>
    <xdr:clientData/>
  </xdr:twoCellAnchor>
  <xdr:twoCellAnchor>
    <xdr:from>
      <xdr:col>17</xdr:col>
      <xdr:colOff>378758</xdr:colOff>
      <xdr:row>8</xdr:row>
      <xdr:rowOff>89647</xdr:rowOff>
    </xdr:from>
    <xdr:to>
      <xdr:col>20</xdr:col>
      <xdr:colOff>324970</xdr:colOff>
      <xdr:row>10</xdr:row>
      <xdr:rowOff>89647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SpPr txBox="1"/>
      </xdr:nvSpPr>
      <xdr:spPr>
        <a:xfrm>
          <a:off x="10741958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twoCellAnchor>
    <xdr:from>
      <xdr:col>1</xdr:col>
      <xdr:colOff>253252</xdr:colOff>
      <xdr:row>8</xdr:row>
      <xdr:rowOff>89647</xdr:rowOff>
    </xdr:from>
    <xdr:to>
      <xdr:col>4</xdr:col>
      <xdr:colOff>199464</xdr:colOff>
      <xdr:row>10</xdr:row>
      <xdr:rowOff>89647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SpPr txBox="1"/>
      </xdr:nvSpPr>
      <xdr:spPr>
        <a:xfrm>
          <a:off x="862852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oneCellAnchor>
    <xdr:from>
      <xdr:col>3</xdr:col>
      <xdr:colOff>449621</xdr:colOff>
      <xdr:row>0</xdr:row>
      <xdr:rowOff>55621</xdr:rowOff>
    </xdr:from>
    <xdr:ext cx="11947181" cy="937629"/>
    <xdr:sp macro="" textlink="">
      <xdr:nvSpPr>
        <xdr:cNvPr id="1057" name="Прямоугольник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SpPr/>
      </xdr:nvSpPr>
      <xdr:spPr>
        <a:xfrm>
          <a:off x="2278421" y="55621"/>
          <a:ext cx="119471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Sale of learning Courses Excel Dashboard</a:t>
          </a:r>
          <a:endParaRPr lang="ru-RU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25</xdr:col>
      <xdr:colOff>456940</xdr:colOff>
      <xdr:row>1</xdr:row>
      <xdr:rowOff>137466</xdr:rowOff>
    </xdr:from>
    <xdr:to>
      <xdr:col>26</xdr:col>
      <xdr:colOff>107581</xdr:colOff>
      <xdr:row>3</xdr:row>
      <xdr:rowOff>30877</xdr:rowOff>
    </xdr:to>
    <xdr:grpSp>
      <xdr:nvGrpSpPr>
        <xdr:cNvPr id="1060" name="Группа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GrpSpPr/>
      </xdr:nvGrpSpPr>
      <xdr:grpSpPr>
        <a:xfrm>
          <a:off x="15696940" y="1132548"/>
          <a:ext cx="260241" cy="252000"/>
          <a:chOff x="14630400" y="0"/>
          <a:chExt cx="1320905" cy="1291901"/>
        </a:xfrm>
        <a:effectLst/>
      </xdr:grpSpPr>
      <xdr:sp macro="" textlink="">
        <xdr:nvSpPr>
          <xdr:cNvPr id="1059" name="Полилиния: фигура 1058">
            <a:extLst>
              <a:ext uri="{FF2B5EF4-FFF2-40B4-BE49-F238E27FC236}">
                <a16:creationId xmlns:a16="http://schemas.microsoft.com/office/drawing/2014/main" id="{00000000-0008-0000-0000-000023040000}"/>
              </a:ext>
            </a:extLst>
          </xdr:cNvPr>
          <xdr:cNvSpPr/>
        </xdr:nvSpPr>
        <xdr:spPr>
          <a:xfrm rot="19122911">
            <a:off x="14630400" y="0"/>
            <a:ext cx="1320905" cy="1291901"/>
          </a:xfrm>
          <a:custGeom>
            <a:avLst/>
            <a:gdLst>
              <a:gd name="connsiteX0" fmla="*/ 721625 w 2541582"/>
              <a:gd name="connsiteY0" fmla="*/ 1903961 h 2517378"/>
              <a:gd name="connsiteX1" fmla="*/ 721626 w 2541582"/>
              <a:gd name="connsiteY1" fmla="*/ 2056116 h 2517378"/>
              <a:gd name="connsiteX2" fmla="*/ 721626 w 2541582"/>
              <a:gd name="connsiteY2" fmla="*/ 2056119 h 2517378"/>
              <a:gd name="connsiteX3" fmla="*/ 573702 w 2541582"/>
              <a:gd name="connsiteY3" fmla="*/ 2208278 h 2517378"/>
              <a:gd name="connsiteX4" fmla="*/ 573701 w 2541582"/>
              <a:gd name="connsiteY4" fmla="*/ 2208277 h 2517378"/>
              <a:gd name="connsiteX5" fmla="*/ 425777 w 2541582"/>
              <a:gd name="connsiteY5" fmla="*/ 2208278 h 2517378"/>
              <a:gd name="connsiteX6" fmla="*/ 425777 w 2541582"/>
              <a:gd name="connsiteY6" fmla="*/ 2056123 h 2517378"/>
              <a:gd name="connsiteX7" fmla="*/ 425777 w 2541582"/>
              <a:gd name="connsiteY7" fmla="*/ 2056120 h 2517378"/>
              <a:gd name="connsiteX8" fmla="*/ 573701 w 2541582"/>
              <a:gd name="connsiteY8" fmla="*/ 1903962 h 2517378"/>
              <a:gd name="connsiteX9" fmla="*/ 573702 w 2541582"/>
              <a:gd name="connsiteY9" fmla="*/ 1903962 h 2517378"/>
              <a:gd name="connsiteX10" fmla="*/ 519727 w 2541582"/>
              <a:gd name="connsiteY10" fmla="*/ 1624038 h 2517378"/>
              <a:gd name="connsiteX11" fmla="*/ 458680 w 2541582"/>
              <a:gd name="connsiteY11" fmla="*/ 1763409 h 2517378"/>
              <a:gd name="connsiteX12" fmla="*/ 458678 w 2541582"/>
              <a:gd name="connsiteY12" fmla="*/ 1763413 h 2517378"/>
              <a:gd name="connsiteX13" fmla="*/ 262134 w 2541582"/>
              <a:gd name="connsiteY13" fmla="*/ 1843437 h 2517378"/>
              <a:gd name="connsiteX14" fmla="*/ 262133 w 2541582"/>
              <a:gd name="connsiteY14" fmla="*/ 1843437 h 2517378"/>
              <a:gd name="connsiteX15" fmla="*/ 126637 w 2541582"/>
              <a:gd name="connsiteY15" fmla="*/ 1784087 h 2517378"/>
              <a:gd name="connsiteX16" fmla="*/ 187684 w 2541582"/>
              <a:gd name="connsiteY16" fmla="*/ 1644716 h 2517378"/>
              <a:gd name="connsiteX17" fmla="*/ 187686 w 2541582"/>
              <a:gd name="connsiteY17" fmla="*/ 1644713 h 2517378"/>
              <a:gd name="connsiteX18" fmla="*/ 384230 w 2541582"/>
              <a:gd name="connsiteY18" fmla="*/ 1564688 h 2517378"/>
              <a:gd name="connsiteX19" fmla="*/ 384231 w 2541582"/>
              <a:gd name="connsiteY19" fmla="*/ 1564689 h 2517378"/>
              <a:gd name="connsiteX20" fmla="*/ 1009078 w 2541582"/>
              <a:gd name="connsiteY20" fmla="*/ 2051827 h 2517378"/>
              <a:gd name="connsiteX21" fmla="*/ 1066442 w 2541582"/>
              <a:gd name="connsiteY21" fmla="*/ 2192754 h 2517378"/>
              <a:gd name="connsiteX22" fmla="*/ 1066444 w 2541582"/>
              <a:gd name="connsiteY22" fmla="*/ 2192757 h 2517378"/>
              <a:gd name="connsiteX23" fmla="*/ 986801 w 2541582"/>
              <a:gd name="connsiteY23" fmla="*/ 2389456 h 2517378"/>
              <a:gd name="connsiteX24" fmla="*/ 986801 w 2541582"/>
              <a:gd name="connsiteY24" fmla="*/ 2389457 h 2517378"/>
              <a:gd name="connsiteX25" fmla="*/ 849793 w 2541582"/>
              <a:gd name="connsiteY25" fmla="*/ 2445226 h 2517378"/>
              <a:gd name="connsiteX26" fmla="*/ 792428 w 2541582"/>
              <a:gd name="connsiteY26" fmla="*/ 2304299 h 2517378"/>
              <a:gd name="connsiteX27" fmla="*/ 792426 w 2541582"/>
              <a:gd name="connsiteY27" fmla="*/ 2304296 h 2517378"/>
              <a:gd name="connsiteX28" fmla="*/ 872069 w 2541582"/>
              <a:gd name="connsiteY28" fmla="*/ 2107597 h 2517378"/>
              <a:gd name="connsiteX29" fmla="*/ 872070 w 2541582"/>
              <a:gd name="connsiteY29" fmla="*/ 2107597 h 2517378"/>
              <a:gd name="connsiteX30" fmla="*/ 1307640 w 2541582"/>
              <a:gd name="connsiteY30" fmla="*/ 2093057 h 2517378"/>
              <a:gd name="connsiteX31" fmla="*/ 1411294 w 2541582"/>
              <a:gd name="connsiteY31" fmla="*/ 2204442 h 2517378"/>
              <a:gd name="connsiteX32" fmla="*/ 1411296 w 2541582"/>
              <a:gd name="connsiteY32" fmla="*/ 2204445 h 2517378"/>
              <a:gd name="connsiteX33" fmla="*/ 1406663 w 2541582"/>
              <a:gd name="connsiteY33" fmla="*/ 2416606 h 2517378"/>
              <a:gd name="connsiteX34" fmla="*/ 1406663 w 2541582"/>
              <a:gd name="connsiteY34" fmla="*/ 2416606 h 2517378"/>
              <a:gd name="connsiteX35" fmla="*/ 1298374 w 2541582"/>
              <a:gd name="connsiteY35" fmla="*/ 2517378 h 2517378"/>
              <a:gd name="connsiteX36" fmla="*/ 1194720 w 2541582"/>
              <a:gd name="connsiteY36" fmla="*/ 2405992 h 2517378"/>
              <a:gd name="connsiteX37" fmla="*/ 1194718 w 2541582"/>
              <a:gd name="connsiteY37" fmla="*/ 2405989 h 2517378"/>
              <a:gd name="connsiteX38" fmla="*/ 1199351 w 2541582"/>
              <a:gd name="connsiteY38" fmla="*/ 2193829 h 2517378"/>
              <a:gd name="connsiteX39" fmla="*/ 1199351 w 2541582"/>
              <a:gd name="connsiteY39" fmla="*/ 2193828 h 2517378"/>
              <a:gd name="connsiteX40" fmla="*/ 323549 w 2541582"/>
              <a:gd name="connsiteY40" fmla="*/ 1188033 h 2517378"/>
              <a:gd name="connsiteX41" fmla="*/ 323549 w 2541582"/>
              <a:gd name="connsiteY41" fmla="*/ 1188033 h 2517378"/>
              <a:gd name="connsiteX42" fmla="*/ 424321 w 2541582"/>
              <a:gd name="connsiteY42" fmla="*/ 1296322 h 2517378"/>
              <a:gd name="connsiteX43" fmla="*/ 312935 w 2541582"/>
              <a:gd name="connsiteY43" fmla="*/ 1399976 h 2517378"/>
              <a:gd name="connsiteX44" fmla="*/ 312933 w 2541582"/>
              <a:gd name="connsiteY44" fmla="*/ 1399979 h 2517378"/>
              <a:gd name="connsiteX45" fmla="*/ 100772 w 2541582"/>
              <a:gd name="connsiteY45" fmla="*/ 1395346 h 2517378"/>
              <a:gd name="connsiteX46" fmla="*/ 100771 w 2541582"/>
              <a:gd name="connsiteY46" fmla="*/ 1395345 h 2517378"/>
              <a:gd name="connsiteX47" fmla="*/ 0 w 2541582"/>
              <a:gd name="connsiteY47" fmla="*/ 1287056 h 2517378"/>
              <a:gd name="connsiteX48" fmla="*/ 111385 w 2541582"/>
              <a:gd name="connsiteY48" fmla="*/ 1183403 h 2517378"/>
              <a:gd name="connsiteX49" fmla="*/ 111388 w 2541582"/>
              <a:gd name="connsiteY49" fmla="*/ 1183400 h 2517378"/>
              <a:gd name="connsiteX50" fmla="*/ 323549 w 2541582"/>
              <a:gd name="connsiteY50" fmla="*/ 1188033 h 2517378"/>
              <a:gd name="connsiteX51" fmla="*/ 1826146 w 2541582"/>
              <a:gd name="connsiteY51" fmla="*/ 2118023 h 2517378"/>
              <a:gd name="connsiteX52" fmla="*/ 1856583 w 2541582"/>
              <a:gd name="connsiteY52" fmla="*/ 2280157 h 2517378"/>
              <a:gd name="connsiteX53" fmla="*/ 1856583 w 2541582"/>
              <a:gd name="connsiteY53" fmla="*/ 2280157 h 2517378"/>
              <a:gd name="connsiteX54" fmla="*/ 1797234 w 2541582"/>
              <a:gd name="connsiteY54" fmla="*/ 2415653 h 2517378"/>
              <a:gd name="connsiteX55" fmla="*/ 1657863 w 2541582"/>
              <a:gd name="connsiteY55" fmla="*/ 2354606 h 2517378"/>
              <a:gd name="connsiteX56" fmla="*/ 1657859 w 2541582"/>
              <a:gd name="connsiteY56" fmla="*/ 2354605 h 2517378"/>
              <a:gd name="connsiteX57" fmla="*/ 1577835 w 2541582"/>
              <a:gd name="connsiteY57" fmla="*/ 2158060 h 2517378"/>
              <a:gd name="connsiteX58" fmla="*/ 1577835 w 2541582"/>
              <a:gd name="connsiteY58" fmla="*/ 2158060 h 2517378"/>
              <a:gd name="connsiteX59" fmla="*/ 1637185 w 2541582"/>
              <a:gd name="connsiteY59" fmla="*/ 2022564 h 2517378"/>
              <a:gd name="connsiteX60" fmla="*/ 1776555 w 2541582"/>
              <a:gd name="connsiteY60" fmla="*/ 2083611 h 2517378"/>
              <a:gd name="connsiteX61" fmla="*/ 1776559 w 2541582"/>
              <a:gd name="connsiteY61" fmla="*/ 2083612 h 2517378"/>
              <a:gd name="connsiteX62" fmla="*/ 1826146 w 2541582"/>
              <a:gd name="connsiteY62" fmla="*/ 2118023 h 2517378"/>
              <a:gd name="connsiteX63" fmla="*/ 377553 w 2541582"/>
              <a:gd name="connsiteY63" fmla="*/ 807593 h 2517378"/>
              <a:gd name="connsiteX64" fmla="*/ 410335 w 2541582"/>
              <a:gd name="connsiteY64" fmla="*/ 856415 h 2517378"/>
              <a:gd name="connsiteX65" fmla="*/ 410336 w 2541582"/>
              <a:gd name="connsiteY65" fmla="*/ 856415 h 2517378"/>
              <a:gd name="connsiteX66" fmla="*/ 466105 w 2541582"/>
              <a:gd name="connsiteY66" fmla="*/ 993423 h 2517378"/>
              <a:gd name="connsiteX67" fmla="*/ 325178 w 2541582"/>
              <a:gd name="connsiteY67" fmla="*/ 1050787 h 2517378"/>
              <a:gd name="connsiteX68" fmla="*/ 325175 w 2541582"/>
              <a:gd name="connsiteY68" fmla="*/ 1050789 h 2517378"/>
              <a:gd name="connsiteX69" fmla="*/ 128476 w 2541582"/>
              <a:gd name="connsiteY69" fmla="*/ 971146 h 2517378"/>
              <a:gd name="connsiteX70" fmla="*/ 128476 w 2541582"/>
              <a:gd name="connsiteY70" fmla="*/ 971146 h 2517378"/>
              <a:gd name="connsiteX71" fmla="*/ 72706 w 2541582"/>
              <a:gd name="connsiteY71" fmla="*/ 834138 h 2517378"/>
              <a:gd name="connsiteX72" fmla="*/ 213633 w 2541582"/>
              <a:gd name="connsiteY72" fmla="*/ 776773 h 2517378"/>
              <a:gd name="connsiteX73" fmla="*/ 213636 w 2541582"/>
              <a:gd name="connsiteY73" fmla="*/ 776772 h 2517378"/>
              <a:gd name="connsiteX74" fmla="*/ 377553 w 2541582"/>
              <a:gd name="connsiteY74" fmla="*/ 807593 h 2517378"/>
              <a:gd name="connsiteX75" fmla="*/ 2166386 w 2541582"/>
              <a:gd name="connsiteY75" fmla="*/ 1843414 h 2517378"/>
              <a:gd name="connsiteX76" fmla="*/ 2210952 w 2541582"/>
              <a:gd name="connsiteY76" fmla="*/ 1948012 h 2517378"/>
              <a:gd name="connsiteX77" fmla="*/ 2210952 w 2541582"/>
              <a:gd name="connsiteY77" fmla="*/ 1948012 h 2517378"/>
              <a:gd name="connsiteX78" fmla="*/ 2210952 w 2541582"/>
              <a:gd name="connsiteY78" fmla="*/ 2095936 h 2517378"/>
              <a:gd name="connsiteX79" fmla="*/ 2058798 w 2541582"/>
              <a:gd name="connsiteY79" fmla="*/ 2095936 h 2517378"/>
              <a:gd name="connsiteX80" fmla="*/ 2058794 w 2541582"/>
              <a:gd name="connsiteY80" fmla="*/ 2095937 h 2517378"/>
              <a:gd name="connsiteX81" fmla="*/ 1906636 w 2541582"/>
              <a:gd name="connsiteY81" fmla="*/ 1948012 h 2517378"/>
              <a:gd name="connsiteX82" fmla="*/ 1906636 w 2541582"/>
              <a:gd name="connsiteY82" fmla="*/ 1948012 h 2517378"/>
              <a:gd name="connsiteX83" fmla="*/ 1906636 w 2541582"/>
              <a:gd name="connsiteY83" fmla="*/ 1800088 h 2517378"/>
              <a:gd name="connsiteX84" fmla="*/ 2058790 w 2541582"/>
              <a:gd name="connsiteY84" fmla="*/ 1800088 h 2517378"/>
              <a:gd name="connsiteX85" fmla="*/ 2058794 w 2541582"/>
              <a:gd name="connsiteY85" fmla="*/ 1800088 h 2517378"/>
              <a:gd name="connsiteX86" fmla="*/ 2166386 w 2541582"/>
              <a:gd name="connsiteY86" fmla="*/ 1843414 h 2517378"/>
              <a:gd name="connsiteX87" fmla="*/ 592924 w 2541582"/>
              <a:gd name="connsiteY87" fmla="*/ 461833 h 2517378"/>
              <a:gd name="connsiteX88" fmla="*/ 637491 w 2541582"/>
              <a:gd name="connsiteY88" fmla="*/ 566431 h 2517378"/>
              <a:gd name="connsiteX89" fmla="*/ 637490 w 2541582"/>
              <a:gd name="connsiteY89" fmla="*/ 566431 h 2517378"/>
              <a:gd name="connsiteX90" fmla="*/ 637490 w 2541582"/>
              <a:gd name="connsiteY90" fmla="*/ 714355 h 2517378"/>
              <a:gd name="connsiteX91" fmla="*/ 485336 w 2541582"/>
              <a:gd name="connsiteY91" fmla="*/ 714355 h 2517378"/>
              <a:gd name="connsiteX92" fmla="*/ 485333 w 2541582"/>
              <a:gd name="connsiteY92" fmla="*/ 714356 h 2517378"/>
              <a:gd name="connsiteX93" fmla="*/ 333174 w 2541582"/>
              <a:gd name="connsiteY93" fmla="*/ 566431 h 2517378"/>
              <a:gd name="connsiteX94" fmla="*/ 333175 w 2541582"/>
              <a:gd name="connsiteY94" fmla="*/ 566431 h 2517378"/>
              <a:gd name="connsiteX95" fmla="*/ 333175 w 2541582"/>
              <a:gd name="connsiteY95" fmla="*/ 418507 h 2517378"/>
              <a:gd name="connsiteX96" fmla="*/ 485329 w 2541582"/>
              <a:gd name="connsiteY96" fmla="*/ 418507 h 2517378"/>
              <a:gd name="connsiteX97" fmla="*/ 485333 w 2541582"/>
              <a:gd name="connsiteY97" fmla="*/ 418507 h 2517378"/>
              <a:gd name="connsiteX98" fmla="*/ 592924 w 2541582"/>
              <a:gd name="connsiteY98" fmla="*/ 461833 h 2517378"/>
              <a:gd name="connsiteX99" fmla="*/ 2378656 w 2541582"/>
              <a:gd name="connsiteY99" fmla="*/ 1501946 h 2517378"/>
              <a:gd name="connsiteX100" fmla="*/ 2411439 w 2541582"/>
              <a:gd name="connsiteY100" fmla="*/ 1550768 h 2517378"/>
              <a:gd name="connsiteX101" fmla="*/ 2411439 w 2541582"/>
              <a:gd name="connsiteY101" fmla="*/ 1550768 h 2517378"/>
              <a:gd name="connsiteX102" fmla="*/ 2467208 w 2541582"/>
              <a:gd name="connsiteY102" fmla="*/ 1687776 h 2517378"/>
              <a:gd name="connsiteX103" fmla="*/ 2326282 w 2541582"/>
              <a:gd name="connsiteY103" fmla="*/ 1745141 h 2517378"/>
              <a:gd name="connsiteX104" fmla="*/ 2326278 w 2541582"/>
              <a:gd name="connsiteY104" fmla="*/ 1745142 h 2517378"/>
              <a:gd name="connsiteX105" fmla="*/ 2129579 w 2541582"/>
              <a:gd name="connsiteY105" fmla="*/ 1665499 h 2517378"/>
              <a:gd name="connsiteX106" fmla="*/ 2129579 w 2541582"/>
              <a:gd name="connsiteY106" fmla="*/ 1665499 h 2517378"/>
              <a:gd name="connsiteX107" fmla="*/ 2073809 w 2541582"/>
              <a:gd name="connsiteY107" fmla="*/ 1528491 h 2517378"/>
              <a:gd name="connsiteX108" fmla="*/ 2214736 w 2541582"/>
              <a:gd name="connsiteY108" fmla="*/ 1471127 h 2517378"/>
              <a:gd name="connsiteX109" fmla="*/ 2214739 w 2541582"/>
              <a:gd name="connsiteY109" fmla="*/ 1471125 h 2517378"/>
              <a:gd name="connsiteX110" fmla="*/ 2378656 w 2541582"/>
              <a:gd name="connsiteY110" fmla="*/ 1501946 h 2517378"/>
              <a:gd name="connsiteX111" fmla="*/ 928939 w 2541582"/>
              <a:gd name="connsiteY111" fmla="*/ 199283 h 2517378"/>
              <a:gd name="connsiteX112" fmla="*/ 959377 w 2541582"/>
              <a:gd name="connsiteY112" fmla="*/ 361416 h 2517378"/>
              <a:gd name="connsiteX113" fmla="*/ 959376 w 2541582"/>
              <a:gd name="connsiteY113" fmla="*/ 361417 h 2517378"/>
              <a:gd name="connsiteX114" fmla="*/ 900027 w 2541582"/>
              <a:gd name="connsiteY114" fmla="*/ 496913 h 2517378"/>
              <a:gd name="connsiteX115" fmla="*/ 760656 w 2541582"/>
              <a:gd name="connsiteY115" fmla="*/ 435866 h 2517378"/>
              <a:gd name="connsiteX116" fmla="*/ 760652 w 2541582"/>
              <a:gd name="connsiteY116" fmla="*/ 435865 h 2517378"/>
              <a:gd name="connsiteX117" fmla="*/ 680628 w 2541582"/>
              <a:gd name="connsiteY117" fmla="*/ 239320 h 2517378"/>
              <a:gd name="connsiteX118" fmla="*/ 680628 w 2541582"/>
              <a:gd name="connsiteY118" fmla="*/ 239320 h 2517378"/>
              <a:gd name="connsiteX119" fmla="*/ 739978 w 2541582"/>
              <a:gd name="connsiteY119" fmla="*/ 103824 h 2517378"/>
              <a:gd name="connsiteX120" fmla="*/ 879349 w 2541582"/>
              <a:gd name="connsiteY120" fmla="*/ 164871 h 2517378"/>
              <a:gd name="connsiteX121" fmla="*/ 879352 w 2541582"/>
              <a:gd name="connsiteY121" fmla="*/ 164872 h 2517378"/>
              <a:gd name="connsiteX122" fmla="*/ 928939 w 2541582"/>
              <a:gd name="connsiteY122" fmla="*/ 199283 h 2517378"/>
              <a:gd name="connsiteX123" fmla="*/ 2440810 w 2541582"/>
              <a:gd name="connsiteY123" fmla="*/ 1126826 h 2517378"/>
              <a:gd name="connsiteX124" fmla="*/ 2440811 w 2541582"/>
              <a:gd name="connsiteY124" fmla="*/ 1126826 h 2517378"/>
              <a:gd name="connsiteX125" fmla="*/ 2541582 w 2541582"/>
              <a:gd name="connsiteY125" fmla="*/ 1235115 h 2517378"/>
              <a:gd name="connsiteX126" fmla="*/ 2430197 w 2541582"/>
              <a:gd name="connsiteY126" fmla="*/ 1338769 h 2517378"/>
              <a:gd name="connsiteX127" fmla="*/ 2430194 w 2541582"/>
              <a:gd name="connsiteY127" fmla="*/ 1338772 h 2517378"/>
              <a:gd name="connsiteX128" fmla="*/ 2218033 w 2541582"/>
              <a:gd name="connsiteY128" fmla="*/ 1334138 h 2517378"/>
              <a:gd name="connsiteX129" fmla="*/ 2218033 w 2541582"/>
              <a:gd name="connsiteY129" fmla="*/ 1334138 h 2517378"/>
              <a:gd name="connsiteX130" fmla="*/ 2117261 w 2541582"/>
              <a:gd name="connsiteY130" fmla="*/ 1225849 h 2517378"/>
              <a:gd name="connsiteX131" fmla="*/ 2228647 w 2541582"/>
              <a:gd name="connsiteY131" fmla="*/ 1122195 h 2517378"/>
              <a:gd name="connsiteX132" fmla="*/ 2228649 w 2541582"/>
              <a:gd name="connsiteY132" fmla="*/ 1122192 h 2517378"/>
              <a:gd name="connsiteX133" fmla="*/ 2440810 w 2541582"/>
              <a:gd name="connsiteY133" fmla="*/ 1126826 h 2517378"/>
              <a:gd name="connsiteX134" fmla="*/ 1247133 w 2541582"/>
              <a:gd name="connsiteY134" fmla="*/ 0 h 2517378"/>
              <a:gd name="connsiteX135" fmla="*/ 1350787 w 2541582"/>
              <a:gd name="connsiteY135" fmla="*/ 111386 h 2517378"/>
              <a:gd name="connsiteX136" fmla="*/ 1350790 w 2541582"/>
              <a:gd name="connsiteY136" fmla="*/ 111388 h 2517378"/>
              <a:gd name="connsiteX137" fmla="*/ 1346157 w 2541582"/>
              <a:gd name="connsiteY137" fmla="*/ 323549 h 2517378"/>
              <a:gd name="connsiteX138" fmla="*/ 1346157 w 2541582"/>
              <a:gd name="connsiteY138" fmla="*/ 323550 h 2517378"/>
              <a:gd name="connsiteX139" fmla="*/ 1237868 w 2541582"/>
              <a:gd name="connsiteY139" fmla="*/ 424321 h 2517378"/>
              <a:gd name="connsiteX140" fmla="*/ 1134214 w 2541582"/>
              <a:gd name="connsiteY140" fmla="*/ 312935 h 2517378"/>
              <a:gd name="connsiteX141" fmla="*/ 1134211 w 2541582"/>
              <a:gd name="connsiteY141" fmla="*/ 312933 h 2517378"/>
              <a:gd name="connsiteX142" fmla="*/ 1138844 w 2541582"/>
              <a:gd name="connsiteY142" fmla="*/ 100772 h 2517378"/>
              <a:gd name="connsiteX143" fmla="*/ 1138844 w 2541582"/>
              <a:gd name="connsiteY143" fmla="*/ 100772 h 2517378"/>
              <a:gd name="connsiteX144" fmla="*/ 2416531 w 2541582"/>
              <a:gd name="connsiteY144" fmla="*/ 737089 h 2517378"/>
              <a:gd name="connsiteX145" fmla="*/ 2355484 w 2541582"/>
              <a:gd name="connsiteY145" fmla="*/ 876459 h 2517378"/>
              <a:gd name="connsiteX146" fmla="*/ 2355483 w 2541582"/>
              <a:gd name="connsiteY146" fmla="*/ 876463 h 2517378"/>
              <a:gd name="connsiteX147" fmla="*/ 2158938 w 2541582"/>
              <a:gd name="connsiteY147" fmla="*/ 956487 h 2517378"/>
              <a:gd name="connsiteX148" fmla="*/ 2158938 w 2541582"/>
              <a:gd name="connsiteY148" fmla="*/ 956487 h 2517378"/>
              <a:gd name="connsiteX149" fmla="*/ 2023442 w 2541582"/>
              <a:gd name="connsiteY149" fmla="*/ 897137 h 2517378"/>
              <a:gd name="connsiteX150" fmla="*/ 2084489 w 2541582"/>
              <a:gd name="connsiteY150" fmla="*/ 757767 h 2517378"/>
              <a:gd name="connsiteX151" fmla="*/ 2084490 w 2541582"/>
              <a:gd name="connsiteY151" fmla="*/ 757763 h 2517378"/>
              <a:gd name="connsiteX152" fmla="*/ 2281035 w 2541582"/>
              <a:gd name="connsiteY152" fmla="*/ 677739 h 2517378"/>
              <a:gd name="connsiteX153" fmla="*/ 2281035 w 2541582"/>
              <a:gd name="connsiteY153" fmla="*/ 677739 h 2517378"/>
              <a:gd name="connsiteX154" fmla="*/ 1695493 w 2541582"/>
              <a:gd name="connsiteY154" fmla="*/ 73601 h 2517378"/>
              <a:gd name="connsiteX155" fmla="*/ 1752857 w 2541582"/>
              <a:gd name="connsiteY155" fmla="*/ 214527 h 2517378"/>
              <a:gd name="connsiteX156" fmla="*/ 1752859 w 2541582"/>
              <a:gd name="connsiteY156" fmla="*/ 214531 h 2517378"/>
              <a:gd name="connsiteX157" fmla="*/ 1673216 w 2541582"/>
              <a:gd name="connsiteY157" fmla="*/ 411230 h 2517378"/>
              <a:gd name="connsiteX158" fmla="*/ 1673216 w 2541582"/>
              <a:gd name="connsiteY158" fmla="*/ 411230 h 2517378"/>
              <a:gd name="connsiteX159" fmla="*/ 1536207 w 2541582"/>
              <a:gd name="connsiteY159" fmla="*/ 466999 h 2517378"/>
              <a:gd name="connsiteX160" fmla="*/ 1478843 w 2541582"/>
              <a:gd name="connsiteY160" fmla="*/ 326073 h 2517378"/>
              <a:gd name="connsiteX161" fmla="*/ 1478841 w 2541582"/>
              <a:gd name="connsiteY161" fmla="*/ 326069 h 2517378"/>
              <a:gd name="connsiteX162" fmla="*/ 1558484 w 2541582"/>
              <a:gd name="connsiteY162" fmla="*/ 129370 h 2517378"/>
              <a:gd name="connsiteX163" fmla="*/ 1558485 w 2541582"/>
              <a:gd name="connsiteY163" fmla="*/ 129370 h 2517378"/>
              <a:gd name="connsiteX164" fmla="*/ 2119183 w 2541582"/>
              <a:gd name="connsiteY164" fmla="*/ 312304 h 2517378"/>
              <a:gd name="connsiteX165" fmla="*/ 2119184 w 2541582"/>
              <a:gd name="connsiteY165" fmla="*/ 464458 h 2517378"/>
              <a:gd name="connsiteX166" fmla="*/ 2119184 w 2541582"/>
              <a:gd name="connsiteY166" fmla="*/ 464462 h 2517378"/>
              <a:gd name="connsiteX167" fmla="*/ 1971260 w 2541582"/>
              <a:gd name="connsiteY167" fmla="*/ 616620 h 2517378"/>
              <a:gd name="connsiteX168" fmla="*/ 1971259 w 2541582"/>
              <a:gd name="connsiteY168" fmla="*/ 616620 h 2517378"/>
              <a:gd name="connsiteX169" fmla="*/ 1823335 w 2541582"/>
              <a:gd name="connsiteY169" fmla="*/ 616620 h 2517378"/>
              <a:gd name="connsiteX170" fmla="*/ 1823335 w 2541582"/>
              <a:gd name="connsiteY170" fmla="*/ 464466 h 2517378"/>
              <a:gd name="connsiteX171" fmla="*/ 1823335 w 2541582"/>
              <a:gd name="connsiteY171" fmla="*/ 464462 h 2517378"/>
              <a:gd name="connsiteX172" fmla="*/ 1971259 w 2541582"/>
              <a:gd name="connsiteY172" fmla="*/ 312304 h 2517378"/>
              <a:gd name="connsiteX173" fmla="*/ 1971260 w 2541582"/>
              <a:gd name="connsiteY173" fmla="*/ 312304 h 25173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</a:cxnLst>
            <a:rect l="l" t="t" r="r" b="b"/>
            <a:pathLst>
              <a:path w="2541582" h="2517378">
                <a:moveTo>
                  <a:pt x="721625" y="1903961"/>
                </a:moveTo>
                <a:lnTo>
                  <a:pt x="721626" y="2056116"/>
                </a:lnTo>
                <a:lnTo>
                  <a:pt x="721626" y="2056119"/>
                </a:lnTo>
                <a:cubicBezTo>
                  <a:pt x="721626" y="2140154"/>
                  <a:pt x="655398" y="2208277"/>
                  <a:pt x="573702" y="2208278"/>
                </a:cubicBezTo>
                <a:lnTo>
                  <a:pt x="573701" y="2208277"/>
                </a:lnTo>
                <a:lnTo>
                  <a:pt x="425777" y="2208278"/>
                </a:lnTo>
                <a:lnTo>
                  <a:pt x="425777" y="2056123"/>
                </a:lnTo>
                <a:lnTo>
                  <a:pt x="425777" y="2056120"/>
                </a:lnTo>
                <a:cubicBezTo>
                  <a:pt x="425777" y="1972085"/>
                  <a:pt x="492005" y="1903962"/>
                  <a:pt x="573701" y="1903962"/>
                </a:cubicBezTo>
                <a:lnTo>
                  <a:pt x="573702" y="1903962"/>
                </a:lnTo>
                <a:close/>
                <a:moveTo>
                  <a:pt x="519727" y="1624038"/>
                </a:moveTo>
                <a:lnTo>
                  <a:pt x="458680" y="1763409"/>
                </a:lnTo>
                <a:lnTo>
                  <a:pt x="458678" y="1763413"/>
                </a:lnTo>
                <a:cubicBezTo>
                  <a:pt x="424962" y="1840387"/>
                  <a:pt x="336966" y="1876215"/>
                  <a:pt x="262134" y="1843437"/>
                </a:cubicBezTo>
                <a:lnTo>
                  <a:pt x="262133" y="1843437"/>
                </a:lnTo>
                <a:lnTo>
                  <a:pt x="126637" y="1784087"/>
                </a:lnTo>
                <a:lnTo>
                  <a:pt x="187684" y="1644716"/>
                </a:lnTo>
                <a:lnTo>
                  <a:pt x="187686" y="1644713"/>
                </a:lnTo>
                <a:cubicBezTo>
                  <a:pt x="221402" y="1567739"/>
                  <a:pt x="309398" y="1531910"/>
                  <a:pt x="384230" y="1564688"/>
                </a:cubicBezTo>
                <a:lnTo>
                  <a:pt x="384231" y="1564689"/>
                </a:lnTo>
                <a:close/>
                <a:moveTo>
                  <a:pt x="1009078" y="2051827"/>
                </a:moveTo>
                <a:lnTo>
                  <a:pt x="1066442" y="2192754"/>
                </a:lnTo>
                <a:lnTo>
                  <a:pt x="1066444" y="2192757"/>
                </a:lnTo>
                <a:cubicBezTo>
                  <a:pt x="1098126" y="2270591"/>
                  <a:pt x="1062469" y="2358656"/>
                  <a:pt x="986801" y="2389456"/>
                </a:cubicBezTo>
                <a:lnTo>
                  <a:pt x="986801" y="2389457"/>
                </a:lnTo>
                <a:lnTo>
                  <a:pt x="849793" y="2445226"/>
                </a:lnTo>
                <a:lnTo>
                  <a:pt x="792428" y="2304299"/>
                </a:lnTo>
                <a:lnTo>
                  <a:pt x="792426" y="2304296"/>
                </a:lnTo>
                <a:cubicBezTo>
                  <a:pt x="760744" y="2226462"/>
                  <a:pt x="796402" y="2138397"/>
                  <a:pt x="872069" y="2107597"/>
                </a:cubicBezTo>
                <a:lnTo>
                  <a:pt x="872070" y="2107597"/>
                </a:lnTo>
                <a:close/>
                <a:moveTo>
                  <a:pt x="1307640" y="2093057"/>
                </a:moveTo>
                <a:lnTo>
                  <a:pt x="1411294" y="2204442"/>
                </a:lnTo>
                <a:lnTo>
                  <a:pt x="1411296" y="2204445"/>
                </a:lnTo>
                <a:cubicBezTo>
                  <a:pt x="1468544" y="2265963"/>
                  <a:pt x="1466470" y="2360951"/>
                  <a:pt x="1406663" y="2416606"/>
                </a:cubicBezTo>
                <a:lnTo>
                  <a:pt x="1406663" y="2416606"/>
                </a:lnTo>
                <a:lnTo>
                  <a:pt x="1298374" y="2517378"/>
                </a:lnTo>
                <a:lnTo>
                  <a:pt x="1194720" y="2405992"/>
                </a:lnTo>
                <a:lnTo>
                  <a:pt x="1194718" y="2405989"/>
                </a:lnTo>
                <a:cubicBezTo>
                  <a:pt x="1137470" y="2344471"/>
                  <a:pt x="1139544" y="2249484"/>
                  <a:pt x="1199351" y="2193829"/>
                </a:cubicBezTo>
                <a:lnTo>
                  <a:pt x="1199351" y="2193828"/>
                </a:lnTo>
                <a:close/>
                <a:moveTo>
                  <a:pt x="323549" y="1188033"/>
                </a:moveTo>
                <a:lnTo>
                  <a:pt x="323549" y="1188033"/>
                </a:lnTo>
                <a:lnTo>
                  <a:pt x="424321" y="1296322"/>
                </a:lnTo>
                <a:lnTo>
                  <a:pt x="312935" y="1399976"/>
                </a:lnTo>
                <a:lnTo>
                  <a:pt x="312933" y="1399979"/>
                </a:lnTo>
                <a:cubicBezTo>
                  <a:pt x="251414" y="1457227"/>
                  <a:pt x="156427" y="1455152"/>
                  <a:pt x="100772" y="1395346"/>
                </a:cubicBezTo>
                <a:lnTo>
                  <a:pt x="100771" y="1395345"/>
                </a:lnTo>
                <a:lnTo>
                  <a:pt x="0" y="1287056"/>
                </a:lnTo>
                <a:lnTo>
                  <a:pt x="111385" y="1183403"/>
                </a:lnTo>
                <a:lnTo>
                  <a:pt x="111388" y="1183400"/>
                </a:lnTo>
                <a:cubicBezTo>
                  <a:pt x="172906" y="1126152"/>
                  <a:pt x="267894" y="1128226"/>
                  <a:pt x="323549" y="1188033"/>
                </a:cubicBezTo>
                <a:close/>
                <a:moveTo>
                  <a:pt x="1826146" y="2118023"/>
                </a:moveTo>
                <a:cubicBezTo>
                  <a:pt x="1867160" y="2160504"/>
                  <a:pt x="1881167" y="2224032"/>
                  <a:pt x="1856583" y="2280157"/>
                </a:cubicBezTo>
                <a:lnTo>
                  <a:pt x="1856583" y="2280157"/>
                </a:lnTo>
                <a:lnTo>
                  <a:pt x="1797234" y="2415653"/>
                </a:lnTo>
                <a:lnTo>
                  <a:pt x="1657863" y="2354606"/>
                </a:lnTo>
                <a:lnTo>
                  <a:pt x="1657859" y="2354605"/>
                </a:lnTo>
                <a:cubicBezTo>
                  <a:pt x="1580885" y="2320889"/>
                  <a:pt x="1545057" y="2232893"/>
                  <a:pt x="1577835" y="2158060"/>
                </a:cubicBezTo>
                <a:lnTo>
                  <a:pt x="1577835" y="2158060"/>
                </a:lnTo>
                <a:lnTo>
                  <a:pt x="1637185" y="2022564"/>
                </a:lnTo>
                <a:lnTo>
                  <a:pt x="1776555" y="2083611"/>
                </a:lnTo>
                <a:lnTo>
                  <a:pt x="1776559" y="2083612"/>
                </a:lnTo>
                <a:cubicBezTo>
                  <a:pt x="1795803" y="2092041"/>
                  <a:pt x="1812474" y="2103863"/>
                  <a:pt x="1826146" y="2118023"/>
                </a:cubicBezTo>
                <a:close/>
                <a:moveTo>
                  <a:pt x="377553" y="807593"/>
                </a:moveTo>
                <a:cubicBezTo>
                  <a:pt x="391356" y="821081"/>
                  <a:pt x="402635" y="837498"/>
                  <a:pt x="410335" y="856415"/>
                </a:cubicBezTo>
                <a:lnTo>
                  <a:pt x="410336" y="856415"/>
                </a:lnTo>
                <a:lnTo>
                  <a:pt x="466105" y="993423"/>
                </a:lnTo>
                <a:lnTo>
                  <a:pt x="325178" y="1050787"/>
                </a:lnTo>
                <a:lnTo>
                  <a:pt x="325175" y="1050789"/>
                </a:lnTo>
                <a:cubicBezTo>
                  <a:pt x="247342" y="1082471"/>
                  <a:pt x="159276" y="1046814"/>
                  <a:pt x="128476" y="971146"/>
                </a:cubicBezTo>
                <a:lnTo>
                  <a:pt x="128476" y="971146"/>
                </a:lnTo>
                <a:lnTo>
                  <a:pt x="72706" y="834138"/>
                </a:lnTo>
                <a:lnTo>
                  <a:pt x="213633" y="776773"/>
                </a:lnTo>
                <a:lnTo>
                  <a:pt x="213636" y="776772"/>
                </a:lnTo>
                <a:cubicBezTo>
                  <a:pt x="272011" y="753010"/>
                  <a:pt x="336142" y="767127"/>
                  <a:pt x="377553" y="807593"/>
                </a:cubicBezTo>
                <a:close/>
                <a:moveTo>
                  <a:pt x="2166386" y="1843414"/>
                </a:moveTo>
                <a:cubicBezTo>
                  <a:pt x="2193921" y="1870183"/>
                  <a:pt x="2210952" y="1907164"/>
                  <a:pt x="2210952" y="1948012"/>
                </a:cubicBezTo>
                <a:lnTo>
                  <a:pt x="2210952" y="1948012"/>
                </a:lnTo>
                <a:lnTo>
                  <a:pt x="2210952" y="2095936"/>
                </a:lnTo>
                <a:lnTo>
                  <a:pt x="2058798" y="2095936"/>
                </a:lnTo>
                <a:lnTo>
                  <a:pt x="2058794" y="2095937"/>
                </a:lnTo>
                <a:cubicBezTo>
                  <a:pt x="1974759" y="2095937"/>
                  <a:pt x="1906636" y="2029709"/>
                  <a:pt x="1906636" y="1948012"/>
                </a:cubicBezTo>
                <a:lnTo>
                  <a:pt x="1906636" y="1948012"/>
                </a:lnTo>
                <a:lnTo>
                  <a:pt x="1906636" y="1800088"/>
                </a:lnTo>
                <a:lnTo>
                  <a:pt x="2058790" y="1800088"/>
                </a:lnTo>
                <a:lnTo>
                  <a:pt x="2058794" y="1800088"/>
                </a:lnTo>
                <a:cubicBezTo>
                  <a:pt x="2100811" y="1800088"/>
                  <a:pt x="2138851" y="1816645"/>
                  <a:pt x="2166386" y="1843414"/>
                </a:cubicBezTo>
                <a:close/>
                <a:moveTo>
                  <a:pt x="592924" y="461833"/>
                </a:moveTo>
                <a:cubicBezTo>
                  <a:pt x="620460" y="488602"/>
                  <a:pt x="637491" y="525583"/>
                  <a:pt x="637491" y="566431"/>
                </a:cubicBezTo>
                <a:lnTo>
                  <a:pt x="637490" y="566431"/>
                </a:lnTo>
                <a:lnTo>
                  <a:pt x="637490" y="714355"/>
                </a:lnTo>
                <a:lnTo>
                  <a:pt x="485336" y="714355"/>
                </a:lnTo>
                <a:lnTo>
                  <a:pt x="485333" y="714356"/>
                </a:lnTo>
                <a:cubicBezTo>
                  <a:pt x="401298" y="714356"/>
                  <a:pt x="333174" y="648128"/>
                  <a:pt x="333174" y="566431"/>
                </a:cubicBezTo>
                <a:lnTo>
                  <a:pt x="333175" y="566431"/>
                </a:lnTo>
                <a:lnTo>
                  <a:pt x="333175" y="418507"/>
                </a:lnTo>
                <a:lnTo>
                  <a:pt x="485329" y="418507"/>
                </a:lnTo>
                <a:lnTo>
                  <a:pt x="485333" y="418507"/>
                </a:lnTo>
                <a:cubicBezTo>
                  <a:pt x="527350" y="418507"/>
                  <a:pt x="565389" y="435064"/>
                  <a:pt x="592924" y="461833"/>
                </a:cubicBezTo>
                <a:close/>
                <a:moveTo>
                  <a:pt x="2378656" y="1501946"/>
                </a:moveTo>
                <a:cubicBezTo>
                  <a:pt x="2392459" y="1515435"/>
                  <a:pt x="2403738" y="1531851"/>
                  <a:pt x="2411439" y="1550768"/>
                </a:cubicBezTo>
                <a:lnTo>
                  <a:pt x="2411439" y="1550768"/>
                </a:lnTo>
                <a:lnTo>
                  <a:pt x="2467208" y="1687776"/>
                </a:lnTo>
                <a:lnTo>
                  <a:pt x="2326282" y="1745141"/>
                </a:lnTo>
                <a:lnTo>
                  <a:pt x="2326278" y="1745142"/>
                </a:lnTo>
                <a:cubicBezTo>
                  <a:pt x="2248445" y="1776824"/>
                  <a:pt x="2160379" y="1741167"/>
                  <a:pt x="2129579" y="1665499"/>
                </a:cubicBezTo>
                <a:lnTo>
                  <a:pt x="2129579" y="1665499"/>
                </a:lnTo>
                <a:lnTo>
                  <a:pt x="2073809" y="1528491"/>
                </a:lnTo>
                <a:lnTo>
                  <a:pt x="2214736" y="1471127"/>
                </a:lnTo>
                <a:lnTo>
                  <a:pt x="2214739" y="1471125"/>
                </a:lnTo>
                <a:cubicBezTo>
                  <a:pt x="2273114" y="1447363"/>
                  <a:pt x="2337245" y="1461480"/>
                  <a:pt x="2378656" y="1501946"/>
                </a:cubicBezTo>
                <a:close/>
                <a:moveTo>
                  <a:pt x="928939" y="199283"/>
                </a:moveTo>
                <a:cubicBezTo>
                  <a:pt x="969953" y="241764"/>
                  <a:pt x="983960" y="305292"/>
                  <a:pt x="959377" y="361416"/>
                </a:cubicBezTo>
                <a:lnTo>
                  <a:pt x="959376" y="361417"/>
                </a:lnTo>
                <a:lnTo>
                  <a:pt x="900027" y="496913"/>
                </a:lnTo>
                <a:lnTo>
                  <a:pt x="760656" y="435866"/>
                </a:lnTo>
                <a:lnTo>
                  <a:pt x="760652" y="435865"/>
                </a:lnTo>
                <a:cubicBezTo>
                  <a:pt x="683678" y="402148"/>
                  <a:pt x="647850" y="314153"/>
                  <a:pt x="680628" y="239320"/>
                </a:cubicBezTo>
                <a:lnTo>
                  <a:pt x="680628" y="239320"/>
                </a:lnTo>
                <a:lnTo>
                  <a:pt x="739978" y="103824"/>
                </a:lnTo>
                <a:lnTo>
                  <a:pt x="879349" y="164871"/>
                </a:lnTo>
                <a:lnTo>
                  <a:pt x="879352" y="164872"/>
                </a:lnTo>
                <a:cubicBezTo>
                  <a:pt x="898596" y="173301"/>
                  <a:pt x="915268" y="185122"/>
                  <a:pt x="928939" y="199283"/>
                </a:cubicBezTo>
                <a:close/>
                <a:moveTo>
                  <a:pt x="2440810" y="1126826"/>
                </a:moveTo>
                <a:lnTo>
                  <a:pt x="2440811" y="1126826"/>
                </a:lnTo>
                <a:lnTo>
                  <a:pt x="2541582" y="1235115"/>
                </a:lnTo>
                <a:lnTo>
                  <a:pt x="2430197" y="1338769"/>
                </a:lnTo>
                <a:lnTo>
                  <a:pt x="2430194" y="1338772"/>
                </a:lnTo>
                <a:cubicBezTo>
                  <a:pt x="2368676" y="1396019"/>
                  <a:pt x="2273688" y="1393945"/>
                  <a:pt x="2218033" y="1334138"/>
                </a:cubicBezTo>
                <a:lnTo>
                  <a:pt x="2218033" y="1334138"/>
                </a:lnTo>
                <a:lnTo>
                  <a:pt x="2117261" y="1225849"/>
                </a:lnTo>
                <a:lnTo>
                  <a:pt x="2228647" y="1122195"/>
                </a:lnTo>
                <a:lnTo>
                  <a:pt x="2228649" y="1122192"/>
                </a:lnTo>
                <a:cubicBezTo>
                  <a:pt x="2290168" y="1064945"/>
                  <a:pt x="2385155" y="1067019"/>
                  <a:pt x="2440810" y="1126826"/>
                </a:cubicBezTo>
                <a:close/>
                <a:moveTo>
                  <a:pt x="1247133" y="0"/>
                </a:moveTo>
                <a:lnTo>
                  <a:pt x="1350787" y="111386"/>
                </a:lnTo>
                <a:lnTo>
                  <a:pt x="1350790" y="111388"/>
                </a:lnTo>
                <a:cubicBezTo>
                  <a:pt x="1408038" y="172907"/>
                  <a:pt x="1405963" y="267894"/>
                  <a:pt x="1346157" y="323549"/>
                </a:cubicBezTo>
                <a:lnTo>
                  <a:pt x="1346157" y="323550"/>
                </a:lnTo>
                <a:lnTo>
                  <a:pt x="1237868" y="424321"/>
                </a:lnTo>
                <a:lnTo>
                  <a:pt x="1134214" y="312935"/>
                </a:lnTo>
                <a:lnTo>
                  <a:pt x="1134211" y="312933"/>
                </a:lnTo>
                <a:cubicBezTo>
                  <a:pt x="1076963" y="251415"/>
                  <a:pt x="1079038" y="156427"/>
                  <a:pt x="1138844" y="100772"/>
                </a:cubicBezTo>
                <a:lnTo>
                  <a:pt x="1138844" y="100772"/>
                </a:lnTo>
                <a:close/>
                <a:moveTo>
                  <a:pt x="2416531" y="737089"/>
                </a:moveTo>
                <a:lnTo>
                  <a:pt x="2355484" y="876459"/>
                </a:lnTo>
                <a:lnTo>
                  <a:pt x="2355483" y="876463"/>
                </a:lnTo>
                <a:cubicBezTo>
                  <a:pt x="2321766" y="953437"/>
                  <a:pt x="2233771" y="989265"/>
                  <a:pt x="2158938" y="956487"/>
                </a:cubicBezTo>
                <a:lnTo>
                  <a:pt x="2158938" y="956487"/>
                </a:lnTo>
                <a:lnTo>
                  <a:pt x="2023442" y="897137"/>
                </a:lnTo>
                <a:lnTo>
                  <a:pt x="2084489" y="757767"/>
                </a:lnTo>
                <a:lnTo>
                  <a:pt x="2084490" y="757763"/>
                </a:lnTo>
                <a:cubicBezTo>
                  <a:pt x="2118206" y="680789"/>
                  <a:pt x="2206202" y="644961"/>
                  <a:pt x="2281035" y="677739"/>
                </a:cubicBezTo>
                <a:lnTo>
                  <a:pt x="2281035" y="677739"/>
                </a:lnTo>
                <a:close/>
                <a:moveTo>
                  <a:pt x="1695493" y="73601"/>
                </a:moveTo>
                <a:lnTo>
                  <a:pt x="1752857" y="214527"/>
                </a:lnTo>
                <a:lnTo>
                  <a:pt x="1752859" y="214531"/>
                </a:lnTo>
                <a:cubicBezTo>
                  <a:pt x="1784541" y="292364"/>
                  <a:pt x="1748884" y="380429"/>
                  <a:pt x="1673216" y="411230"/>
                </a:cubicBezTo>
                <a:lnTo>
                  <a:pt x="1673216" y="411230"/>
                </a:lnTo>
                <a:lnTo>
                  <a:pt x="1536207" y="466999"/>
                </a:lnTo>
                <a:lnTo>
                  <a:pt x="1478843" y="326073"/>
                </a:lnTo>
                <a:lnTo>
                  <a:pt x="1478841" y="326069"/>
                </a:lnTo>
                <a:cubicBezTo>
                  <a:pt x="1447159" y="248236"/>
                  <a:pt x="1482817" y="160171"/>
                  <a:pt x="1558484" y="129370"/>
                </a:cubicBezTo>
                <a:lnTo>
                  <a:pt x="1558485" y="129370"/>
                </a:lnTo>
                <a:close/>
                <a:moveTo>
                  <a:pt x="2119183" y="312304"/>
                </a:moveTo>
                <a:lnTo>
                  <a:pt x="2119184" y="464458"/>
                </a:lnTo>
                <a:lnTo>
                  <a:pt x="2119184" y="464462"/>
                </a:lnTo>
                <a:cubicBezTo>
                  <a:pt x="2119184" y="548497"/>
                  <a:pt x="2052956" y="616620"/>
                  <a:pt x="1971260" y="616620"/>
                </a:cubicBezTo>
                <a:lnTo>
                  <a:pt x="1971259" y="616620"/>
                </a:lnTo>
                <a:lnTo>
                  <a:pt x="1823335" y="616620"/>
                </a:lnTo>
                <a:lnTo>
                  <a:pt x="1823335" y="464466"/>
                </a:lnTo>
                <a:lnTo>
                  <a:pt x="1823335" y="464462"/>
                </a:lnTo>
                <a:cubicBezTo>
                  <a:pt x="1823335" y="380427"/>
                  <a:pt x="1889563" y="312304"/>
                  <a:pt x="1971259" y="312304"/>
                </a:cubicBezTo>
                <a:lnTo>
                  <a:pt x="1971260" y="312304"/>
                </a:lnTo>
                <a:close/>
              </a:path>
            </a:pathLst>
          </a:cu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  <xdr:sp macro="" textlink="">
        <xdr:nvSpPr>
          <xdr:cNvPr id="1058" name="Овал 1057">
            <a:extLst>
              <a:ext uri="{FF2B5EF4-FFF2-40B4-BE49-F238E27FC236}">
                <a16:creationId xmlns:a16="http://schemas.microsoft.com/office/drawing/2014/main" id="{00000000-0008-0000-0000-000022040000}"/>
              </a:ext>
            </a:extLst>
          </xdr:cNvPr>
          <xdr:cNvSpPr/>
        </xdr:nvSpPr>
        <xdr:spPr>
          <a:xfrm rot="18324177">
            <a:off x="14829219" y="190232"/>
            <a:ext cx="942318" cy="930488"/>
          </a:xfrm>
          <a:prstGeom prst="ellipse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</xdr:grpSp>
    <xdr:clientData/>
  </xdr:twoCellAnchor>
  <xdr:twoCellAnchor>
    <xdr:from>
      <xdr:col>26</xdr:col>
      <xdr:colOff>229740</xdr:colOff>
      <xdr:row>1</xdr:row>
      <xdr:rowOff>137466</xdr:rowOff>
    </xdr:from>
    <xdr:to>
      <xdr:col>26</xdr:col>
      <xdr:colOff>517740</xdr:colOff>
      <xdr:row>3</xdr:row>
      <xdr:rowOff>30877</xdr:rowOff>
    </xdr:to>
    <xdr:grpSp>
      <xdr:nvGrpSpPr>
        <xdr:cNvPr id="1069" name="Группа 1068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GrpSpPr/>
      </xdr:nvGrpSpPr>
      <xdr:grpSpPr>
        <a:xfrm>
          <a:off x="16079340" y="1132548"/>
          <a:ext cx="288000" cy="252000"/>
          <a:chOff x="15443107" y="322169"/>
          <a:chExt cx="423303" cy="417699"/>
        </a:xfrm>
      </xdr:grpSpPr>
      <xdr:sp macro="" textlink="">
        <xdr:nvSpPr>
          <xdr:cNvPr id="1070" name="Месяц 1069">
            <a:extLst>
              <a:ext uri="{FF2B5EF4-FFF2-40B4-BE49-F238E27FC236}">
                <a16:creationId xmlns:a16="http://schemas.microsoft.com/office/drawing/2014/main" id="{00000000-0008-0000-0000-00002E040000}"/>
              </a:ext>
            </a:extLst>
          </xdr:cNvPr>
          <xdr:cNvSpPr/>
        </xdr:nvSpPr>
        <xdr:spPr>
          <a:xfrm>
            <a:off x="15443107" y="322169"/>
            <a:ext cx="206188" cy="412376"/>
          </a:xfrm>
          <a:prstGeom prst="moon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071" name="Звезда: 4 точки 1070">
            <a:extLst>
              <a:ext uri="{FF2B5EF4-FFF2-40B4-BE49-F238E27FC236}">
                <a16:creationId xmlns:a16="http://schemas.microsoft.com/office/drawing/2014/main" id="{00000000-0008-0000-0000-00002F040000}"/>
              </a:ext>
            </a:extLst>
          </xdr:cNvPr>
          <xdr:cNvSpPr/>
        </xdr:nvSpPr>
        <xdr:spPr>
          <a:xfrm>
            <a:off x="15648455" y="464203"/>
            <a:ext cx="177334" cy="177334"/>
          </a:xfrm>
          <a:prstGeom prst="star4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072" name="Звезда: 4 точки 1071">
            <a:extLst>
              <a:ext uri="{FF2B5EF4-FFF2-40B4-BE49-F238E27FC236}">
                <a16:creationId xmlns:a16="http://schemas.microsoft.com/office/drawing/2014/main" id="{00000000-0008-0000-0000-000030040000}"/>
              </a:ext>
            </a:extLst>
          </xdr:cNvPr>
          <xdr:cNvSpPr/>
        </xdr:nvSpPr>
        <xdr:spPr>
          <a:xfrm>
            <a:off x="15767798" y="641256"/>
            <a:ext cx="98612" cy="98612"/>
          </a:xfrm>
          <a:prstGeom prst="star4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167640</xdr:rowOff>
    </xdr:from>
    <xdr:to>
      <xdr:col>22</xdr:col>
      <xdr:colOff>388620</xdr:colOff>
      <xdr:row>32</xdr:row>
      <xdr:rowOff>178255</xdr:rowOff>
    </xdr:to>
    <xdr:pic>
      <xdr:nvPicPr>
        <xdr:cNvPr id="2" name="Рисунок 1" hidden="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0" y="1348740"/>
          <a:ext cx="9761220" cy="5497015"/>
        </a:xfrm>
        <a:prstGeom prst="rect">
          <a:avLst/>
        </a:prstGeom>
      </xdr:spPr>
    </xdr:pic>
    <xdr:clientData/>
  </xdr:twoCellAnchor>
  <xdr:twoCellAnchor>
    <xdr:from>
      <xdr:col>13</xdr:col>
      <xdr:colOff>255537</xdr:colOff>
      <xdr:row>11</xdr:row>
      <xdr:rowOff>143448</xdr:rowOff>
    </xdr:from>
    <xdr:to>
      <xdr:col>16</xdr:col>
      <xdr:colOff>174575</xdr:colOff>
      <xdr:row>20</xdr:row>
      <xdr:rowOff>111382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8180337" y="2931472"/>
          <a:ext cx="1747838" cy="1581581"/>
          <a:chOff x="8048625" y="1447800"/>
          <a:chExt cx="1747838" cy="1602000"/>
        </a:xfrm>
      </xdr:grpSpPr>
      <xdr:sp macro="" textlink="">
        <xdr:nvSpPr>
          <xdr:cNvPr id="4" name="Прямоугольник: скругленные углы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8048625" y="1447800"/>
            <a:ext cx="1747838" cy="160200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" name="Диаграмма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GraphicFramePr>
            <a:graphicFrameLocks/>
          </xdr:cNvGraphicFramePr>
        </xdr:nvGraphicFramePr>
        <xdr:xfrm>
          <a:off x="8153400" y="1558291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Диаграмма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aphicFramePr>
            <a:graphicFrameLocks/>
          </xdr:cNvGraphicFramePr>
        </xdr:nvGraphicFramePr>
        <xdr:xfrm>
          <a:off x="8153400" y="2268856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7" name="Прямая соединительная линия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CxnSpPr/>
        </xdr:nvCxnSpPr>
        <xdr:spPr>
          <a:xfrm>
            <a:off x="8205788" y="2247900"/>
            <a:ext cx="1443044" cy="0"/>
          </a:xfrm>
          <a:prstGeom prst="line">
            <a:avLst/>
          </a:prstGeom>
          <a:ln w="9525">
            <a:solidFill>
              <a:srgbClr val="2D2D2D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rocessing!K5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8281988" y="1781175"/>
            <a:ext cx="457200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C1892FB-DC08-4781-943D-93A5D7471C23}" type="TxLink">
              <a:rPr lang="en-US" sz="105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24%</a:t>
            </a:fld>
            <a:endParaRPr lang="ru-RU" sz="1050">
              <a:solidFill>
                <a:schemeClr val="bg1"/>
              </a:solidFill>
            </a:endParaRPr>
          </a:p>
        </xdr:txBody>
      </xdr:sp>
      <xdr:sp macro="" textlink="Processing!J5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 txBox="1"/>
        </xdr:nvSpPr>
        <xdr:spPr>
          <a:xfrm>
            <a:off x="8281989" y="2490788"/>
            <a:ext cx="457199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0C9F3C5-3455-43D5-9312-842D62475980}" type="TxLink">
              <a:rPr lang="en-US" sz="105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76%</a:t>
            </a:fld>
            <a:endParaRPr lang="ru-RU" sz="900">
              <a:solidFill>
                <a:schemeClr val="bg1"/>
              </a:solidFill>
            </a:endParaRPr>
          </a:p>
        </xdr:txBody>
      </xdr:sp>
      <xdr:sp macro="" textlink="Processing!K4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 txBox="1"/>
        </xdr:nvSpPr>
        <xdr:spPr>
          <a:xfrm>
            <a:off x="8739188" y="1639188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B736EAF1-327C-4A43-924D-449B7641C316}" type="TxLink">
              <a:rPr lang="en-US" sz="900" b="0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l"/>
              <a:t>successful calls</a:t>
            </a:fld>
            <a:endParaRPr lang="ru-RU" sz="700" b="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J4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 txBox="1"/>
        </xdr:nvSpPr>
        <xdr:spPr>
          <a:xfrm>
            <a:off x="8739188" y="2396426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859811EB-76B0-4040-91CB-A2337973C140}" type="TxLink">
              <a:rPr lang="en-US" sz="900" b="0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l"/>
              <a:t>unsuccessful calls</a:t>
            </a:fld>
            <a:endParaRPr lang="ru-RU" sz="400" b="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K6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 txBox="1"/>
        </xdr:nvSpPr>
        <xdr:spPr>
          <a:xfrm>
            <a:off x="8739188" y="1809750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DFD9A72-D403-4A9A-B8E1-CDC9B4248554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 10 731 </a:t>
            </a:fld>
            <a:endParaRPr lang="ru-RU" sz="800" b="0">
              <a:solidFill>
                <a:schemeClr val="bg1"/>
              </a:solidFill>
            </a:endParaRPr>
          </a:p>
        </xdr:txBody>
      </xdr:sp>
      <xdr:sp macro="" textlink="Processing!J6">
        <xdr:nvSpPr>
          <xdr:cNvPr id="13" name="TextBox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 txBox="1"/>
        </xdr:nvSpPr>
        <xdr:spPr>
          <a:xfrm>
            <a:off x="8739188" y="2557464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0C0584AD-3007-42C7-A8BA-CAD9F8F3BFED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 34 468 </a:t>
            </a:fld>
            <a:endParaRPr lang="ru-RU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598600</xdr:colOff>
      <xdr:row>11</xdr:row>
      <xdr:rowOff>131601</xdr:rowOff>
    </xdr:from>
    <xdr:to>
      <xdr:col>13</xdr:col>
      <xdr:colOff>223315</xdr:colOff>
      <xdr:row>20</xdr:row>
      <xdr:rowOff>128316</xdr:rowOff>
    </xdr:to>
    <xdr:grpSp>
      <xdr:nvGrpSpPr>
        <xdr:cNvPr id="14" name="Группа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4256200" y="2919625"/>
          <a:ext cx="3891915" cy="1610362"/>
          <a:chOff x="4107180" y="1402080"/>
          <a:chExt cx="3891915" cy="1642635"/>
        </a:xfrm>
      </xdr:grpSpPr>
      <xdr:sp macro="" textlink="">
        <xdr:nvSpPr>
          <xdr:cNvPr id="15" name="Прямоугольник: скругленные углы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4107180" y="1402080"/>
            <a:ext cx="3825240" cy="161724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16" name="Диаграмма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GraphicFramePr>
            <a:graphicFrameLocks/>
          </xdr:cNvGraphicFramePr>
        </xdr:nvGraphicFramePr>
        <xdr:xfrm>
          <a:off x="4112895" y="1438275"/>
          <a:ext cx="3886200" cy="16064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Processing!O10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 txBox="1"/>
        </xdr:nvSpPr>
        <xdr:spPr>
          <a:xfrm>
            <a:off x="4213860" y="2537460"/>
            <a:ext cx="368046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356637E-3A75-4607-B244-5950A9FC7C21}" type="TxLink">
              <a:rPr lang="en-US" sz="1000" b="1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ctr"/>
              <a:t>↑Highest                      Average                      ↓Lowest</a:t>
            </a:fld>
            <a:endParaRPr lang="ru-RU" sz="1000" b="1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O5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451866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4B228ED-7383-4D66-B130-FA93E6B47646}" type="TxLink">
              <a:rPr lang="en-US" sz="125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ctr"/>
              <a:t> 252 000 </a:t>
            </a:fld>
            <a:endParaRPr lang="ru-RU" sz="1250" b="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Processing!O7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 txBox="1"/>
        </xdr:nvSpPr>
        <xdr:spPr>
          <a:xfrm>
            <a:off x="560070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51D77D-D596-4758-A224-36FAA5AF04EA}" type="TxLink">
              <a:rPr lang="en-US" sz="125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ctr"/>
              <a:t> 108 000 </a:t>
            </a:fld>
            <a:endParaRPr lang="ru-RU" sz="1250" b="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Processing!O9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 txBox="1"/>
        </xdr:nvSpPr>
        <xdr:spPr>
          <a:xfrm>
            <a:off x="671322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F6616E1-3C61-4614-A10C-0860068F30AD}" type="TxLink">
              <a:rPr lang="en-US" sz="125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ctr"/>
              <a:t> 28 000 </a:t>
            </a:fld>
            <a:endParaRPr lang="ru-RU" sz="1250" b="0">
              <a:solidFill>
                <a:schemeClr val="bg1">
                  <a:lumMod val="95000"/>
                </a:schemeClr>
              </a:solidFill>
            </a:endParaRPr>
          </a:p>
        </xdr:txBody>
      </xdr:sp>
    </xdr:grpSp>
    <xdr:clientData/>
  </xdr:twoCellAnchor>
  <xdr:twoCellAnchor>
    <xdr:from>
      <xdr:col>0</xdr:col>
      <xdr:colOff>214701</xdr:colOff>
      <xdr:row>21</xdr:row>
      <xdr:rowOff>59630</xdr:rowOff>
    </xdr:from>
    <xdr:to>
      <xdr:col>3</xdr:col>
      <xdr:colOff>147293</xdr:colOff>
      <xdr:row>30</xdr:row>
      <xdr:rowOff>30949</xdr:rowOff>
    </xdr:to>
    <xdr:grpSp>
      <xdr:nvGrpSpPr>
        <xdr:cNvPr id="21" name="Группа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214701" y="4640595"/>
          <a:ext cx="1761392" cy="1584966"/>
          <a:chOff x="139505" y="3037114"/>
          <a:chExt cx="1761392" cy="1636835"/>
        </a:xfrm>
      </xdr:grpSpPr>
      <xdr:sp macro="" textlink="">
        <xdr:nvSpPr>
          <xdr:cNvPr id="22" name="Прямоугольник: скругленные углы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46282" y="3037114"/>
            <a:ext cx="1747838" cy="1636835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3" name="Диаграмма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GraphicFramePr>
            <a:graphicFrameLocks/>
          </xdr:cNvGraphicFramePr>
        </xdr:nvGraphicFramePr>
        <xdr:xfrm>
          <a:off x="139505" y="3121248"/>
          <a:ext cx="1761392" cy="1466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0</xdr:col>
      <xdr:colOff>214701</xdr:colOff>
      <xdr:row>30</xdr:row>
      <xdr:rowOff>125505</xdr:rowOff>
    </xdr:from>
    <xdr:to>
      <xdr:col>3</xdr:col>
      <xdr:colOff>146301</xdr:colOff>
      <xdr:row>39</xdr:row>
      <xdr:rowOff>172517</xdr:rowOff>
    </xdr:to>
    <xdr:grpSp>
      <xdr:nvGrpSpPr>
        <xdr:cNvPr id="24" name="Группа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pSpPr/>
      </xdr:nvGrpSpPr>
      <xdr:grpSpPr>
        <a:xfrm>
          <a:off x="214701" y="6320117"/>
          <a:ext cx="1760400" cy="1660659"/>
          <a:chOff x="4847659" y="6695070"/>
          <a:chExt cx="1760400" cy="1638300"/>
        </a:xfrm>
      </xdr:grpSpPr>
      <xdr:sp macro="" textlink="">
        <xdr:nvSpPr>
          <xdr:cNvPr id="25" name="Прямоугольник: скругленные углы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4853940" y="6705600"/>
            <a:ext cx="1747838" cy="161724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6" name="Диаграмма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GraphicFramePr>
            <a:graphicFrameLocks/>
          </xdr:cNvGraphicFramePr>
        </xdr:nvGraphicFramePr>
        <xdr:xfrm>
          <a:off x="4847659" y="6695070"/>
          <a:ext cx="1760400" cy="1638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7169" name="Check Box 1" hidden="1">
                <a:extLst>
                  <a:ext uri="{63B3BB69-23CF-44E3-9099-C40C66FF867C}">
                    <a14:compatExt spid="_x0000_s7169"/>
                  </a:ext>
                  <a:ext uri="{FF2B5EF4-FFF2-40B4-BE49-F238E27FC236}">
                    <a16:creationId xmlns:a16="http://schemas.microsoft.com/office/drawing/2014/main" id="{00000000-0008-0000-0100-0000011C0000}"/>
                  </a:ext>
                </a:extLst>
              </xdr:cNvPr>
              <xdr:cNvSpPr/>
            </xdr:nvSpPr>
            <xdr:spPr bwMode="auto">
              <a:xfrm>
                <a:off x="4902350" y="8072625"/>
                <a:ext cx="487680" cy="20574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27432" rIns="0" bIns="27432" anchor="ctr" upright="1"/>
              <a:lstStyle/>
              <a:p>
                <a:pPr algn="l" rtl="0">
                  <a:defRPr sz="1000"/>
                </a:pPr>
                <a:r>
                  <a:rPr lang="ru-RU" sz="800" b="0" i="0" u="none" strike="noStrike" baseline="0">
                    <a:solidFill>
                      <a:srgbClr val="000000"/>
                    </a:solidFill>
                    <a:latin typeface="Segoe UI"/>
                    <a:cs typeface="Segoe UI"/>
                  </a:rPr>
                  <a:t>Total</a:t>
                </a:r>
              </a:p>
            </xdr:txBody>
          </xdr:sp>
        </mc:Choice>
        <mc:Fallback/>
      </mc:AlternateContent>
    </xdr:grpSp>
    <xdr:clientData/>
  </xdr:twoCellAnchor>
  <xdr:twoCellAnchor>
    <xdr:from>
      <xdr:col>6</xdr:col>
      <xdr:colOff>496152</xdr:colOff>
      <xdr:row>21</xdr:row>
      <xdr:rowOff>49471</xdr:rowOff>
    </xdr:from>
    <xdr:to>
      <xdr:col>10</xdr:col>
      <xdr:colOff>351372</xdr:colOff>
      <xdr:row>36</xdr:row>
      <xdr:rowOff>107094</xdr:rowOff>
    </xdr:to>
    <xdr:grpSp>
      <xdr:nvGrpSpPr>
        <xdr:cNvPr id="31" name="Группа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/>
      </xdr:nvGrpSpPr>
      <xdr:grpSpPr>
        <a:xfrm>
          <a:off x="4153752" y="4630436"/>
          <a:ext cx="2293620" cy="2747034"/>
          <a:chOff x="4145280" y="3009901"/>
          <a:chExt cx="2293620" cy="2804159"/>
        </a:xfrm>
      </xdr:grpSpPr>
      <xdr:sp macro="" textlink="">
        <xdr:nvSpPr>
          <xdr:cNvPr id="32" name="Прямоугольник: скругленные углы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/>
        </xdr:nvSpPr>
        <xdr:spPr>
          <a:xfrm>
            <a:off x="4251690" y="3017520"/>
            <a:ext cx="2080800" cy="279654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3" name="Диаграмма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GraphicFramePr>
            <a:graphicFrameLocks/>
          </xdr:cNvGraphicFramePr>
        </xdr:nvGraphicFramePr>
        <xdr:xfrm>
          <a:off x="4145280" y="3009901"/>
          <a:ext cx="2293620" cy="18135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Processing!N21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 txBox="1"/>
        </xdr:nvSpPr>
        <xdr:spPr>
          <a:xfrm>
            <a:off x="4961097" y="3924300"/>
            <a:ext cx="738187" cy="2451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A8D7F73-A5A3-4C6E-ACAD-11CDA7662CAF}" type="TxLink">
              <a:rPr lang="en-US" sz="15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35,2m</a:t>
            </a:fld>
            <a:endParaRPr lang="ru-RU" sz="15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593977</xdr:colOff>
      <xdr:row>37</xdr:row>
      <xdr:rowOff>9575</xdr:rowOff>
    </xdr:from>
    <xdr:to>
      <xdr:col>10</xdr:col>
      <xdr:colOff>243997</xdr:colOff>
      <xdr:row>40</xdr:row>
      <xdr:rowOff>934</xdr:rowOff>
    </xdr:to>
    <xdr:grpSp>
      <xdr:nvGrpSpPr>
        <xdr:cNvPr id="35" name="Группа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pSpPr/>
      </xdr:nvGrpSpPr>
      <xdr:grpSpPr>
        <a:xfrm>
          <a:off x="4251577" y="7459246"/>
          <a:ext cx="2088420" cy="529241"/>
          <a:chOff x="4259580" y="6231923"/>
          <a:chExt cx="2088420" cy="540956"/>
        </a:xfrm>
      </xdr:grpSpPr>
      <xdr:sp macro="" textlink="">
        <xdr:nvSpPr>
          <xdr:cNvPr id="36" name="Прямоугольник: скругленные углы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/>
        </xdr:nvSpPr>
        <xdr:spPr>
          <a:xfrm>
            <a:off x="4267200" y="6231923"/>
            <a:ext cx="2080800" cy="540956"/>
          </a:xfrm>
          <a:prstGeom prst="roundRect">
            <a:avLst>
              <a:gd name="adj" fmla="val 15347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7" name="Диаграмма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GraphicFramePr>
            <a:graphicFrameLocks/>
          </xdr:cNvGraphicFramePr>
        </xdr:nvGraphicFramePr>
        <xdr:xfrm>
          <a:off x="4259580" y="6258272"/>
          <a:ext cx="2080800" cy="4580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Processing!O36">
        <xdr:nvSpPr>
          <xdr:cNvPr id="38" name="TextBox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 txBox="1"/>
        </xdr:nvSpPr>
        <xdr:spPr>
          <a:xfrm>
            <a:off x="4295273" y="6418868"/>
            <a:ext cx="782052" cy="245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F85ADE8-7CC6-44C3-ACC0-BE7C8E9E9293}" type="TxLink">
              <a:rPr lang="en-US" sz="1000" b="0" i="0" u="none" strike="noStrike">
                <a:solidFill>
                  <a:srgbClr val="00FFFF"/>
                </a:solidFill>
                <a:latin typeface="Calibri"/>
                <a:cs typeface="Calibri"/>
              </a:rPr>
              <a:pPr algn="ctr"/>
              <a:t>35,2million</a:t>
            </a:fld>
            <a:endParaRPr lang="ru-RU" sz="1200" b="0">
              <a:solidFill>
                <a:srgbClr val="00FFFF"/>
              </a:solidFill>
            </a:endParaRPr>
          </a:p>
        </xdr:txBody>
      </xdr:sp>
    </xdr:grpSp>
    <xdr:clientData/>
  </xdr:twoCellAnchor>
  <xdr:twoCellAnchor>
    <xdr:from>
      <xdr:col>20</xdr:col>
      <xdr:colOff>355606</xdr:colOff>
      <xdr:row>21</xdr:row>
      <xdr:rowOff>61323</xdr:rowOff>
    </xdr:from>
    <xdr:to>
      <xdr:col>26</xdr:col>
      <xdr:colOff>568966</xdr:colOff>
      <xdr:row>39</xdr:row>
      <xdr:rowOff>171722</xdr:rowOff>
    </xdr:to>
    <xdr:grpSp>
      <xdr:nvGrpSpPr>
        <xdr:cNvPr id="39" name="Группа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12547606" y="4642288"/>
          <a:ext cx="3870960" cy="3337693"/>
          <a:chOff x="9547860" y="6583680"/>
          <a:chExt cx="4594860" cy="2767860"/>
        </a:xfrm>
      </xdr:grpSpPr>
      <xdr:sp macro="" textlink="">
        <xdr:nvSpPr>
          <xdr:cNvPr id="40" name="Прямоугольник: скругленные углы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9547860" y="6583680"/>
            <a:ext cx="4594860" cy="276786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1" name="Диаграмма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GraphicFramePr>
            <a:graphicFrameLocks/>
          </xdr:cNvGraphicFramePr>
        </xdr:nvGraphicFramePr>
        <xdr:xfrm>
          <a:off x="9563100" y="65836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13</xdr:col>
      <xdr:colOff>121196</xdr:colOff>
      <xdr:row>21</xdr:row>
      <xdr:rowOff>55396</xdr:rowOff>
    </xdr:from>
    <xdr:to>
      <xdr:col>20</xdr:col>
      <xdr:colOff>334439</xdr:colOff>
      <xdr:row>30</xdr:row>
      <xdr:rowOff>65475</xdr:rowOff>
    </xdr:to>
    <xdr:grpSp>
      <xdr:nvGrpSpPr>
        <xdr:cNvPr id="42" name="Группа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pSpPr/>
      </xdr:nvGrpSpPr>
      <xdr:grpSpPr>
        <a:xfrm>
          <a:off x="8045996" y="4636361"/>
          <a:ext cx="4480443" cy="1623726"/>
          <a:chOff x="6507597" y="6652260"/>
          <a:chExt cx="4899543" cy="1656000"/>
        </a:xfrm>
      </xdr:grpSpPr>
      <xdr:sp macro="" textlink="">
        <xdr:nvSpPr>
          <xdr:cNvPr id="43" name="Прямоугольник: скругленные углы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/>
        </xdr:nvSpPr>
        <xdr:spPr>
          <a:xfrm>
            <a:off x="6507597" y="6652260"/>
            <a:ext cx="4777740" cy="165600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4" name="Диаграмма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GraphicFramePr>
            <a:graphicFrameLocks/>
          </xdr:cNvGraphicFramePr>
        </xdr:nvGraphicFramePr>
        <xdr:xfrm>
          <a:off x="6576060" y="6743701"/>
          <a:ext cx="3314700" cy="14935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 txBox="1"/>
        </xdr:nvSpPr>
        <xdr:spPr>
          <a:xfrm>
            <a:off x="9898380" y="6728460"/>
            <a:ext cx="1348740" cy="434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>
                <a:solidFill>
                  <a:schemeClr val="bg1"/>
                </a:solidFill>
              </a:rPr>
              <a:t>Paid Calls Duration</a:t>
            </a:r>
          </a:p>
          <a:p>
            <a:r>
              <a:rPr lang="en-US" sz="900">
                <a:solidFill>
                  <a:schemeClr val="bg1"/>
                </a:solidFill>
              </a:rPr>
              <a:t>by Month</a:t>
            </a:r>
            <a:endParaRPr lang="ru-RU" sz="900">
              <a:solidFill>
                <a:schemeClr val="bg1"/>
              </a:solidFill>
            </a:endParaRPr>
          </a:p>
        </xdr:txBody>
      </xdr:sp>
      <xdr:sp macro="" textlink="Processing!U42">
        <xdr:nvSpPr>
          <xdr:cNvPr id="46" name="Полилиния: фигура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/>
        </xdr:nvSpPr>
        <xdr:spPr>
          <a:xfrm>
            <a:off x="9997440" y="7254240"/>
            <a:ext cx="1295517" cy="303146"/>
          </a:xfrm>
          <a:custGeom>
            <a:avLst/>
            <a:gdLst>
              <a:gd name="connsiteX0" fmla="*/ 36944 w 1158357"/>
              <a:gd name="connsiteY0" fmla="*/ 0 h 234566"/>
              <a:gd name="connsiteX1" fmla="*/ 1158357 w 1158357"/>
              <a:gd name="connsiteY1" fmla="*/ 0 h 234566"/>
              <a:gd name="connsiteX2" fmla="*/ 1158357 w 1158357"/>
              <a:gd name="connsiteY2" fmla="*/ 234566 h 234566"/>
              <a:gd name="connsiteX3" fmla="*/ 36944 w 1158357"/>
              <a:gd name="connsiteY3" fmla="*/ 234566 h 234566"/>
              <a:gd name="connsiteX4" fmla="*/ 0 w 1158357"/>
              <a:gd name="connsiteY4" fmla="*/ 197622 h 234566"/>
              <a:gd name="connsiteX5" fmla="*/ 0 w 1158357"/>
              <a:gd name="connsiteY5" fmla="*/ 36944 h 234566"/>
              <a:gd name="connsiteX6" fmla="*/ 36944 w 1158357"/>
              <a:gd name="connsiteY6" fmla="*/ 0 h 2345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158357" h="234566">
                <a:moveTo>
                  <a:pt x="36944" y="0"/>
                </a:moveTo>
                <a:lnTo>
                  <a:pt x="1158357" y="0"/>
                </a:lnTo>
                <a:lnTo>
                  <a:pt x="1158357" y="234566"/>
                </a:lnTo>
                <a:lnTo>
                  <a:pt x="36944" y="234566"/>
                </a:lnTo>
                <a:cubicBezTo>
                  <a:pt x="16540" y="234566"/>
                  <a:pt x="0" y="218026"/>
                  <a:pt x="0" y="197622"/>
                </a:cubicBezTo>
                <a:lnTo>
                  <a:pt x="0" y="36944"/>
                </a:lnTo>
                <a:cubicBezTo>
                  <a:pt x="0" y="16540"/>
                  <a:pt x="16540" y="0"/>
                  <a:pt x="36944" y="0"/>
                </a:cubicBezTo>
                <a:close/>
              </a:path>
            </a:pathLst>
          </a:custGeom>
          <a:gradFill flip="none" rotWithShape="1">
            <a:gsLst>
              <a:gs pos="68000">
                <a:srgbClr val="1A62FF"/>
              </a:gs>
              <a:gs pos="0">
                <a:srgbClr val="1DBAFC"/>
              </a:gs>
            </a:gsLst>
            <a:lin ang="1800000" scaled="0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51AA4974-C934-417B-B7BD-EE33880DCC76}" type="TxLink">
              <a:rPr lang="en-US" sz="14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04:43 mm:ss</a:t>
            </a:fld>
            <a:endParaRPr lang="ru-RU" sz="2400">
              <a:solidFill>
                <a:schemeClr val="bg1"/>
              </a:solidFill>
            </a:endParaRPr>
          </a:p>
        </xdr:txBody>
      </xdr:sp>
      <xdr:sp macro="" textlink="Processing!U40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 txBox="1"/>
        </xdr:nvSpPr>
        <xdr:spPr>
          <a:xfrm>
            <a:off x="9944100" y="7703820"/>
            <a:ext cx="146304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6657860-EE82-4E29-8144-D95F063C3470}" type="TxLink">
              <a:rPr lang="en-US" sz="900" b="1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/>
              <a:t>Minimum    Maximum</a:t>
            </a:fld>
            <a:endParaRPr lang="ru-RU" sz="600" b="1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U44">
        <xdr:nvSpPr>
          <xdr:cNvPr id="48" name="TextBox 4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 txBox="1"/>
        </xdr:nvSpPr>
        <xdr:spPr>
          <a:xfrm>
            <a:off x="99974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A5EAB1D-6556-4B7C-A33C-22FD48FE70A5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02:31</a:t>
            </a:fld>
            <a:endParaRPr lang="ru-RU" sz="700" b="1">
              <a:solidFill>
                <a:schemeClr val="bg1"/>
              </a:solidFill>
            </a:endParaRPr>
          </a:p>
        </xdr:txBody>
      </xdr:sp>
      <xdr:sp macro="" textlink="Processing!U46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>
          <a:xfrm>
            <a:off x="106070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CA1D28D-47F1-488C-BCB5-B3C179569EEA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06:21</a:t>
            </a:fld>
            <a:endParaRPr lang="ru-RU" sz="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362379</xdr:colOff>
      <xdr:row>30</xdr:row>
      <xdr:rowOff>178810</xdr:rowOff>
    </xdr:from>
    <xdr:to>
      <xdr:col>17</xdr:col>
      <xdr:colOff>469179</xdr:colOff>
      <xdr:row>39</xdr:row>
      <xdr:rowOff>170343</xdr:rowOff>
    </xdr:to>
    <xdr:grpSp>
      <xdr:nvGrpSpPr>
        <xdr:cNvPr id="50" name="Группа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pSpPr/>
      </xdr:nvGrpSpPr>
      <xdr:grpSpPr>
        <a:xfrm>
          <a:off x="6458379" y="6373422"/>
          <a:ext cx="4374000" cy="1605180"/>
          <a:chOff x="6591300" y="5189220"/>
          <a:chExt cx="4305300" cy="1813560"/>
        </a:xfrm>
      </xdr:grpSpPr>
      <xdr:sp macro="" textlink="">
        <xdr:nvSpPr>
          <xdr:cNvPr id="51" name="Прямоугольник: скругленные углы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SpPr/>
        </xdr:nvSpPr>
        <xdr:spPr>
          <a:xfrm>
            <a:off x="6591300" y="5189220"/>
            <a:ext cx="4305300" cy="181356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2" name="Диаграмма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GraphicFramePr>
            <a:graphicFrameLocks/>
          </xdr:cNvGraphicFramePr>
        </xdr:nvGraphicFramePr>
        <xdr:xfrm>
          <a:off x="6697980" y="5189220"/>
          <a:ext cx="4076700" cy="16992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16</xdr:col>
      <xdr:colOff>257101</xdr:colOff>
      <xdr:row>11</xdr:row>
      <xdr:rowOff>143449</xdr:rowOff>
    </xdr:from>
    <xdr:to>
      <xdr:col>19</xdr:col>
      <xdr:colOff>477235</xdr:colOff>
      <xdr:row>20</xdr:row>
      <xdr:rowOff>112249</xdr:rowOff>
    </xdr:to>
    <xdr:grpSp>
      <xdr:nvGrpSpPr>
        <xdr:cNvPr id="53" name="Группа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pSpPr/>
      </xdr:nvGrpSpPr>
      <xdr:grpSpPr>
        <a:xfrm>
          <a:off x="10010701" y="2931473"/>
          <a:ext cx="2048934" cy="1582447"/>
          <a:chOff x="10134600" y="846665"/>
          <a:chExt cx="2048934" cy="1710267"/>
        </a:xfrm>
      </xdr:grpSpPr>
      <xdr:sp macro="" textlink="">
        <xdr:nvSpPr>
          <xdr:cNvPr id="54" name="Прямоугольник: скругленные углы 53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/>
        </xdr:nvSpPr>
        <xdr:spPr>
          <a:xfrm>
            <a:off x="10134600" y="846665"/>
            <a:ext cx="2040466" cy="1710267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5" name="Диаграмма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GraphicFramePr>
            <a:graphicFrameLocks/>
          </xdr:cNvGraphicFramePr>
        </xdr:nvGraphicFramePr>
        <xdr:xfrm>
          <a:off x="10224348" y="868305"/>
          <a:ext cx="195918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  <xdr:twoCellAnchor>
    <xdr:from>
      <xdr:col>22</xdr:col>
      <xdr:colOff>233082</xdr:colOff>
      <xdr:row>11</xdr:row>
      <xdr:rowOff>143451</xdr:rowOff>
    </xdr:from>
    <xdr:to>
      <xdr:col>26</xdr:col>
      <xdr:colOff>585900</xdr:colOff>
      <xdr:row>20</xdr:row>
      <xdr:rowOff>118050</xdr:rowOff>
    </xdr:to>
    <xdr:grpSp>
      <xdr:nvGrpSpPr>
        <xdr:cNvPr id="56" name="Группа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GrpSpPr/>
      </xdr:nvGrpSpPr>
      <xdr:grpSpPr>
        <a:xfrm>
          <a:off x="13644282" y="2931475"/>
          <a:ext cx="2791218" cy="1588246"/>
          <a:chOff x="12834928" y="728134"/>
          <a:chExt cx="2660766" cy="1710267"/>
        </a:xfrm>
      </xdr:grpSpPr>
      <xdr:sp macro="" textlink="">
        <xdr:nvSpPr>
          <xdr:cNvPr id="57" name="Прямоугольник: скругленные углы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/>
        </xdr:nvSpPr>
        <xdr:spPr>
          <a:xfrm>
            <a:off x="12886266" y="728134"/>
            <a:ext cx="2582334" cy="1710267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8" name="Диаграмма 57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GraphicFramePr>
            <a:graphicFrameLocks/>
          </xdr:cNvGraphicFramePr>
        </xdr:nvGraphicFramePr>
        <xdr:xfrm>
          <a:off x="12834928" y="742527"/>
          <a:ext cx="266076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</xdr:grpSp>
    <xdr:clientData/>
  </xdr:twoCellAnchor>
  <xdr:twoCellAnchor>
    <xdr:from>
      <xdr:col>10</xdr:col>
      <xdr:colOff>372538</xdr:colOff>
      <xdr:row>21</xdr:row>
      <xdr:rowOff>33383</xdr:rowOff>
    </xdr:from>
    <xdr:to>
      <xdr:col>12</xdr:col>
      <xdr:colOff>607065</xdr:colOff>
      <xdr:row>30</xdr:row>
      <xdr:rowOff>67249</xdr:rowOff>
    </xdr:to>
    <xdr:sp macro="" textlink="">
      <xdr:nvSpPr>
        <xdr:cNvPr id="59" name="Прямоугольник: скругленные углы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6468538" y="4689203"/>
          <a:ext cx="1453727" cy="1679786"/>
        </a:xfrm>
        <a:prstGeom prst="roundRect">
          <a:avLst>
            <a:gd name="adj" fmla="val 6149"/>
          </a:avLst>
        </a:prstGeom>
        <a:solidFill>
          <a:schemeClr val="tx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17</xdr:col>
      <xdr:colOff>582710</xdr:colOff>
      <xdr:row>30</xdr:row>
      <xdr:rowOff>178313</xdr:rowOff>
    </xdr:from>
    <xdr:to>
      <xdr:col>20</xdr:col>
      <xdr:colOff>207637</xdr:colOff>
      <xdr:row>39</xdr:row>
      <xdr:rowOff>159466</xdr:rowOff>
    </xdr:to>
    <xdr:sp macro="" textlink="">
      <xdr:nvSpPr>
        <xdr:cNvPr id="60" name="Прямоугольник: скругленные углы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10945910" y="6480053"/>
          <a:ext cx="1453727" cy="1627073"/>
        </a:xfrm>
        <a:prstGeom prst="roundRect">
          <a:avLst>
            <a:gd name="adj" fmla="val 6149"/>
          </a:avLst>
        </a:prstGeom>
        <a:solidFill>
          <a:schemeClr val="tx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19</xdr:col>
      <xdr:colOff>560793</xdr:colOff>
      <xdr:row>11</xdr:row>
      <xdr:rowOff>144944</xdr:rowOff>
    </xdr:from>
    <xdr:to>
      <xdr:col>22</xdr:col>
      <xdr:colOff>185720</xdr:colOff>
      <xdr:row>20</xdr:row>
      <xdr:rowOff>125520</xdr:rowOff>
    </xdr:to>
    <xdr:sp macro="" textlink="">
      <xdr:nvSpPr>
        <xdr:cNvPr id="61" name="Прямоугольник: скругленные углы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12143193" y="2971964"/>
          <a:ext cx="1453727" cy="1626496"/>
        </a:xfrm>
        <a:prstGeom prst="roundRect">
          <a:avLst>
            <a:gd name="adj" fmla="val 6149"/>
          </a:avLst>
        </a:prstGeom>
        <a:solidFill>
          <a:schemeClr val="tx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0</xdr:col>
      <xdr:colOff>233081</xdr:colOff>
      <xdr:row>3</xdr:row>
      <xdr:rowOff>143443</xdr:rowOff>
    </xdr:from>
    <xdr:to>
      <xdr:col>5</xdr:col>
      <xdr:colOff>245081</xdr:colOff>
      <xdr:row>10</xdr:row>
      <xdr:rowOff>148384</xdr:rowOff>
    </xdr:to>
    <xdr:sp macro="" textlink="">
      <xdr:nvSpPr>
        <xdr:cNvPr id="62" name="Прямоугольник: скругленные углы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233081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b="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461681</xdr:colOff>
      <xdr:row>3</xdr:row>
      <xdr:rowOff>143443</xdr:rowOff>
    </xdr:from>
    <xdr:to>
      <xdr:col>10</xdr:col>
      <xdr:colOff>473681</xdr:colOff>
      <xdr:row>10</xdr:row>
      <xdr:rowOff>148384</xdr:rowOff>
    </xdr:to>
    <xdr:sp macro="" textlink="">
      <xdr:nvSpPr>
        <xdr:cNvPr id="63" name="Прямоугольник: скругленные углы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3509681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11</xdr:col>
      <xdr:colOff>80681</xdr:colOff>
      <xdr:row>2</xdr:row>
      <xdr:rowOff>62753</xdr:rowOff>
    </xdr:from>
    <xdr:to>
      <xdr:col>16</xdr:col>
      <xdr:colOff>92681</xdr:colOff>
      <xdr:row>10</xdr:row>
      <xdr:rowOff>148384</xdr:rowOff>
    </xdr:to>
    <xdr:sp macro="" textlink="">
      <xdr:nvSpPr>
        <xdr:cNvPr id="7168" name="Прямоугольник: скругленные углы 7167">
          <a:extLst>
            <a:ext uri="{FF2B5EF4-FFF2-40B4-BE49-F238E27FC236}">
              <a16:creationId xmlns:a16="http://schemas.microsoft.com/office/drawing/2014/main" id="{00000000-0008-0000-0100-0000001C0000}"/>
            </a:ext>
          </a:extLst>
        </xdr:cNvPr>
        <xdr:cNvSpPr/>
      </xdr:nvSpPr>
      <xdr:spPr>
        <a:xfrm>
          <a:off x="6786281" y="1243853"/>
          <a:ext cx="3060000" cy="154867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16</xdr:col>
      <xdr:colOff>309281</xdr:colOff>
      <xdr:row>3</xdr:row>
      <xdr:rowOff>143443</xdr:rowOff>
    </xdr:from>
    <xdr:to>
      <xdr:col>21</xdr:col>
      <xdr:colOff>321281</xdr:colOff>
      <xdr:row>10</xdr:row>
      <xdr:rowOff>148384</xdr:rowOff>
    </xdr:to>
    <xdr:sp macro="" textlink="">
      <xdr:nvSpPr>
        <xdr:cNvPr id="7170" name="Прямоугольник: скругленные углы 7169">
          <a:extLst>
            <a:ext uri="{FF2B5EF4-FFF2-40B4-BE49-F238E27FC236}">
              <a16:creationId xmlns:a16="http://schemas.microsoft.com/office/drawing/2014/main" id="{00000000-0008-0000-0100-0000021C0000}"/>
            </a:ext>
          </a:extLst>
        </xdr:cNvPr>
        <xdr:cNvSpPr/>
      </xdr:nvSpPr>
      <xdr:spPr>
        <a:xfrm>
          <a:off x="10062881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537880</xdr:colOff>
      <xdr:row>3</xdr:row>
      <xdr:rowOff>143443</xdr:rowOff>
    </xdr:from>
    <xdr:to>
      <xdr:col>26</xdr:col>
      <xdr:colOff>549880</xdr:colOff>
      <xdr:row>10</xdr:row>
      <xdr:rowOff>148384</xdr:rowOff>
    </xdr:to>
    <xdr:sp macro="" textlink="">
      <xdr:nvSpPr>
        <xdr:cNvPr id="7171" name="Прямоугольник: скругленные углы 7170">
          <a:extLst>
            <a:ext uri="{FF2B5EF4-FFF2-40B4-BE49-F238E27FC236}">
              <a16:creationId xmlns:a16="http://schemas.microsoft.com/office/drawing/2014/main" id="{00000000-0008-0000-0100-0000031C0000}"/>
            </a:ext>
          </a:extLst>
        </xdr:cNvPr>
        <xdr:cNvSpPr/>
      </xdr:nvSpPr>
      <xdr:spPr>
        <a:xfrm>
          <a:off x="13339480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uk-UA" sz="2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35859</xdr:colOff>
      <xdr:row>2</xdr:row>
      <xdr:rowOff>98612</xdr:rowOff>
    </xdr:from>
    <xdr:to>
      <xdr:col>15</xdr:col>
      <xdr:colOff>255495</xdr:colOff>
      <xdr:row>4</xdr:row>
      <xdr:rowOff>98612</xdr:rowOff>
    </xdr:to>
    <xdr:sp macro="" textlink="Processing!S16">
      <xdr:nvSpPr>
        <xdr:cNvPr id="7172" name="TextBox 7171">
          <a:extLst>
            <a:ext uri="{FF2B5EF4-FFF2-40B4-BE49-F238E27FC236}">
              <a16:creationId xmlns:a16="http://schemas.microsoft.com/office/drawing/2014/main" id="{00000000-0008-0000-0100-0000041C0000}"/>
            </a:ext>
          </a:extLst>
        </xdr:cNvPr>
        <xdr:cNvSpPr txBox="1"/>
      </xdr:nvSpPr>
      <xdr:spPr>
        <a:xfrm>
          <a:off x="7351059" y="1279712"/>
          <a:ext cx="2048436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D0BB831-2F65-41BC-AD1A-4C6720426AB5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Marketing vs Selling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600636</xdr:colOff>
      <xdr:row>1</xdr:row>
      <xdr:rowOff>148083</xdr:rowOff>
    </xdr:from>
    <xdr:to>
      <xdr:col>15</xdr:col>
      <xdr:colOff>77994</xdr:colOff>
      <xdr:row>11</xdr:row>
      <xdr:rowOff>26673</xdr:rowOff>
    </xdr:to>
    <xdr:graphicFrame macro="">
      <xdr:nvGraphicFramePr>
        <xdr:cNvPr id="7173" name="Диаграмма 7172">
          <a:extLst>
            <a:ext uri="{FF2B5EF4-FFF2-40B4-BE49-F238E27FC236}">
              <a16:creationId xmlns:a16="http://schemas.microsoft.com/office/drawing/2014/main" id="{00000000-0008-0000-0100-0000051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337093</xdr:colOff>
      <xdr:row>12</xdr:row>
      <xdr:rowOff>0</xdr:rowOff>
    </xdr:from>
    <xdr:to>
      <xdr:col>6</xdr:col>
      <xdr:colOff>331693</xdr:colOff>
      <xdr:row>20</xdr:row>
      <xdr:rowOff>99247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4" name="Products 1">
              <a:extLst>
                <a:ext uri="{FF2B5EF4-FFF2-40B4-BE49-F238E27FC236}">
                  <a16:creationId xmlns:a16="http://schemas.microsoft.com/office/drawing/2014/main" id="{00000000-0008-0000-0100-000006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093" y="2967318"/>
              <a:ext cx="3652200" cy="1533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475130</xdr:colOff>
      <xdr:row>21</xdr:row>
      <xdr:rowOff>71717</xdr:rowOff>
    </xdr:from>
    <xdr:to>
      <xdr:col>12</xdr:col>
      <xdr:colOff>535955</xdr:colOff>
      <xdr:row>30</xdr:row>
      <xdr:rowOff>78070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5" name="Month 1">
              <a:extLst>
                <a:ext uri="{FF2B5EF4-FFF2-40B4-BE49-F238E27FC236}">
                  <a16:creationId xmlns:a16="http://schemas.microsoft.com/office/drawing/2014/main" id="{00000000-0008-0000-0100-000007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1130" y="4652682"/>
              <a:ext cx="1280025" cy="16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134470</xdr:colOff>
      <xdr:row>12</xdr:row>
      <xdr:rowOff>17932</xdr:rowOff>
    </xdr:from>
    <xdr:to>
      <xdr:col>22</xdr:col>
      <xdr:colOff>26893</xdr:colOff>
      <xdr:row>20</xdr:row>
      <xdr:rowOff>35859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6" name="Teams 1">
              <a:extLst>
                <a:ext uri="{FF2B5EF4-FFF2-40B4-BE49-F238E27FC236}">
                  <a16:creationId xmlns:a16="http://schemas.microsoft.com/office/drawing/2014/main" id="{00000000-0008-0000-0100-000008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6470" y="2985250"/>
              <a:ext cx="1111623" cy="1452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89646</xdr:colOff>
      <xdr:row>31</xdr:row>
      <xdr:rowOff>767</xdr:rowOff>
    </xdr:from>
    <xdr:to>
      <xdr:col>20</xdr:col>
      <xdr:colOff>98611</xdr:colOff>
      <xdr:row>39</xdr:row>
      <xdr:rowOff>154000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7" name="Сhannels 1">
              <a:extLst>
                <a:ext uri="{FF2B5EF4-FFF2-40B4-BE49-F238E27FC236}">
                  <a16:creationId xmlns:a16="http://schemas.microsoft.com/office/drawing/2014/main" id="{00000000-0008-0000-0100-000009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hannel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62446" y="6374673"/>
              <a:ext cx="1228165" cy="15875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105335</xdr:colOff>
      <xdr:row>5</xdr:row>
      <xdr:rowOff>179293</xdr:rowOff>
    </xdr:from>
    <xdr:to>
      <xdr:col>15</xdr:col>
      <xdr:colOff>51547</xdr:colOff>
      <xdr:row>8</xdr:row>
      <xdr:rowOff>116540</xdr:rowOff>
    </xdr:to>
    <xdr:sp macro="" textlink="">
      <xdr:nvSpPr>
        <xdr:cNvPr id="7178" name="TextBox 7177">
          <a:extLst>
            <a:ext uri="{FF2B5EF4-FFF2-40B4-BE49-F238E27FC236}">
              <a16:creationId xmlns:a16="http://schemas.microsoft.com/office/drawing/2014/main" id="{00000000-0008-0000-0100-00000A1C0000}"/>
            </a:ext>
          </a:extLst>
        </xdr:cNvPr>
        <xdr:cNvSpPr txBox="1"/>
      </xdr:nvSpPr>
      <xdr:spPr>
        <a:xfrm>
          <a:off x="7420535" y="1909033"/>
          <a:ext cx="1775012" cy="4858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POWER</a:t>
          </a:r>
        </a:p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WEIGHT</a:t>
          </a:r>
        </a:p>
      </xdr:txBody>
    </xdr:sp>
    <xdr:clientData/>
  </xdr:twoCellAnchor>
  <xdr:twoCellAnchor>
    <xdr:from>
      <xdr:col>7</xdr:col>
      <xdr:colOff>235130</xdr:colOff>
      <xdr:row>31</xdr:row>
      <xdr:rowOff>56606</xdr:rowOff>
    </xdr:from>
    <xdr:to>
      <xdr:col>10</xdr:col>
      <xdr:colOff>195942</xdr:colOff>
      <xdr:row>36</xdr:row>
      <xdr:rowOff>177293</xdr:rowOff>
    </xdr:to>
    <xdr:grpSp>
      <xdr:nvGrpSpPr>
        <xdr:cNvPr id="7179" name="Группа 7178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GrpSpPr/>
      </xdr:nvGrpSpPr>
      <xdr:grpSpPr>
        <a:xfrm>
          <a:off x="4502330" y="6430512"/>
          <a:ext cx="1789612" cy="1017157"/>
          <a:chOff x="10760528" y="4587240"/>
          <a:chExt cx="1789612" cy="1035087"/>
        </a:xfrm>
      </xdr:grpSpPr>
      <xdr:graphicFrame macro="">
        <xdr:nvGraphicFramePr>
          <xdr:cNvPr id="7180" name="Диаграмма 7179">
            <a:extLst>
              <a:ext uri="{FF2B5EF4-FFF2-40B4-BE49-F238E27FC236}">
                <a16:creationId xmlns:a16="http://schemas.microsoft.com/office/drawing/2014/main" id="{00000000-0008-0000-0100-00000C1C0000}"/>
              </a:ext>
            </a:extLst>
          </xdr:cNvPr>
          <xdr:cNvGraphicFramePr/>
        </xdr:nvGraphicFramePr>
        <xdr:xfrm>
          <a:off x="10760528" y="4619896"/>
          <a:ext cx="1066800" cy="9339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sp macro="" textlink="Processing!N23">
        <xdr:nvSpPr>
          <xdr:cNvPr id="7181" name="TextBox 7180">
            <a:extLst>
              <a:ext uri="{FF2B5EF4-FFF2-40B4-BE49-F238E27FC236}">
                <a16:creationId xmlns:a16="http://schemas.microsoft.com/office/drawing/2014/main" id="{00000000-0008-0000-0100-00000D1C0000}"/>
              </a:ext>
            </a:extLst>
          </xdr:cNvPr>
          <xdr:cNvSpPr txBox="1"/>
        </xdr:nvSpPr>
        <xdr:spPr>
          <a:xfrm>
            <a:off x="11269980" y="4587240"/>
            <a:ext cx="1280160" cy="1035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053DF26C-596D-4C29-A133-4A98F44D1F70}" type="TxLink">
              <a:rPr lang="en-US" sz="900" b="0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l"/>
              <a:t>9,2m  Facebook
7,4m  Youtube
6,7m  Instagram
5,3m  Google Ad
3,9m  Tiktok
2,7m  Twitter</a:t>
            </a:fld>
            <a:endParaRPr lang="ru-RU" sz="1100" b="0">
              <a:solidFill>
                <a:schemeClr val="bg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304800</xdr:colOff>
      <xdr:row>4</xdr:row>
      <xdr:rowOff>17930</xdr:rowOff>
    </xdr:from>
    <xdr:to>
      <xdr:col>4</xdr:col>
      <xdr:colOff>251012</xdr:colOff>
      <xdr:row>6</xdr:row>
      <xdr:rowOff>17929</xdr:rowOff>
    </xdr:to>
    <xdr:sp macro="" textlink="Processing!H1">
      <xdr:nvSpPr>
        <xdr:cNvPr id="7182" name="TextBox 7181">
          <a:extLst>
            <a:ext uri="{FF2B5EF4-FFF2-40B4-BE49-F238E27FC236}">
              <a16:creationId xmlns:a16="http://schemas.microsoft.com/office/drawing/2014/main" id="{00000000-0008-0000-0100-00000E1C0000}"/>
            </a:ext>
          </a:extLst>
        </xdr:cNvPr>
        <xdr:cNvSpPr txBox="1"/>
      </xdr:nvSpPr>
      <xdr:spPr>
        <a:xfrm>
          <a:off x="914400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A2262A-B095-42EA-8CD7-83B6D05A03E5}" type="TxLink">
            <a:rPr lang="en-US" sz="1600" b="1" i="0" u="none" strike="noStrike">
              <a:solidFill>
                <a:srgbClr val="2D7F54"/>
              </a:solidFill>
              <a:latin typeface="Calibri"/>
              <a:cs typeface="Calibri"/>
            </a:rPr>
            <a:pPr algn="ctr"/>
            <a:t>Total Revenue</a:t>
          </a:fld>
          <a:endParaRPr lang="ru-RU" sz="1600">
            <a:solidFill>
              <a:srgbClr val="2D7F54"/>
            </a:solidFill>
          </a:endParaRPr>
        </a:p>
      </xdr:txBody>
    </xdr:sp>
    <xdr:clientData/>
  </xdr:twoCellAnchor>
  <xdr:twoCellAnchor>
    <xdr:from>
      <xdr:col>6</xdr:col>
      <xdr:colOff>531159</xdr:colOff>
      <xdr:row>4</xdr:row>
      <xdr:rowOff>17930</xdr:rowOff>
    </xdr:from>
    <xdr:to>
      <xdr:col>9</xdr:col>
      <xdr:colOff>477371</xdr:colOff>
      <xdr:row>6</xdr:row>
      <xdr:rowOff>17929</xdr:rowOff>
    </xdr:to>
    <xdr:sp macro="" textlink="Processing!I1">
      <xdr:nvSpPr>
        <xdr:cNvPr id="7183" name="TextBox 7182">
          <a:extLst>
            <a:ext uri="{FF2B5EF4-FFF2-40B4-BE49-F238E27FC236}">
              <a16:creationId xmlns:a16="http://schemas.microsoft.com/office/drawing/2014/main" id="{00000000-0008-0000-0100-00000F1C0000}"/>
            </a:ext>
          </a:extLst>
        </xdr:cNvPr>
        <xdr:cNvSpPr txBox="1"/>
      </xdr:nvSpPr>
      <xdr:spPr>
        <a:xfrm>
          <a:off x="4188759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697E78F-7C63-495D-AAC4-319A73B73CC4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calls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356347</xdr:colOff>
      <xdr:row>4</xdr:row>
      <xdr:rowOff>17930</xdr:rowOff>
    </xdr:from>
    <xdr:to>
      <xdr:col>20</xdr:col>
      <xdr:colOff>302559</xdr:colOff>
      <xdr:row>6</xdr:row>
      <xdr:rowOff>17929</xdr:rowOff>
    </xdr:to>
    <xdr:sp macro="" textlink="Processing!J1">
      <xdr:nvSpPr>
        <xdr:cNvPr id="7184" name="TextBox 7183">
          <a:extLst>
            <a:ext uri="{FF2B5EF4-FFF2-40B4-BE49-F238E27FC236}">
              <a16:creationId xmlns:a16="http://schemas.microsoft.com/office/drawing/2014/main" id="{00000000-0008-0000-0100-0000101C0000}"/>
            </a:ext>
          </a:extLst>
        </xdr:cNvPr>
        <xdr:cNvSpPr txBox="1"/>
      </xdr:nvSpPr>
      <xdr:spPr>
        <a:xfrm>
          <a:off x="10719547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FD324D4-1282-4012-A329-1DE8214D7AB8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Cost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0</xdr:colOff>
      <xdr:row>4</xdr:row>
      <xdr:rowOff>17930</xdr:rowOff>
    </xdr:from>
    <xdr:to>
      <xdr:col>25</xdr:col>
      <xdr:colOff>555812</xdr:colOff>
      <xdr:row>6</xdr:row>
      <xdr:rowOff>17929</xdr:rowOff>
    </xdr:to>
    <xdr:sp macro="" textlink="Processing!K1">
      <xdr:nvSpPr>
        <xdr:cNvPr id="7185" name="TextBox 7184">
          <a:extLst>
            <a:ext uri="{FF2B5EF4-FFF2-40B4-BE49-F238E27FC236}">
              <a16:creationId xmlns:a16="http://schemas.microsoft.com/office/drawing/2014/main" id="{00000000-0008-0000-0100-0000111C0000}"/>
            </a:ext>
          </a:extLst>
        </xdr:cNvPr>
        <xdr:cNvSpPr txBox="1"/>
      </xdr:nvSpPr>
      <xdr:spPr>
        <a:xfrm>
          <a:off x="14020800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82DADFF-D459-46DF-A1BB-99FCD4261226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Traffic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44823</xdr:colOff>
      <xdr:row>6</xdr:row>
      <xdr:rowOff>53788</xdr:rowOff>
    </xdr:from>
    <xdr:to>
      <xdr:col>4</xdr:col>
      <xdr:colOff>367552</xdr:colOff>
      <xdr:row>8</xdr:row>
      <xdr:rowOff>53788</xdr:rowOff>
    </xdr:to>
    <xdr:sp macro="" textlink="Processing!H2">
      <xdr:nvSpPr>
        <xdr:cNvPr id="7186" name="TextBox 7185">
          <a:extLst>
            <a:ext uri="{FF2B5EF4-FFF2-40B4-BE49-F238E27FC236}">
              <a16:creationId xmlns:a16="http://schemas.microsoft.com/office/drawing/2014/main" id="{00000000-0008-0000-0100-0000121C0000}"/>
            </a:ext>
          </a:extLst>
        </xdr:cNvPr>
        <xdr:cNvSpPr txBox="1"/>
      </xdr:nvSpPr>
      <xdr:spPr>
        <a:xfrm>
          <a:off x="654423" y="1966408"/>
          <a:ext cx="2151529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9BDF5F-6621-4DF5-B18E-3CC9C7D7226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$1 298 984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6</xdr:col>
      <xdr:colOff>502024</xdr:colOff>
      <xdr:row>6</xdr:row>
      <xdr:rowOff>53788</xdr:rowOff>
    </xdr:from>
    <xdr:to>
      <xdr:col>9</xdr:col>
      <xdr:colOff>448236</xdr:colOff>
      <xdr:row>8</xdr:row>
      <xdr:rowOff>53788</xdr:rowOff>
    </xdr:to>
    <xdr:sp macro="" textlink="Processing!I2">
      <xdr:nvSpPr>
        <xdr:cNvPr id="7187" name="TextBox 7186">
          <a:extLst>
            <a:ext uri="{FF2B5EF4-FFF2-40B4-BE49-F238E27FC236}">
              <a16:creationId xmlns:a16="http://schemas.microsoft.com/office/drawing/2014/main" id="{00000000-0008-0000-0100-0000131C0000}"/>
            </a:ext>
          </a:extLst>
        </xdr:cNvPr>
        <xdr:cNvSpPr txBox="1"/>
      </xdr:nvSpPr>
      <xdr:spPr>
        <a:xfrm>
          <a:off x="4159624" y="1966408"/>
          <a:ext cx="1775012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5196A5-0F21-4245-8334-4D2C7FDA1810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45 199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17</xdr:col>
      <xdr:colOff>277906</xdr:colOff>
      <xdr:row>6</xdr:row>
      <xdr:rowOff>53788</xdr:rowOff>
    </xdr:from>
    <xdr:to>
      <xdr:col>20</xdr:col>
      <xdr:colOff>466164</xdr:colOff>
      <xdr:row>8</xdr:row>
      <xdr:rowOff>53788</xdr:rowOff>
    </xdr:to>
    <xdr:sp macro="" textlink="Processing!J2">
      <xdr:nvSpPr>
        <xdr:cNvPr id="7188" name="TextBox 7187">
          <a:extLst>
            <a:ext uri="{FF2B5EF4-FFF2-40B4-BE49-F238E27FC236}">
              <a16:creationId xmlns:a16="http://schemas.microsoft.com/office/drawing/2014/main" id="{00000000-0008-0000-0100-0000141C0000}"/>
            </a:ext>
          </a:extLst>
        </xdr:cNvPr>
        <xdr:cNvSpPr txBox="1"/>
      </xdr:nvSpPr>
      <xdr:spPr>
        <a:xfrm>
          <a:off x="10641106" y="1966408"/>
          <a:ext cx="2017058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8C844BD-E480-4BE0-A3E9-407C446E564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$649 223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22</xdr:col>
      <xdr:colOff>403411</xdr:colOff>
      <xdr:row>6</xdr:row>
      <xdr:rowOff>53788</xdr:rowOff>
    </xdr:from>
    <xdr:to>
      <xdr:col>26</xdr:col>
      <xdr:colOff>80683</xdr:colOff>
      <xdr:row>8</xdr:row>
      <xdr:rowOff>53788</xdr:rowOff>
    </xdr:to>
    <xdr:sp macro="" textlink="Processing!K2">
      <xdr:nvSpPr>
        <xdr:cNvPr id="7189" name="TextBox 7188">
          <a:extLst>
            <a:ext uri="{FF2B5EF4-FFF2-40B4-BE49-F238E27FC236}">
              <a16:creationId xmlns:a16="http://schemas.microsoft.com/office/drawing/2014/main" id="{00000000-0008-0000-0100-0000151C0000}"/>
            </a:ext>
          </a:extLst>
        </xdr:cNvPr>
        <xdr:cNvSpPr txBox="1"/>
      </xdr:nvSpPr>
      <xdr:spPr>
        <a:xfrm>
          <a:off x="13814611" y="1966408"/>
          <a:ext cx="2115672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64FBF9-1207-44B6-92E8-7A19F311F23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35 199 463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11</xdr:col>
      <xdr:colOff>251012</xdr:colOff>
      <xdr:row>7</xdr:row>
      <xdr:rowOff>125506</xdr:rowOff>
    </xdr:from>
    <xdr:to>
      <xdr:col>12</xdr:col>
      <xdr:colOff>143436</xdr:colOff>
      <xdr:row>9</xdr:row>
      <xdr:rowOff>125506</xdr:rowOff>
    </xdr:to>
    <xdr:sp macro="" textlink="">
      <xdr:nvSpPr>
        <xdr:cNvPr id="7190" name="TextBox 7189">
          <a:extLst>
            <a:ext uri="{FF2B5EF4-FFF2-40B4-BE49-F238E27FC236}">
              <a16:creationId xmlns:a16="http://schemas.microsoft.com/office/drawing/2014/main" id="{00000000-0008-0000-0100-0000161C0000}"/>
            </a:ext>
          </a:extLst>
        </xdr:cNvPr>
        <xdr:cNvSpPr txBox="1"/>
      </xdr:nvSpPr>
      <xdr:spPr>
        <a:xfrm>
          <a:off x="6956612" y="2221006"/>
          <a:ext cx="502024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M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17929</xdr:colOff>
      <xdr:row>7</xdr:row>
      <xdr:rowOff>125506</xdr:rowOff>
    </xdr:from>
    <xdr:to>
      <xdr:col>15</xdr:col>
      <xdr:colOff>519953</xdr:colOff>
      <xdr:row>9</xdr:row>
      <xdr:rowOff>125506</xdr:rowOff>
    </xdr:to>
    <xdr:sp macro="" textlink="">
      <xdr:nvSpPr>
        <xdr:cNvPr id="7191" name="TextBox 7190">
          <a:extLst>
            <a:ext uri="{FF2B5EF4-FFF2-40B4-BE49-F238E27FC236}">
              <a16:creationId xmlns:a16="http://schemas.microsoft.com/office/drawing/2014/main" id="{00000000-0008-0000-0100-0000171C0000}"/>
            </a:ext>
          </a:extLst>
        </xdr:cNvPr>
        <xdr:cNvSpPr txBox="1"/>
      </xdr:nvSpPr>
      <xdr:spPr>
        <a:xfrm>
          <a:off x="9161929" y="2221006"/>
          <a:ext cx="502024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S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531159</xdr:colOff>
      <xdr:row>8</xdr:row>
      <xdr:rowOff>89647</xdr:rowOff>
    </xdr:from>
    <xdr:to>
      <xdr:col>9</xdr:col>
      <xdr:colOff>477371</xdr:colOff>
      <xdr:row>10</xdr:row>
      <xdr:rowOff>89647</xdr:rowOff>
    </xdr:to>
    <xdr:sp macro="" textlink="">
      <xdr:nvSpPr>
        <xdr:cNvPr id="7192" name="TextBox 7191">
          <a:extLst>
            <a:ext uri="{FF2B5EF4-FFF2-40B4-BE49-F238E27FC236}">
              <a16:creationId xmlns:a16="http://schemas.microsoft.com/office/drawing/2014/main" id="{00000000-0008-0000-0100-0000181C0000}"/>
            </a:ext>
          </a:extLst>
        </xdr:cNvPr>
        <xdr:cNvSpPr txBox="1"/>
      </xdr:nvSpPr>
      <xdr:spPr>
        <a:xfrm>
          <a:off x="4188759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leads</a:t>
          </a:r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20170</xdr:colOff>
      <xdr:row>8</xdr:row>
      <xdr:rowOff>89647</xdr:rowOff>
    </xdr:from>
    <xdr:to>
      <xdr:col>25</xdr:col>
      <xdr:colOff>575982</xdr:colOff>
      <xdr:row>10</xdr:row>
      <xdr:rowOff>89647</xdr:rowOff>
    </xdr:to>
    <xdr:sp macro="" textlink="">
      <xdr:nvSpPr>
        <xdr:cNvPr id="7193" name="TextBox 7192">
          <a:extLst>
            <a:ext uri="{FF2B5EF4-FFF2-40B4-BE49-F238E27FC236}">
              <a16:creationId xmlns:a16="http://schemas.microsoft.com/office/drawing/2014/main" id="{00000000-0008-0000-0100-0000191C0000}"/>
            </a:ext>
          </a:extLst>
        </xdr:cNvPr>
        <xdr:cNvSpPr txBox="1"/>
      </xdr:nvSpPr>
      <xdr:spPr>
        <a:xfrm>
          <a:off x="14040970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users</a:t>
          </a:r>
        </a:p>
      </xdr:txBody>
    </xdr:sp>
    <xdr:clientData/>
  </xdr:twoCellAnchor>
  <xdr:twoCellAnchor>
    <xdr:from>
      <xdr:col>17</xdr:col>
      <xdr:colOff>378758</xdr:colOff>
      <xdr:row>8</xdr:row>
      <xdr:rowOff>89647</xdr:rowOff>
    </xdr:from>
    <xdr:to>
      <xdr:col>20</xdr:col>
      <xdr:colOff>324970</xdr:colOff>
      <xdr:row>10</xdr:row>
      <xdr:rowOff>89647</xdr:rowOff>
    </xdr:to>
    <xdr:sp macro="" textlink="">
      <xdr:nvSpPr>
        <xdr:cNvPr id="7194" name="TextBox 7193">
          <a:extLst>
            <a:ext uri="{FF2B5EF4-FFF2-40B4-BE49-F238E27FC236}">
              <a16:creationId xmlns:a16="http://schemas.microsoft.com/office/drawing/2014/main" id="{00000000-0008-0000-0100-00001A1C0000}"/>
            </a:ext>
          </a:extLst>
        </xdr:cNvPr>
        <xdr:cNvSpPr txBox="1"/>
      </xdr:nvSpPr>
      <xdr:spPr>
        <a:xfrm>
          <a:off x="10741958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twoCellAnchor>
    <xdr:from>
      <xdr:col>1</xdr:col>
      <xdr:colOff>253252</xdr:colOff>
      <xdr:row>8</xdr:row>
      <xdr:rowOff>89647</xdr:rowOff>
    </xdr:from>
    <xdr:to>
      <xdr:col>4</xdr:col>
      <xdr:colOff>199464</xdr:colOff>
      <xdr:row>10</xdr:row>
      <xdr:rowOff>89647</xdr:rowOff>
    </xdr:to>
    <xdr:sp macro="" textlink="">
      <xdr:nvSpPr>
        <xdr:cNvPr id="7195" name="TextBox 7194">
          <a:extLst>
            <a:ext uri="{FF2B5EF4-FFF2-40B4-BE49-F238E27FC236}">
              <a16:creationId xmlns:a16="http://schemas.microsoft.com/office/drawing/2014/main" id="{00000000-0008-0000-0100-00001B1C0000}"/>
            </a:ext>
          </a:extLst>
        </xdr:cNvPr>
        <xdr:cNvSpPr txBox="1"/>
      </xdr:nvSpPr>
      <xdr:spPr>
        <a:xfrm>
          <a:off x="862852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oneCellAnchor>
    <xdr:from>
      <xdr:col>3</xdr:col>
      <xdr:colOff>449621</xdr:colOff>
      <xdr:row>0</xdr:row>
      <xdr:rowOff>55621</xdr:rowOff>
    </xdr:from>
    <xdr:ext cx="11947181" cy="937629"/>
    <xdr:sp macro="" textlink="">
      <xdr:nvSpPr>
        <xdr:cNvPr id="7196" name="Прямоугольник 7195">
          <a:extLst>
            <a:ext uri="{FF2B5EF4-FFF2-40B4-BE49-F238E27FC236}">
              <a16:creationId xmlns:a16="http://schemas.microsoft.com/office/drawing/2014/main" id="{00000000-0008-0000-0100-00001C1C0000}"/>
            </a:ext>
          </a:extLst>
        </xdr:cNvPr>
        <xdr:cNvSpPr/>
      </xdr:nvSpPr>
      <xdr:spPr>
        <a:xfrm>
          <a:off x="2278421" y="55621"/>
          <a:ext cx="119471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3175" cmpd="thickThin">
                <a:solidFill>
                  <a:schemeClr val="tx1"/>
                </a:solidFill>
                <a:prstDash val="solid"/>
              </a:ln>
              <a:gradFill flip="none" rotWithShape="1">
                <a:gsLst>
                  <a:gs pos="19000">
                    <a:srgbClr val="4ED7DE"/>
                  </a:gs>
                  <a:gs pos="93000">
                    <a:srgbClr val="94E496"/>
                  </a:gs>
                  <a:gs pos="56000">
                    <a:srgbClr val="FF00FF"/>
                  </a:gs>
                </a:gsLst>
                <a:lin ang="2700000" scaled="0"/>
                <a:tileRect/>
              </a:gradFill>
              <a:effectLst>
                <a:outerShdw dist="38100" dir="2640000" algn="bl" rotWithShape="0">
                  <a:schemeClr val="accent1"/>
                </a:outerShdw>
              </a:effectLst>
            </a:rPr>
            <a:t>Sale of learning Courses Excel Dashboard</a:t>
          </a:r>
          <a:endParaRPr lang="ru-RU" sz="5400" b="1" cap="none" spc="0">
            <a:ln w="3175" cmpd="thickThin">
              <a:solidFill>
                <a:schemeClr val="tx1"/>
              </a:solidFill>
              <a:prstDash val="solid"/>
            </a:ln>
            <a:gradFill flip="none" rotWithShape="1">
              <a:gsLst>
                <a:gs pos="19000">
                  <a:srgbClr val="4ED7DE"/>
                </a:gs>
                <a:gs pos="93000">
                  <a:srgbClr val="94E496"/>
                </a:gs>
                <a:gs pos="56000">
                  <a:srgbClr val="FF00FF"/>
                </a:gs>
              </a:gsLst>
              <a:lin ang="2700000" scaled="0"/>
              <a:tileRect/>
            </a:grad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26</xdr:col>
      <xdr:colOff>229749</xdr:colOff>
      <xdr:row>1</xdr:row>
      <xdr:rowOff>133911</xdr:rowOff>
    </xdr:from>
    <xdr:to>
      <xdr:col>26</xdr:col>
      <xdr:colOff>504657</xdr:colOff>
      <xdr:row>3</xdr:row>
      <xdr:rowOff>27322</xdr:rowOff>
    </xdr:to>
    <xdr:grpSp>
      <xdr:nvGrpSpPr>
        <xdr:cNvPr id="7200" name="Группа 7199">
          <a:extLst>
            <a:ext uri="{FF2B5EF4-FFF2-40B4-BE49-F238E27FC236}">
              <a16:creationId xmlns:a16="http://schemas.microsoft.com/office/drawing/2014/main" id="{00000000-0008-0000-0100-0000201C0000}"/>
            </a:ext>
          </a:extLst>
        </xdr:cNvPr>
        <xdr:cNvGrpSpPr/>
      </xdr:nvGrpSpPr>
      <xdr:grpSpPr>
        <a:xfrm>
          <a:off x="16079349" y="1128993"/>
          <a:ext cx="274908" cy="252000"/>
          <a:chOff x="15443107" y="322169"/>
          <a:chExt cx="404060" cy="417699"/>
        </a:xfrm>
      </xdr:grpSpPr>
      <xdr:sp macro="" textlink="">
        <xdr:nvSpPr>
          <xdr:cNvPr id="7201" name="Месяц 7200">
            <a:extLst>
              <a:ext uri="{FF2B5EF4-FFF2-40B4-BE49-F238E27FC236}">
                <a16:creationId xmlns:a16="http://schemas.microsoft.com/office/drawing/2014/main" id="{00000000-0008-0000-0100-0000211C0000}"/>
              </a:ext>
            </a:extLst>
          </xdr:cNvPr>
          <xdr:cNvSpPr/>
        </xdr:nvSpPr>
        <xdr:spPr>
          <a:xfrm>
            <a:off x="15443107" y="322169"/>
            <a:ext cx="206188" cy="412376"/>
          </a:xfrm>
          <a:prstGeom prst="moon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7202" name="Звезда: 4 точки 7201">
            <a:extLst>
              <a:ext uri="{FF2B5EF4-FFF2-40B4-BE49-F238E27FC236}">
                <a16:creationId xmlns:a16="http://schemas.microsoft.com/office/drawing/2014/main" id="{00000000-0008-0000-0100-0000221C0000}"/>
              </a:ext>
            </a:extLst>
          </xdr:cNvPr>
          <xdr:cNvSpPr/>
        </xdr:nvSpPr>
        <xdr:spPr>
          <a:xfrm>
            <a:off x="15648455" y="464203"/>
            <a:ext cx="158739" cy="177333"/>
          </a:xfrm>
          <a:prstGeom prst="star4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7203" name="Звезда: 4 точки 7202">
            <a:extLst>
              <a:ext uri="{FF2B5EF4-FFF2-40B4-BE49-F238E27FC236}">
                <a16:creationId xmlns:a16="http://schemas.microsoft.com/office/drawing/2014/main" id="{00000000-0008-0000-0100-0000231C0000}"/>
              </a:ext>
            </a:extLst>
          </xdr:cNvPr>
          <xdr:cNvSpPr/>
        </xdr:nvSpPr>
        <xdr:spPr>
          <a:xfrm>
            <a:off x="15767798" y="641257"/>
            <a:ext cx="79369" cy="98611"/>
          </a:xfrm>
          <a:prstGeom prst="star4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>
    <xdr:from>
      <xdr:col>25</xdr:col>
      <xdr:colOff>456940</xdr:colOff>
      <xdr:row>1</xdr:row>
      <xdr:rowOff>133910</xdr:rowOff>
    </xdr:from>
    <xdr:to>
      <xdr:col>26</xdr:col>
      <xdr:colOff>106540</xdr:colOff>
      <xdr:row>3</xdr:row>
      <xdr:rowOff>27321</xdr:rowOff>
    </xdr:to>
    <xdr:grpSp>
      <xdr:nvGrpSpPr>
        <xdr:cNvPr id="7204" name="Группа 7203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100-0000241C0000}"/>
            </a:ext>
          </a:extLst>
        </xdr:cNvPr>
        <xdr:cNvGrpSpPr/>
      </xdr:nvGrpSpPr>
      <xdr:grpSpPr>
        <a:xfrm>
          <a:off x="15696940" y="1128992"/>
          <a:ext cx="259200" cy="252000"/>
          <a:chOff x="14630400" y="0"/>
          <a:chExt cx="1320905" cy="1291901"/>
        </a:xfrm>
        <a:effectLst/>
      </xdr:grpSpPr>
      <xdr:sp macro="" textlink="">
        <xdr:nvSpPr>
          <xdr:cNvPr id="7205" name="Полилиния: фигура 7204">
            <a:extLst>
              <a:ext uri="{FF2B5EF4-FFF2-40B4-BE49-F238E27FC236}">
                <a16:creationId xmlns:a16="http://schemas.microsoft.com/office/drawing/2014/main" id="{00000000-0008-0000-0100-0000251C0000}"/>
              </a:ext>
            </a:extLst>
          </xdr:cNvPr>
          <xdr:cNvSpPr/>
        </xdr:nvSpPr>
        <xdr:spPr>
          <a:xfrm rot="19122911">
            <a:off x="14630400" y="0"/>
            <a:ext cx="1320905" cy="1291901"/>
          </a:xfrm>
          <a:custGeom>
            <a:avLst/>
            <a:gdLst>
              <a:gd name="connsiteX0" fmla="*/ 721625 w 2541582"/>
              <a:gd name="connsiteY0" fmla="*/ 1903961 h 2517378"/>
              <a:gd name="connsiteX1" fmla="*/ 721626 w 2541582"/>
              <a:gd name="connsiteY1" fmla="*/ 2056116 h 2517378"/>
              <a:gd name="connsiteX2" fmla="*/ 721626 w 2541582"/>
              <a:gd name="connsiteY2" fmla="*/ 2056119 h 2517378"/>
              <a:gd name="connsiteX3" fmla="*/ 573702 w 2541582"/>
              <a:gd name="connsiteY3" fmla="*/ 2208278 h 2517378"/>
              <a:gd name="connsiteX4" fmla="*/ 573701 w 2541582"/>
              <a:gd name="connsiteY4" fmla="*/ 2208277 h 2517378"/>
              <a:gd name="connsiteX5" fmla="*/ 425777 w 2541582"/>
              <a:gd name="connsiteY5" fmla="*/ 2208278 h 2517378"/>
              <a:gd name="connsiteX6" fmla="*/ 425777 w 2541582"/>
              <a:gd name="connsiteY6" fmla="*/ 2056123 h 2517378"/>
              <a:gd name="connsiteX7" fmla="*/ 425777 w 2541582"/>
              <a:gd name="connsiteY7" fmla="*/ 2056120 h 2517378"/>
              <a:gd name="connsiteX8" fmla="*/ 573701 w 2541582"/>
              <a:gd name="connsiteY8" fmla="*/ 1903962 h 2517378"/>
              <a:gd name="connsiteX9" fmla="*/ 573702 w 2541582"/>
              <a:gd name="connsiteY9" fmla="*/ 1903962 h 2517378"/>
              <a:gd name="connsiteX10" fmla="*/ 519727 w 2541582"/>
              <a:gd name="connsiteY10" fmla="*/ 1624038 h 2517378"/>
              <a:gd name="connsiteX11" fmla="*/ 458680 w 2541582"/>
              <a:gd name="connsiteY11" fmla="*/ 1763409 h 2517378"/>
              <a:gd name="connsiteX12" fmla="*/ 458678 w 2541582"/>
              <a:gd name="connsiteY12" fmla="*/ 1763413 h 2517378"/>
              <a:gd name="connsiteX13" fmla="*/ 262134 w 2541582"/>
              <a:gd name="connsiteY13" fmla="*/ 1843437 h 2517378"/>
              <a:gd name="connsiteX14" fmla="*/ 262133 w 2541582"/>
              <a:gd name="connsiteY14" fmla="*/ 1843437 h 2517378"/>
              <a:gd name="connsiteX15" fmla="*/ 126637 w 2541582"/>
              <a:gd name="connsiteY15" fmla="*/ 1784087 h 2517378"/>
              <a:gd name="connsiteX16" fmla="*/ 187684 w 2541582"/>
              <a:gd name="connsiteY16" fmla="*/ 1644716 h 2517378"/>
              <a:gd name="connsiteX17" fmla="*/ 187686 w 2541582"/>
              <a:gd name="connsiteY17" fmla="*/ 1644713 h 2517378"/>
              <a:gd name="connsiteX18" fmla="*/ 384230 w 2541582"/>
              <a:gd name="connsiteY18" fmla="*/ 1564688 h 2517378"/>
              <a:gd name="connsiteX19" fmla="*/ 384231 w 2541582"/>
              <a:gd name="connsiteY19" fmla="*/ 1564689 h 2517378"/>
              <a:gd name="connsiteX20" fmla="*/ 1009078 w 2541582"/>
              <a:gd name="connsiteY20" fmla="*/ 2051827 h 2517378"/>
              <a:gd name="connsiteX21" fmla="*/ 1066442 w 2541582"/>
              <a:gd name="connsiteY21" fmla="*/ 2192754 h 2517378"/>
              <a:gd name="connsiteX22" fmla="*/ 1066444 w 2541582"/>
              <a:gd name="connsiteY22" fmla="*/ 2192757 h 2517378"/>
              <a:gd name="connsiteX23" fmla="*/ 986801 w 2541582"/>
              <a:gd name="connsiteY23" fmla="*/ 2389456 h 2517378"/>
              <a:gd name="connsiteX24" fmla="*/ 986801 w 2541582"/>
              <a:gd name="connsiteY24" fmla="*/ 2389457 h 2517378"/>
              <a:gd name="connsiteX25" fmla="*/ 849793 w 2541582"/>
              <a:gd name="connsiteY25" fmla="*/ 2445226 h 2517378"/>
              <a:gd name="connsiteX26" fmla="*/ 792428 w 2541582"/>
              <a:gd name="connsiteY26" fmla="*/ 2304299 h 2517378"/>
              <a:gd name="connsiteX27" fmla="*/ 792426 w 2541582"/>
              <a:gd name="connsiteY27" fmla="*/ 2304296 h 2517378"/>
              <a:gd name="connsiteX28" fmla="*/ 872069 w 2541582"/>
              <a:gd name="connsiteY28" fmla="*/ 2107597 h 2517378"/>
              <a:gd name="connsiteX29" fmla="*/ 872070 w 2541582"/>
              <a:gd name="connsiteY29" fmla="*/ 2107597 h 2517378"/>
              <a:gd name="connsiteX30" fmla="*/ 1307640 w 2541582"/>
              <a:gd name="connsiteY30" fmla="*/ 2093057 h 2517378"/>
              <a:gd name="connsiteX31" fmla="*/ 1411294 w 2541582"/>
              <a:gd name="connsiteY31" fmla="*/ 2204442 h 2517378"/>
              <a:gd name="connsiteX32" fmla="*/ 1411296 w 2541582"/>
              <a:gd name="connsiteY32" fmla="*/ 2204445 h 2517378"/>
              <a:gd name="connsiteX33" fmla="*/ 1406663 w 2541582"/>
              <a:gd name="connsiteY33" fmla="*/ 2416606 h 2517378"/>
              <a:gd name="connsiteX34" fmla="*/ 1406663 w 2541582"/>
              <a:gd name="connsiteY34" fmla="*/ 2416606 h 2517378"/>
              <a:gd name="connsiteX35" fmla="*/ 1298374 w 2541582"/>
              <a:gd name="connsiteY35" fmla="*/ 2517378 h 2517378"/>
              <a:gd name="connsiteX36" fmla="*/ 1194720 w 2541582"/>
              <a:gd name="connsiteY36" fmla="*/ 2405992 h 2517378"/>
              <a:gd name="connsiteX37" fmla="*/ 1194718 w 2541582"/>
              <a:gd name="connsiteY37" fmla="*/ 2405989 h 2517378"/>
              <a:gd name="connsiteX38" fmla="*/ 1199351 w 2541582"/>
              <a:gd name="connsiteY38" fmla="*/ 2193829 h 2517378"/>
              <a:gd name="connsiteX39" fmla="*/ 1199351 w 2541582"/>
              <a:gd name="connsiteY39" fmla="*/ 2193828 h 2517378"/>
              <a:gd name="connsiteX40" fmla="*/ 323549 w 2541582"/>
              <a:gd name="connsiteY40" fmla="*/ 1188033 h 2517378"/>
              <a:gd name="connsiteX41" fmla="*/ 323549 w 2541582"/>
              <a:gd name="connsiteY41" fmla="*/ 1188033 h 2517378"/>
              <a:gd name="connsiteX42" fmla="*/ 424321 w 2541582"/>
              <a:gd name="connsiteY42" fmla="*/ 1296322 h 2517378"/>
              <a:gd name="connsiteX43" fmla="*/ 312935 w 2541582"/>
              <a:gd name="connsiteY43" fmla="*/ 1399976 h 2517378"/>
              <a:gd name="connsiteX44" fmla="*/ 312933 w 2541582"/>
              <a:gd name="connsiteY44" fmla="*/ 1399979 h 2517378"/>
              <a:gd name="connsiteX45" fmla="*/ 100772 w 2541582"/>
              <a:gd name="connsiteY45" fmla="*/ 1395346 h 2517378"/>
              <a:gd name="connsiteX46" fmla="*/ 100771 w 2541582"/>
              <a:gd name="connsiteY46" fmla="*/ 1395345 h 2517378"/>
              <a:gd name="connsiteX47" fmla="*/ 0 w 2541582"/>
              <a:gd name="connsiteY47" fmla="*/ 1287056 h 2517378"/>
              <a:gd name="connsiteX48" fmla="*/ 111385 w 2541582"/>
              <a:gd name="connsiteY48" fmla="*/ 1183403 h 2517378"/>
              <a:gd name="connsiteX49" fmla="*/ 111388 w 2541582"/>
              <a:gd name="connsiteY49" fmla="*/ 1183400 h 2517378"/>
              <a:gd name="connsiteX50" fmla="*/ 323549 w 2541582"/>
              <a:gd name="connsiteY50" fmla="*/ 1188033 h 2517378"/>
              <a:gd name="connsiteX51" fmla="*/ 1826146 w 2541582"/>
              <a:gd name="connsiteY51" fmla="*/ 2118023 h 2517378"/>
              <a:gd name="connsiteX52" fmla="*/ 1856583 w 2541582"/>
              <a:gd name="connsiteY52" fmla="*/ 2280157 h 2517378"/>
              <a:gd name="connsiteX53" fmla="*/ 1856583 w 2541582"/>
              <a:gd name="connsiteY53" fmla="*/ 2280157 h 2517378"/>
              <a:gd name="connsiteX54" fmla="*/ 1797234 w 2541582"/>
              <a:gd name="connsiteY54" fmla="*/ 2415653 h 2517378"/>
              <a:gd name="connsiteX55" fmla="*/ 1657863 w 2541582"/>
              <a:gd name="connsiteY55" fmla="*/ 2354606 h 2517378"/>
              <a:gd name="connsiteX56" fmla="*/ 1657859 w 2541582"/>
              <a:gd name="connsiteY56" fmla="*/ 2354605 h 2517378"/>
              <a:gd name="connsiteX57" fmla="*/ 1577835 w 2541582"/>
              <a:gd name="connsiteY57" fmla="*/ 2158060 h 2517378"/>
              <a:gd name="connsiteX58" fmla="*/ 1577835 w 2541582"/>
              <a:gd name="connsiteY58" fmla="*/ 2158060 h 2517378"/>
              <a:gd name="connsiteX59" fmla="*/ 1637185 w 2541582"/>
              <a:gd name="connsiteY59" fmla="*/ 2022564 h 2517378"/>
              <a:gd name="connsiteX60" fmla="*/ 1776555 w 2541582"/>
              <a:gd name="connsiteY60" fmla="*/ 2083611 h 2517378"/>
              <a:gd name="connsiteX61" fmla="*/ 1776559 w 2541582"/>
              <a:gd name="connsiteY61" fmla="*/ 2083612 h 2517378"/>
              <a:gd name="connsiteX62" fmla="*/ 1826146 w 2541582"/>
              <a:gd name="connsiteY62" fmla="*/ 2118023 h 2517378"/>
              <a:gd name="connsiteX63" fmla="*/ 377553 w 2541582"/>
              <a:gd name="connsiteY63" fmla="*/ 807593 h 2517378"/>
              <a:gd name="connsiteX64" fmla="*/ 410335 w 2541582"/>
              <a:gd name="connsiteY64" fmla="*/ 856415 h 2517378"/>
              <a:gd name="connsiteX65" fmla="*/ 410336 w 2541582"/>
              <a:gd name="connsiteY65" fmla="*/ 856415 h 2517378"/>
              <a:gd name="connsiteX66" fmla="*/ 466105 w 2541582"/>
              <a:gd name="connsiteY66" fmla="*/ 993423 h 2517378"/>
              <a:gd name="connsiteX67" fmla="*/ 325178 w 2541582"/>
              <a:gd name="connsiteY67" fmla="*/ 1050787 h 2517378"/>
              <a:gd name="connsiteX68" fmla="*/ 325175 w 2541582"/>
              <a:gd name="connsiteY68" fmla="*/ 1050789 h 2517378"/>
              <a:gd name="connsiteX69" fmla="*/ 128476 w 2541582"/>
              <a:gd name="connsiteY69" fmla="*/ 971146 h 2517378"/>
              <a:gd name="connsiteX70" fmla="*/ 128476 w 2541582"/>
              <a:gd name="connsiteY70" fmla="*/ 971146 h 2517378"/>
              <a:gd name="connsiteX71" fmla="*/ 72706 w 2541582"/>
              <a:gd name="connsiteY71" fmla="*/ 834138 h 2517378"/>
              <a:gd name="connsiteX72" fmla="*/ 213633 w 2541582"/>
              <a:gd name="connsiteY72" fmla="*/ 776773 h 2517378"/>
              <a:gd name="connsiteX73" fmla="*/ 213636 w 2541582"/>
              <a:gd name="connsiteY73" fmla="*/ 776772 h 2517378"/>
              <a:gd name="connsiteX74" fmla="*/ 377553 w 2541582"/>
              <a:gd name="connsiteY74" fmla="*/ 807593 h 2517378"/>
              <a:gd name="connsiteX75" fmla="*/ 2166386 w 2541582"/>
              <a:gd name="connsiteY75" fmla="*/ 1843414 h 2517378"/>
              <a:gd name="connsiteX76" fmla="*/ 2210952 w 2541582"/>
              <a:gd name="connsiteY76" fmla="*/ 1948012 h 2517378"/>
              <a:gd name="connsiteX77" fmla="*/ 2210952 w 2541582"/>
              <a:gd name="connsiteY77" fmla="*/ 1948012 h 2517378"/>
              <a:gd name="connsiteX78" fmla="*/ 2210952 w 2541582"/>
              <a:gd name="connsiteY78" fmla="*/ 2095936 h 2517378"/>
              <a:gd name="connsiteX79" fmla="*/ 2058798 w 2541582"/>
              <a:gd name="connsiteY79" fmla="*/ 2095936 h 2517378"/>
              <a:gd name="connsiteX80" fmla="*/ 2058794 w 2541582"/>
              <a:gd name="connsiteY80" fmla="*/ 2095937 h 2517378"/>
              <a:gd name="connsiteX81" fmla="*/ 1906636 w 2541582"/>
              <a:gd name="connsiteY81" fmla="*/ 1948012 h 2517378"/>
              <a:gd name="connsiteX82" fmla="*/ 1906636 w 2541582"/>
              <a:gd name="connsiteY82" fmla="*/ 1948012 h 2517378"/>
              <a:gd name="connsiteX83" fmla="*/ 1906636 w 2541582"/>
              <a:gd name="connsiteY83" fmla="*/ 1800088 h 2517378"/>
              <a:gd name="connsiteX84" fmla="*/ 2058790 w 2541582"/>
              <a:gd name="connsiteY84" fmla="*/ 1800088 h 2517378"/>
              <a:gd name="connsiteX85" fmla="*/ 2058794 w 2541582"/>
              <a:gd name="connsiteY85" fmla="*/ 1800088 h 2517378"/>
              <a:gd name="connsiteX86" fmla="*/ 2166386 w 2541582"/>
              <a:gd name="connsiteY86" fmla="*/ 1843414 h 2517378"/>
              <a:gd name="connsiteX87" fmla="*/ 592924 w 2541582"/>
              <a:gd name="connsiteY87" fmla="*/ 461833 h 2517378"/>
              <a:gd name="connsiteX88" fmla="*/ 637491 w 2541582"/>
              <a:gd name="connsiteY88" fmla="*/ 566431 h 2517378"/>
              <a:gd name="connsiteX89" fmla="*/ 637490 w 2541582"/>
              <a:gd name="connsiteY89" fmla="*/ 566431 h 2517378"/>
              <a:gd name="connsiteX90" fmla="*/ 637490 w 2541582"/>
              <a:gd name="connsiteY90" fmla="*/ 714355 h 2517378"/>
              <a:gd name="connsiteX91" fmla="*/ 485336 w 2541582"/>
              <a:gd name="connsiteY91" fmla="*/ 714355 h 2517378"/>
              <a:gd name="connsiteX92" fmla="*/ 485333 w 2541582"/>
              <a:gd name="connsiteY92" fmla="*/ 714356 h 2517378"/>
              <a:gd name="connsiteX93" fmla="*/ 333174 w 2541582"/>
              <a:gd name="connsiteY93" fmla="*/ 566431 h 2517378"/>
              <a:gd name="connsiteX94" fmla="*/ 333175 w 2541582"/>
              <a:gd name="connsiteY94" fmla="*/ 566431 h 2517378"/>
              <a:gd name="connsiteX95" fmla="*/ 333175 w 2541582"/>
              <a:gd name="connsiteY95" fmla="*/ 418507 h 2517378"/>
              <a:gd name="connsiteX96" fmla="*/ 485329 w 2541582"/>
              <a:gd name="connsiteY96" fmla="*/ 418507 h 2517378"/>
              <a:gd name="connsiteX97" fmla="*/ 485333 w 2541582"/>
              <a:gd name="connsiteY97" fmla="*/ 418507 h 2517378"/>
              <a:gd name="connsiteX98" fmla="*/ 592924 w 2541582"/>
              <a:gd name="connsiteY98" fmla="*/ 461833 h 2517378"/>
              <a:gd name="connsiteX99" fmla="*/ 2378656 w 2541582"/>
              <a:gd name="connsiteY99" fmla="*/ 1501946 h 2517378"/>
              <a:gd name="connsiteX100" fmla="*/ 2411439 w 2541582"/>
              <a:gd name="connsiteY100" fmla="*/ 1550768 h 2517378"/>
              <a:gd name="connsiteX101" fmla="*/ 2411439 w 2541582"/>
              <a:gd name="connsiteY101" fmla="*/ 1550768 h 2517378"/>
              <a:gd name="connsiteX102" fmla="*/ 2467208 w 2541582"/>
              <a:gd name="connsiteY102" fmla="*/ 1687776 h 2517378"/>
              <a:gd name="connsiteX103" fmla="*/ 2326282 w 2541582"/>
              <a:gd name="connsiteY103" fmla="*/ 1745141 h 2517378"/>
              <a:gd name="connsiteX104" fmla="*/ 2326278 w 2541582"/>
              <a:gd name="connsiteY104" fmla="*/ 1745142 h 2517378"/>
              <a:gd name="connsiteX105" fmla="*/ 2129579 w 2541582"/>
              <a:gd name="connsiteY105" fmla="*/ 1665499 h 2517378"/>
              <a:gd name="connsiteX106" fmla="*/ 2129579 w 2541582"/>
              <a:gd name="connsiteY106" fmla="*/ 1665499 h 2517378"/>
              <a:gd name="connsiteX107" fmla="*/ 2073809 w 2541582"/>
              <a:gd name="connsiteY107" fmla="*/ 1528491 h 2517378"/>
              <a:gd name="connsiteX108" fmla="*/ 2214736 w 2541582"/>
              <a:gd name="connsiteY108" fmla="*/ 1471127 h 2517378"/>
              <a:gd name="connsiteX109" fmla="*/ 2214739 w 2541582"/>
              <a:gd name="connsiteY109" fmla="*/ 1471125 h 2517378"/>
              <a:gd name="connsiteX110" fmla="*/ 2378656 w 2541582"/>
              <a:gd name="connsiteY110" fmla="*/ 1501946 h 2517378"/>
              <a:gd name="connsiteX111" fmla="*/ 928939 w 2541582"/>
              <a:gd name="connsiteY111" fmla="*/ 199283 h 2517378"/>
              <a:gd name="connsiteX112" fmla="*/ 959377 w 2541582"/>
              <a:gd name="connsiteY112" fmla="*/ 361416 h 2517378"/>
              <a:gd name="connsiteX113" fmla="*/ 959376 w 2541582"/>
              <a:gd name="connsiteY113" fmla="*/ 361417 h 2517378"/>
              <a:gd name="connsiteX114" fmla="*/ 900027 w 2541582"/>
              <a:gd name="connsiteY114" fmla="*/ 496913 h 2517378"/>
              <a:gd name="connsiteX115" fmla="*/ 760656 w 2541582"/>
              <a:gd name="connsiteY115" fmla="*/ 435866 h 2517378"/>
              <a:gd name="connsiteX116" fmla="*/ 760652 w 2541582"/>
              <a:gd name="connsiteY116" fmla="*/ 435865 h 2517378"/>
              <a:gd name="connsiteX117" fmla="*/ 680628 w 2541582"/>
              <a:gd name="connsiteY117" fmla="*/ 239320 h 2517378"/>
              <a:gd name="connsiteX118" fmla="*/ 680628 w 2541582"/>
              <a:gd name="connsiteY118" fmla="*/ 239320 h 2517378"/>
              <a:gd name="connsiteX119" fmla="*/ 739978 w 2541582"/>
              <a:gd name="connsiteY119" fmla="*/ 103824 h 2517378"/>
              <a:gd name="connsiteX120" fmla="*/ 879349 w 2541582"/>
              <a:gd name="connsiteY120" fmla="*/ 164871 h 2517378"/>
              <a:gd name="connsiteX121" fmla="*/ 879352 w 2541582"/>
              <a:gd name="connsiteY121" fmla="*/ 164872 h 2517378"/>
              <a:gd name="connsiteX122" fmla="*/ 928939 w 2541582"/>
              <a:gd name="connsiteY122" fmla="*/ 199283 h 2517378"/>
              <a:gd name="connsiteX123" fmla="*/ 2440810 w 2541582"/>
              <a:gd name="connsiteY123" fmla="*/ 1126826 h 2517378"/>
              <a:gd name="connsiteX124" fmla="*/ 2440811 w 2541582"/>
              <a:gd name="connsiteY124" fmla="*/ 1126826 h 2517378"/>
              <a:gd name="connsiteX125" fmla="*/ 2541582 w 2541582"/>
              <a:gd name="connsiteY125" fmla="*/ 1235115 h 2517378"/>
              <a:gd name="connsiteX126" fmla="*/ 2430197 w 2541582"/>
              <a:gd name="connsiteY126" fmla="*/ 1338769 h 2517378"/>
              <a:gd name="connsiteX127" fmla="*/ 2430194 w 2541582"/>
              <a:gd name="connsiteY127" fmla="*/ 1338772 h 2517378"/>
              <a:gd name="connsiteX128" fmla="*/ 2218033 w 2541582"/>
              <a:gd name="connsiteY128" fmla="*/ 1334138 h 2517378"/>
              <a:gd name="connsiteX129" fmla="*/ 2218033 w 2541582"/>
              <a:gd name="connsiteY129" fmla="*/ 1334138 h 2517378"/>
              <a:gd name="connsiteX130" fmla="*/ 2117261 w 2541582"/>
              <a:gd name="connsiteY130" fmla="*/ 1225849 h 2517378"/>
              <a:gd name="connsiteX131" fmla="*/ 2228647 w 2541582"/>
              <a:gd name="connsiteY131" fmla="*/ 1122195 h 2517378"/>
              <a:gd name="connsiteX132" fmla="*/ 2228649 w 2541582"/>
              <a:gd name="connsiteY132" fmla="*/ 1122192 h 2517378"/>
              <a:gd name="connsiteX133" fmla="*/ 2440810 w 2541582"/>
              <a:gd name="connsiteY133" fmla="*/ 1126826 h 2517378"/>
              <a:gd name="connsiteX134" fmla="*/ 1247133 w 2541582"/>
              <a:gd name="connsiteY134" fmla="*/ 0 h 2517378"/>
              <a:gd name="connsiteX135" fmla="*/ 1350787 w 2541582"/>
              <a:gd name="connsiteY135" fmla="*/ 111386 h 2517378"/>
              <a:gd name="connsiteX136" fmla="*/ 1350790 w 2541582"/>
              <a:gd name="connsiteY136" fmla="*/ 111388 h 2517378"/>
              <a:gd name="connsiteX137" fmla="*/ 1346157 w 2541582"/>
              <a:gd name="connsiteY137" fmla="*/ 323549 h 2517378"/>
              <a:gd name="connsiteX138" fmla="*/ 1346157 w 2541582"/>
              <a:gd name="connsiteY138" fmla="*/ 323550 h 2517378"/>
              <a:gd name="connsiteX139" fmla="*/ 1237868 w 2541582"/>
              <a:gd name="connsiteY139" fmla="*/ 424321 h 2517378"/>
              <a:gd name="connsiteX140" fmla="*/ 1134214 w 2541582"/>
              <a:gd name="connsiteY140" fmla="*/ 312935 h 2517378"/>
              <a:gd name="connsiteX141" fmla="*/ 1134211 w 2541582"/>
              <a:gd name="connsiteY141" fmla="*/ 312933 h 2517378"/>
              <a:gd name="connsiteX142" fmla="*/ 1138844 w 2541582"/>
              <a:gd name="connsiteY142" fmla="*/ 100772 h 2517378"/>
              <a:gd name="connsiteX143" fmla="*/ 1138844 w 2541582"/>
              <a:gd name="connsiteY143" fmla="*/ 100772 h 2517378"/>
              <a:gd name="connsiteX144" fmla="*/ 2416531 w 2541582"/>
              <a:gd name="connsiteY144" fmla="*/ 737089 h 2517378"/>
              <a:gd name="connsiteX145" fmla="*/ 2355484 w 2541582"/>
              <a:gd name="connsiteY145" fmla="*/ 876459 h 2517378"/>
              <a:gd name="connsiteX146" fmla="*/ 2355483 w 2541582"/>
              <a:gd name="connsiteY146" fmla="*/ 876463 h 2517378"/>
              <a:gd name="connsiteX147" fmla="*/ 2158938 w 2541582"/>
              <a:gd name="connsiteY147" fmla="*/ 956487 h 2517378"/>
              <a:gd name="connsiteX148" fmla="*/ 2158938 w 2541582"/>
              <a:gd name="connsiteY148" fmla="*/ 956487 h 2517378"/>
              <a:gd name="connsiteX149" fmla="*/ 2023442 w 2541582"/>
              <a:gd name="connsiteY149" fmla="*/ 897137 h 2517378"/>
              <a:gd name="connsiteX150" fmla="*/ 2084489 w 2541582"/>
              <a:gd name="connsiteY150" fmla="*/ 757767 h 2517378"/>
              <a:gd name="connsiteX151" fmla="*/ 2084490 w 2541582"/>
              <a:gd name="connsiteY151" fmla="*/ 757763 h 2517378"/>
              <a:gd name="connsiteX152" fmla="*/ 2281035 w 2541582"/>
              <a:gd name="connsiteY152" fmla="*/ 677739 h 2517378"/>
              <a:gd name="connsiteX153" fmla="*/ 2281035 w 2541582"/>
              <a:gd name="connsiteY153" fmla="*/ 677739 h 2517378"/>
              <a:gd name="connsiteX154" fmla="*/ 1695493 w 2541582"/>
              <a:gd name="connsiteY154" fmla="*/ 73601 h 2517378"/>
              <a:gd name="connsiteX155" fmla="*/ 1752857 w 2541582"/>
              <a:gd name="connsiteY155" fmla="*/ 214527 h 2517378"/>
              <a:gd name="connsiteX156" fmla="*/ 1752859 w 2541582"/>
              <a:gd name="connsiteY156" fmla="*/ 214531 h 2517378"/>
              <a:gd name="connsiteX157" fmla="*/ 1673216 w 2541582"/>
              <a:gd name="connsiteY157" fmla="*/ 411230 h 2517378"/>
              <a:gd name="connsiteX158" fmla="*/ 1673216 w 2541582"/>
              <a:gd name="connsiteY158" fmla="*/ 411230 h 2517378"/>
              <a:gd name="connsiteX159" fmla="*/ 1536207 w 2541582"/>
              <a:gd name="connsiteY159" fmla="*/ 466999 h 2517378"/>
              <a:gd name="connsiteX160" fmla="*/ 1478843 w 2541582"/>
              <a:gd name="connsiteY160" fmla="*/ 326073 h 2517378"/>
              <a:gd name="connsiteX161" fmla="*/ 1478841 w 2541582"/>
              <a:gd name="connsiteY161" fmla="*/ 326069 h 2517378"/>
              <a:gd name="connsiteX162" fmla="*/ 1558484 w 2541582"/>
              <a:gd name="connsiteY162" fmla="*/ 129370 h 2517378"/>
              <a:gd name="connsiteX163" fmla="*/ 1558485 w 2541582"/>
              <a:gd name="connsiteY163" fmla="*/ 129370 h 2517378"/>
              <a:gd name="connsiteX164" fmla="*/ 2119183 w 2541582"/>
              <a:gd name="connsiteY164" fmla="*/ 312304 h 2517378"/>
              <a:gd name="connsiteX165" fmla="*/ 2119184 w 2541582"/>
              <a:gd name="connsiteY165" fmla="*/ 464458 h 2517378"/>
              <a:gd name="connsiteX166" fmla="*/ 2119184 w 2541582"/>
              <a:gd name="connsiteY166" fmla="*/ 464462 h 2517378"/>
              <a:gd name="connsiteX167" fmla="*/ 1971260 w 2541582"/>
              <a:gd name="connsiteY167" fmla="*/ 616620 h 2517378"/>
              <a:gd name="connsiteX168" fmla="*/ 1971259 w 2541582"/>
              <a:gd name="connsiteY168" fmla="*/ 616620 h 2517378"/>
              <a:gd name="connsiteX169" fmla="*/ 1823335 w 2541582"/>
              <a:gd name="connsiteY169" fmla="*/ 616620 h 2517378"/>
              <a:gd name="connsiteX170" fmla="*/ 1823335 w 2541582"/>
              <a:gd name="connsiteY170" fmla="*/ 464466 h 2517378"/>
              <a:gd name="connsiteX171" fmla="*/ 1823335 w 2541582"/>
              <a:gd name="connsiteY171" fmla="*/ 464462 h 2517378"/>
              <a:gd name="connsiteX172" fmla="*/ 1971259 w 2541582"/>
              <a:gd name="connsiteY172" fmla="*/ 312304 h 2517378"/>
              <a:gd name="connsiteX173" fmla="*/ 1971260 w 2541582"/>
              <a:gd name="connsiteY173" fmla="*/ 312304 h 25173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</a:cxnLst>
            <a:rect l="l" t="t" r="r" b="b"/>
            <a:pathLst>
              <a:path w="2541582" h="2517378">
                <a:moveTo>
                  <a:pt x="721625" y="1903961"/>
                </a:moveTo>
                <a:lnTo>
                  <a:pt x="721626" y="2056116"/>
                </a:lnTo>
                <a:lnTo>
                  <a:pt x="721626" y="2056119"/>
                </a:lnTo>
                <a:cubicBezTo>
                  <a:pt x="721626" y="2140154"/>
                  <a:pt x="655398" y="2208277"/>
                  <a:pt x="573702" y="2208278"/>
                </a:cubicBezTo>
                <a:lnTo>
                  <a:pt x="573701" y="2208277"/>
                </a:lnTo>
                <a:lnTo>
                  <a:pt x="425777" y="2208278"/>
                </a:lnTo>
                <a:lnTo>
                  <a:pt x="425777" y="2056123"/>
                </a:lnTo>
                <a:lnTo>
                  <a:pt x="425777" y="2056120"/>
                </a:lnTo>
                <a:cubicBezTo>
                  <a:pt x="425777" y="1972085"/>
                  <a:pt x="492005" y="1903962"/>
                  <a:pt x="573701" y="1903962"/>
                </a:cubicBezTo>
                <a:lnTo>
                  <a:pt x="573702" y="1903962"/>
                </a:lnTo>
                <a:close/>
                <a:moveTo>
                  <a:pt x="519727" y="1624038"/>
                </a:moveTo>
                <a:lnTo>
                  <a:pt x="458680" y="1763409"/>
                </a:lnTo>
                <a:lnTo>
                  <a:pt x="458678" y="1763413"/>
                </a:lnTo>
                <a:cubicBezTo>
                  <a:pt x="424962" y="1840387"/>
                  <a:pt x="336966" y="1876215"/>
                  <a:pt x="262134" y="1843437"/>
                </a:cubicBezTo>
                <a:lnTo>
                  <a:pt x="262133" y="1843437"/>
                </a:lnTo>
                <a:lnTo>
                  <a:pt x="126637" y="1784087"/>
                </a:lnTo>
                <a:lnTo>
                  <a:pt x="187684" y="1644716"/>
                </a:lnTo>
                <a:lnTo>
                  <a:pt x="187686" y="1644713"/>
                </a:lnTo>
                <a:cubicBezTo>
                  <a:pt x="221402" y="1567739"/>
                  <a:pt x="309398" y="1531910"/>
                  <a:pt x="384230" y="1564688"/>
                </a:cubicBezTo>
                <a:lnTo>
                  <a:pt x="384231" y="1564689"/>
                </a:lnTo>
                <a:close/>
                <a:moveTo>
                  <a:pt x="1009078" y="2051827"/>
                </a:moveTo>
                <a:lnTo>
                  <a:pt x="1066442" y="2192754"/>
                </a:lnTo>
                <a:lnTo>
                  <a:pt x="1066444" y="2192757"/>
                </a:lnTo>
                <a:cubicBezTo>
                  <a:pt x="1098126" y="2270591"/>
                  <a:pt x="1062469" y="2358656"/>
                  <a:pt x="986801" y="2389456"/>
                </a:cubicBezTo>
                <a:lnTo>
                  <a:pt x="986801" y="2389457"/>
                </a:lnTo>
                <a:lnTo>
                  <a:pt x="849793" y="2445226"/>
                </a:lnTo>
                <a:lnTo>
                  <a:pt x="792428" y="2304299"/>
                </a:lnTo>
                <a:lnTo>
                  <a:pt x="792426" y="2304296"/>
                </a:lnTo>
                <a:cubicBezTo>
                  <a:pt x="760744" y="2226462"/>
                  <a:pt x="796402" y="2138397"/>
                  <a:pt x="872069" y="2107597"/>
                </a:cubicBezTo>
                <a:lnTo>
                  <a:pt x="872070" y="2107597"/>
                </a:lnTo>
                <a:close/>
                <a:moveTo>
                  <a:pt x="1307640" y="2093057"/>
                </a:moveTo>
                <a:lnTo>
                  <a:pt x="1411294" y="2204442"/>
                </a:lnTo>
                <a:lnTo>
                  <a:pt x="1411296" y="2204445"/>
                </a:lnTo>
                <a:cubicBezTo>
                  <a:pt x="1468544" y="2265963"/>
                  <a:pt x="1466470" y="2360951"/>
                  <a:pt x="1406663" y="2416606"/>
                </a:cubicBezTo>
                <a:lnTo>
                  <a:pt x="1406663" y="2416606"/>
                </a:lnTo>
                <a:lnTo>
                  <a:pt x="1298374" y="2517378"/>
                </a:lnTo>
                <a:lnTo>
                  <a:pt x="1194720" y="2405992"/>
                </a:lnTo>
                <a:lnTo>
                  <a:pt x="1194718" y="2405989"/>
                </a:lnTo>
                <a:cubicBezTo>
                  <a:pt x="1137470" y="2344471"/>
                  <a:pt x="1139544" y="2249484"/>
                  <a:pt x="1199351" y="2193829"/>
                </a:cubicBezTo>
                <a:lnTo>
                  <a:pt x="1199351" y="2193828"/>
                </a:lnTo>
                <a:close/>
                <a:moveTo>
                  <a:pt x="323549" y="1188033"/>
                </a:moveTo>
                <a:lnTo>
                  <a:pt x="323549" y="1188033"/>
                </a:lnTo>
                <a:lnTo>
                  <a:pt x="424321" y="1296322"/>
                </a:lnTo>
                <a:lnTo>
                  <a:pt x="312935" y="1399976"/>
                </a:lnTo>
                <a:lnTo>
                  <a:pt x="312933" y="1399979"/>
                </a:lnTo>
                <a:cubicBezTo>
                  <a:pt x="251414" y="1457227"/>
                  <a:pt x="156427" y="1455152"/>
                  <a:pt x="100772" y="1395346"/>
                </a:cubicBezTo>
                <a:lnTo>
                  <a:pt x="100771" y="1395345"/>
                </a:lnTo>
                <a:lnTo>
                  <a:pt x="0" y="1287056"/>
                </a:lnTo>
                <a:lnTo>
                  <a:pt x="111385" y="1183403"/>
                </a:lnTo>
                <a:lnTo>
                  <a:pt x="111388" y="1183400"/>
                </a:lnTo>
                <a:cubicBezTo>
                  <a:pt x="172906" y="1126152"/>
                  <a:pt x="267894" y="1128226"/>
                  <a:pt x="323549" y="1188033"/>
                </a:cubicBezTo>
                <a:close/>
                <a:moveTo>
                  <a:pt x="1826146" y="2118023"/>
                </a:moveTo>
                <a:cubicBezTo>
                  <a:pt x="1867160" y="2160504"/>
                  <a:pt x="1881167" y="2224032"/>
                  <a:pt x="1856583" y="2280157"/>
                </a:cubicBezTo>
                <a:lnTo>
                  <a:pt x="1856583" y="2280157"/>
                </a:lnTo>
                <a:lnTo>
                  <a:pt x="1797234" y="2415653"/>
                </a:lnTo>
                <a:lnTo>
                  <a:pt x="1657863" y="2354606"/>
                </a:lnTo>
                <a:lnTo>
                  <a:pt x="1657859" y="2354605"/>
                </a:lnTo>
                <a:cubicBezTo>
                  <a:pt x="1580885" y="2320889"/>
                  <a:pt x="1545057" y="2232893"/>
                  <a:pt x="1577835" y="2158060"/>
                </a:cubicBezTo>
                <a:lnTo>
                  <a:pt x="1577835" y="2158060"/>
                </a:lnTo>
                <a:lnTo>
                  <a:pt x="1637185" y="2022564"/>
                </a:lnTo>
                <a:lnTo>
                  <a:pt x="1776555" y="2083611"/>
                </a:lnTo>
                <a:lnTo>
                  <a:pt x="1776559" y="2083612"/>
                </a:lnTo>
                <a:cubicBezTo>
                  <a:pt x="1795803" y="2092041"/>
                  <a:pt x="1812474" y="2103863"/>
                  <a:pt x="1826146" y="2118023"/>
                </a:cubicBezTo>
                <a:close/>
                <a:moveTo>
                  <a:pt x="377553" y="807593"/>
                </a:moveTo>
                <a:cubicBezTo>
                  <a:pt x="391356" y="821081"/>
                  <a:pt x="402635" y="837498"/>
                  <a:pt x="410335" y="856415"/>
                </a:cubicBezTo>
                <a:lnTo>
                  <a:pt x="410336" y="856415"/>
                </a:lnTo>
                <a:lnTo>
                  <a:pt x="466105" y="993423"/>
                </a:lnTo>
                <a:lnTo>
                  <a:pt x="325178" y="1050787"/>
                </a:lnTo>
                <a:lnTo>
                  <a:pt x="325175" y="1050789"/>
                </a:lnTo>
                <a:cubicBezTo>
                  <a:pt x="247342" y="1082471"/>
                  <a:pt x="159276" y="1046814"/>
                  <a:pt x="128476" y="971146"/>
                </a:cubicBezTo>
                <a:lnTo>
                  <a:pt x="128476" y="971146"/>
                </a:lnTo>
                <a:lnTo>
                  <a:pt x="72706" y="834138"/>
                </a:lnTo>
                <a:lnTo>
                  <a:pt x="213633" y="776773"/>
                </a:lnTo>
                <a:lnTo>
                  <a:pt x="213636" y="776772"/>
                </a:lnTo>
                <a:cubicBezTo>
                  <a:pt x="272011" y="753010"/>
                  <a:pt x="336142" y="767127"/>
                  <a:pt x="377553" y="807593"/>
                </a:cubicBezTo>
                <a:close/>
                <a:moveTo>
                  <a:pt x="2166386" y="1843414"/>
                </a:moveTo>
                <a:cubicBezTo>
                  <a:pt x="2193921" y="1870183"/>
                  <a:pt x="2210952" y="1907164"/>
                  <a:pt x="2210952" y="1948012"/>
                </a:cubicBezTo>
                <a:lnTo>
                  <a:pt x="2210952" y="1948012"/>
                </a:lnTo>
                <a:lnTo>
                  <a:pt x="2210952" y="2095936"/>
                </a:lnTo>
                <a:lnTo>
                  <a:pt x="2058798" y="2095936"/>
                </a:lnTo>
                <a:lnTo>
                  <a:pt x="2058794" y="2095937"/>
                </a:lnTo>
                <a:cubicBezTo>
                  <a:pt x="1974759" y="2095937"/>
                  <a:pt x="1906636" y="2029709"/>
                  <a:pt x="1906636" y="1948012"/>
                </a:cubicBezTo>
                <a:lnTo>
                  <a:pt x="1906636" y="1948012"/>
                </a:lnTo>
                <a:lnTo>
                  <a:pt x="1906636" y="1800088"/>
                </a:lnTo>
                <a:lnTo>
                  <a:pt x="2058790" y="1800088"/>
                </a:lnTo>
                <a:lnTo>
                  <a:pt x="2058794" y="1800088"/>
                </a:lnTo>
                <a:cubicBezTo>
                  <a:pt x="2100811" y="1800088"/>
                  <a:pt x="2138851" y="1816645"/>
                  <a:pt x="2166386" y="1843414"/>
                </a:cubicBezTo>
                <a:close/>
                <a:moveTo>
                  <a:pt x="592924" y="461833"/>
                </a:moveTo>
                <a:cubicBezTo>
                  <a:pt x="620460" y="488602"/>
                  <a:pt x="637491" y="525583"/>
                  <a:pt x="637491" y="566431"/>
                </a:cubicBezTo>
                <a:lnTo>
                  <a:pt x="637490" y="566431"/>
                </a:lnTo>
                <a:lnTo>
                  <a:pt x="637490" y="714355"/>
                </a:lnTo>
                <a:lnTo>
                  <a:pt x="485336" y="714355"/>
                </a:lnTo>
                <a:lnTo>
                  <a:pt x="485333" y="714356"/>
                </a:lnTo>
                <a:cubicBezTo>
                  <a:pt x="401298" y="714356"/>
                  <a:pt x="333174" y="648128"/>
                  <a:pt x="333174" y="566431"/>
                </a:cubicBezTo>
                <a:lnTo>
                  <a:pt x="333175" y="566431"/>
                </a:lnTo>
                <a:lnTo>
                  <a:pt x="333175" y="418507"/>
                </a:lnTo>
                <a:lnTo>
                  <a:pt x="485329" y="418507"/>
                </a:lnTo>
                <a:lnTo>
                  <a:pt x="485333" y="418507"/>
                </a:lnTo>
                <a:cubicBezTo>
                  <a:pt x="527350" y="418507"/>
                  <a:pt x="565389" y="435064"/>
                  <a:pt x="592924" y="461833"/>
                </a:cubicBezTo>
                <a:close/>
                <a:moveTo>
                  <a:pt x="2378656" y="1501946"/>
                </a:moveTo>
                <a:cubicBezTo>
                  <a:pt x="2392459" y="1515435"/>
                  <a:pt x="2403738" y="1531851"/>
                  <a:pt x="2411439" y="1550768"/>
                </a:cubicBezTo>
                <a:lnTo>
                  <a:pt x="2411439" y="1550768"/>
                </a:lnTo>
                <a:lnTo>
                  <a:pt x="2467208" y="1687776"/>
                </a:lnTo>
                <a:lnTo>
                  <a:pt x="2326282" y="1745141"/>
                </a:lnTo>
                <a:lnTo>
                  <a:pt x="2326278" y="1745142"/>
                </a:lnTo>
                <a:cubicBezTo>
                  <a:pt x="2248445" y="1776824"/>
                  <a:pt x="2160379" y="1741167"/>
                  <a:pt x="2129579" y="1665499"/>
                </a:cubicBezTo>
                <a:lnTo>
                  <a:pt x="2129579" y="1665499"/>
                </a:lnTo>
                <a:lnTo>
                  <a:pt x="2073809" y="1528491"/>
                </a:lnTo>
                <a:lnTo>
                  <a:pt x="2214736" y="1471127"/>
                </a:lnTo>
                <a:lnTo>
                  <a:pt x="2214739" y="1471125"/>
                </a:lnTo>
                <a:cubicBezTo>
                  <a:pt x="2273114" y="1447363"/>
                  <a:pt x="2337245" y="1461480"/>
                  <a:pt x="2378656" y="1501946"/>
                </a:cubicBezTo>
                <a:close/>
                <a:moveTo>
                  <a:pt x="928939" y="199283"/>
                </a:moveTo>
                <a:cubicBezTo>
                  <a:pt x="969953" y="241764"/>
                  <a:pt x="983960" y="305292"/>
                  <a:pt x="959377" y="361416"/>
                </a:cubicBezTo>
                <a:lnTo>
                  <a:pt x="959376" y="361417"/>
                </a:lnTo>
                <a:lnTo>
                  <a:pt x="900027" y="496913"/>
                </a:lnTo>
                <a:lnTo>
                  <a:pt x="760656" y="435866"/>
                </a:lnTo>
                <a:lnTo>
                  <a:pt x="760652" y="435865"/>
                </a:lnTo>
                <a:cubicBezTo>
                  <a:pt x="683678" y="402148"/>
                  <a:pt x="647850" y="314153"/>
                  <a:pt x="680628" y="239320"/>
                </a:cubicBezTo>
                <a:lnTo>
                  <a:pt x="680628" y="239320"/>
                </a:lnTo>
                <a:lnTo>
                  <a:pt x="739978" y="103824"/>
                </a:lnTo>
                <a:lnTo>
                  <a:pt x="879349" y="164871"/>
                </a:lnTo>
                <a:lnTo>
                  <a:pt x="879352" y="164872"/>
                </a:lnTo>
                <a:cubicBezTo>
                  <a:pt x="898596" y="173301"/>
                  <a:pt x="915268" y="185122"/>
                  <a:pt x="928939" y="199283"/>
                </a:cubicBezTo>
                <a:close/>
                <a:moveTo>
                  <a:pt x="2440810" y="1126826"/>
                </a:moveTo>
                <a:lnTo>
                  <a:pt x="2440811" y="1126826"/>
                </a:lnTo>
                <a:lnTo>
                  <a:pt x="2541582" y="1235115"/>
                </a:lnTo>
                <a:lnTo>
                  <a:pt x="2430197" y="1338769"/>
                </a:lnTo>
                <a:lnTo>
                  <a:pt x="2430194" y="1338772"/>
                </a:lnTo>
                <a:cubicBezTo>
                  <a:pt x="2368676" y="1396019"/>
                  <a:pt x="2273688" y="1393945"/>
                  <a:pt x="2218033" y="1334138"/>
                </a:cubicBezTo>
                <a:lnTo>
                  <a:pt x="2218033" y="1334138"/>
                </a:lnTo>
                <a:lnTo>
                  <a:pt x="2117261" y="1225849"/>
                </a:lnTo>
                <a:lnTo>
                  <a:pt x="2228647" y="1122195"/>
                </a:lnTo>
                <a:lnTo>
                  <a:pt x="2228649" y="1122192"/>
                </a:lnTo>
                <a:cubicBezTo>
                  <a:pt x="2290168" y="1064945"/>
                  <a:pt x="2385155" y="1067019"/>
                  <a:pt x="2440810" y="1126826"/>
                </a:cubicBezTo>
                <a:close/>
                <a:moveTo>
                  <a:pt x="1247133" y="0"/>
                </a:moveTo>
                <a:lnTo>
                  <a:pt x="1350787" y="111386"/>
                </a:lnTo>
                <a:lnTo>
                  <a:pt x="1350790" y="111388"/>
                </a:lnTo>
                <a:cubicBezTo>
                  <a:pt x="1408038" y="172907"/>
                  <a:pt x="1405963" y="267894"/>
                  <a:pt x="1346157" y="323549"/>
                </a:cubicBezTo>
                <a:lnTo>
                  <a:pt x="1346157" y="323550"/>
                </a:lnTo>
                <a:lnTo>
                  <a:pt x="1237868" y="424321"/>
                </a:lnTo>
                <a:lnTo>
                  <a:pt x="1134214" y="312935"/>
                </a:lnTo>
                <a:lnTo>
                  <a:pt x="1134211" y="312933"/>
                </a:lnTo>
                <a:cubicBezTo>
                  <a:pt x="1076963" y="251415"/>
                  <a:pt x="1079038" y="156427"/>
                  <a:pt x="1138844" y="100772"/>
                </a:cubicBezTo>
                <a:lnTo>
                  <a:pt x="1138844" y="100772"/>
                </a:lnTo>
                <a:close/>
                <a:moveTo>
                  <a:pt x="2416531" y="737089"/>
                </a:moveTo>
                <a:lnTo>
                  <a:pt x="2355484" y="876459"/>
                </a:lnTo>
                <a:lnTo>
                  <a:pt x="2355483" y="876463"/>
                </a:lnTo>
                <a:cubicBezTo>
                  <a:pt x="2321766" y="953437"/>
                  <a:pt x="2233771" y="989265"/>
                  <a:pt x="2158938" y="956487"/>
                </a:cubicBezTo>
                <a:lnTo>
                  <a:pt x="2158938" y="956487"/>
                </a:lnTo>
                <a:lnTo>
                  <a:pt x="2023442" y="897137"/>
                </a:lnTo>
                <a:lnTo>
                  <a:pt x="2084489" y="757767"/>
                </a:lnTo>
                <a:lnTo>
                  <a:pt x="2084490" y="757763"/>
                </a:lnTo>
                <a:cubicBezTo>
                  <a:pt x="2118206" y="680789"/>
                  <a:pt x="2206202" y="644961"/>
                  <a:pt x="2281035" y="677739"/>
                </a:cubicBezTo>
                <a:lnTo>
                  <a:pt x="2281035" y="677739"/>
                </a:lnTo>
                <a:close/>
                <a:moveTo>
                  <a:pt x="1695493" y="73601"/>
                </a:moveTo>
                <a:lnTo>
                  <a:pt x="1752857" y="214527"/>
                </a:lnTo>
                <a:lnTo>
                  <a:pt x="1752859" y="214531"/>
                </a:lnTo>
                <a:cubicBezTo>
                  <a:pt x="1784541" y="292364"/>
                  <a:pt x="1748884" y="380429"/>
                  <a:pt x="1673216" y="411230"/>
                </a:cubicBezTo>
                <a:lnTo>
                  <a:pt x="1673216" y="411230"/>
                </a:lnTo>
                <a:lnTo>
                  <a:pt x="1536207" y="466999"/>
                </a:lnTo>
                <a:lnTo>
                  <a:pt x="1478843" y="326073"/>
                </a:lnTo>
                <a:lnTo>
                  <a:pt x="1478841" y="326069"/>
                </a:lnTo>
                <a:cubicBezTo>
                  <a:pt x="1447159" y="248236"/>
                  <a:pt x="1482817" y="160171"/>
                  <a:pt x="1558484" y="129370"/>
                </a:cubicBezTo>
                <a:lnTo>
                  <a:pt x="1558485" y="129370"/>
                </a:lnTo>
                <a:close/>
                <a:moveTo>
                  <a:pt x="2119183" y="312304"/>
                </a:moveTo>
                <a:lnTo>
                  <a:pt x="2119184" y="464458"/>
                </a:lnTo>
                <a:lnTo>
                  <a:pt x="2119184" y="464462"/>
                </a:lnTo>
                <a:cubicBezTo>
                  <a:pt x="2119184" y="548497"/>
                  <a:pt x="2052956" y="616620"/>
                  <a:pt x="1971260" y="616620"/>
                </a:cubicBezTo>
                <a:lnTo>
                  <a:pt x="1971259" y="616620"/>
                </a:lnTo>
                <a:lnTo>
                  <a:pt x="1823335" y="616620"/>
                </a:lnTo>
                <a:lnTo>
                  <a:pt x="1823335" y="464466"/>
                </a:lnTo>
                <a:lnTo>
                  <a:pt x="1823335" y="464462"/>
                </a:lnTo>
                <a:cubicBezTo>
                  <a:pt x="1823335" y="380427"/>
                  <a:pt x="1889563" y="312304"/>
                  <a:pt x="1971259" y="312304"/>
                </a:cubicBezTo>
                <a:lnTo>
                  <a:pt x="1971260" y="312304"/>
                </a:lnTo>
                <a:close/>
              </a:path>
            </a:pathLst>
          </a:cu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  <xdr:sp macro="" textlink="">
        <xdr:nvSpPr>
          <xdr:cNvPr id="7206" name="Овал 7205">
            <a:extLst>
              <a:ext uri="{FF2B5EF4-FFF2-40B4-BE49-F238E27FC236}">
                <a16:creationId xmlns:a16="http://schemas.microsoft.com/office/drawing/2014/main" id="{00000000-0008-0000-0100-0000261C0000}"/>
              </a:ext>
            </a:extLst>
          </xdr:cNvPr>
          <xdr:cNvSpPr/>
        </xdr:nvSpPr>
        <xdr:spPr>
          <a:xfrm rot="18324177">
            <a:off x="14829219" y="190232"/>
            <a:ext cx="942318" cy="930488"/>
          </a:xfrm>
          <a:prstGeom prst="ellipse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</xdr:grpSp>
    <xdr:clientData/>
  </xdr:twoCellAnchor>
  <xdr:twoCellAnchor>
    <xdr:from>
      <xdr:col>3</xdr:col>
      <xdr:colOff>253158</xdr:colOff>
      <xdr:row>21</xdr:row>
      <xdr:rowOff>59630</xdr:rowOff>
    </xdr:from>
    <xdr:to>
      <xdr:col>6</xdr:col>
      <xdr:colOff>504618</xdr:colOff>
      <xdr:row>39</xdr:row>
      <xdr:rowOff>170343</xdr:rowOff>
    </xdr:to>
    <xdr:grpSp>
      <xdr:nvGrpSpPr>
        <xdr:cNvPr id="7212" name="Группа 7211">
          <a:extLst>
            <a:ext uri="{FF2B5EF4-FFF2-40B4-BE49-F238E27FC236}">
              <a16:creationId xmlns:a16="http://schemas.microsoft.com/office/drawing/2014/main" id="{00000000-0008-0000-0100-00002C1C0000}"/>
            </a:ext>
          </a:extLst>
        </xdr:cNvPr>
        <xdr:cNvGrpSpPr/>
      </xdr:nvGrpSpPr>
      <xdr:grpSpPr>
        <a:xfrm>
          <a:off x="2081958" y="4640595"/>
          <a:ext cx="2080260" cy="3338007"/>
          <a:chOff x="2081958" y="4679255"/>
          <a:chExt cx="2080260" cy="3368263"/>
        </a:xfrm>
      </xdr:grpSpPr>
      <xdr:sp macro="" textlink="">
        <xdr:nvSpPr>
          <xdr:cNvPr id="28" name="Прямоугольник: скругленные углы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2081958" y="4679255"/>
            <a:ext cx="2080260" cy="3368263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9" name="Диаграмма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GraphicFramePr>
            <a:graphicFrameLocks/>
          </xdr:cNvGraphicFramePr>
        </xdr:nvGraphicFramePr>
        <xdr:xfrm>
          <a:off x="2097198" y="6363387"/>
          <a:ext cx="2004060" cy="16606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">
        <xdr:nvSpPr>
          <xdr:cNvPr id="7211" name="Прямоугольник 7210">
            <a:extLst>
              <a:ext uri="{FF2B5EF4-FFF2-40B4-BE49-F238E27FC236}">
                <a16:creationId xmlns:a16="http://schemas.microsoft.com/office/drawing/2014/main" id="{00000000-0008-0000-0100-00002B1C0000}"/>
              </a:ext>
            </a:extLst>
          </xdr:cNvPr>
          <xdr:cNvSpPr/>
        </xdr:nvSpPr>
        <xdr:spPr>
          <a:xfrm>
            <a:off x="2715185" y="5211017"/>
            <a:ext cx="1152000" cy="1008000"/>
          </a:xfrm>
          <a:prstGeom prst="rect">
            <a:avLst/>
          </a:prstGeom>
          <a:gradFill>
            <a:gsLst>
              <a:gs pos="98000">
                <a:srgbClr val="FF00FF"/>
              </a:gs>
              <a:gs pos="0">
                <a:srgbClr val="8D1FF8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0" name="Диаграмма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GraphicFramePr>
            <a:graphicFrameLocks/>
          </xdr:cNvGraphicFramePr>
        </xdr:nvGraphicFramePr>
        <xdr:xfrm>
          <a:off x="2097198" y="4741058"/>
          <a:ext cx="2005200" cy="16223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5</xdr:row>
      <xdr:rowOff>56606</xdr:rowOff>
    </xdr:from>
    <xdr:to>
      <xdr:col>3</xdr:col>
      <xdr:colOff>1226820</xdr:colOff>
      <xdr:row>8</xdr:row>
      <xdr:rowOff>80556</xdr:rowOff>
    </xdr:to>
    <xdr:grpSp>
      <xdr:nvGrpSpPr>
        <xdr:cNvPr id="12" name="Группа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pSpPr/>
      </xdr:nvGrpSpPr>
      <xdr:grpSpPr>
        <a:xfrm>
          <a:off x="2727960" y="1054826"/>
          <a:ext cx="1104900" cy="572590"/>
          <a:chOff x="2730137" y="971006"/>
          <a:chExt cx="1104900" cy="572590"/>
        </a:xfrm>
      </xdr:grpSpPr>
      <xdr:sp macro="" textlink="">
        <xdr:nvSpPr>
          <xdr:cNvPr id="2" name="Прямоугольник 1">
            <a:extLst>
              <a:ext uri="{FF2B5EF4-FFF2-40B4-BE49-F238E27FC236}">
                <a16:creationId xmlns:a16="http://schemas.microsoft.com/office/drawing/2014/main" id="{00000000-0008-0000-0600-000002000000}"/>
              </a:ext>
            </a:extLst>
          </xdr:cNvPr>
          <xdr:cNvSpPr/>
        </xdr:nvSpPr>
        <xdr:spPr>
          <a:xfrm>
            <a:off x="2730137" y="971006"/>
            <a:ext cx="1104900" cy="171995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3" name="Прямоугольник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2730137" y="1146266"/>
            <a:ext cx="1104900" cy="220980"/>
          </a:xfrm>
          <a:prstGeom prst="rect">
            <a:avLst/>
          </a:prstGeom>
          <a:solidFill>
            <a:schemeClr val="bg1">
              <a:alpha val="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1" name="Прямоугольник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/>
        </xdr:nvSpPr>
        <xdr:spPr>
          <a:xfrm>
            <a:off x="2730137" y="1371601"/>
            <a:ext cx="1104900" cy="171995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31.481272106481" createdVersion="8" refreshedVersion="8" minRefreshableVersion="3" recordCount="864" xr:uid="{8340B56C-4D7F-43D8-B562-64D5B9D87CB0}">
  <cacheSource type="worksheet">
    <worksheetSource name="db"/>
  </cacheSource>
  <cacheFields count="14"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Сhannels" numFmtId="0">
      <sharedItems count="6">
        <s v="Google Ad"/>
        <s v="Youtube"/>
        <s v="Instagram"/>
        <s v="Facebook"/>
        <s v="Twitter"/>
        <s v="Tiktok"/>
      </sharedItems>
    </cacheField>
    <cacheField name="Cost Ad" numFmtId="168">
      <sharedItems containsSemiMixedTypes="0" containsString="0" containsNumber="1" containsInteger="1" minValue="1" maxValue="8532"/>
    </cacheField>
    <cacheField name="Traffic " numFmtId="164">
      <sharedItems containsSemiMixedTypes="0" containsString="0" containsNumber="1" containsInteger="1" minValue="281" maxValue="343485"/>
    </cacheField>
    <cacheField name="Revenue" numFmtId="168">
      <sharedItems containsSemiMixedTypes="0" containsString="0" containsNumber="1" containsInteger="1" minValue="14" maxValue="20436"/>
    </cacheField>
    <cacheField name="Time Calls" numFmtId="45">
      <sharedItems containsSemiMixedTypes="0" containsNonDate="0" containsDate="1" containsString="0" minDate="1899-12-30T00:00:09" maxDate="1899-12-30T00:10:46" count="440">
        <d v="1899-12-30T00:02:04"/>
        <d v="1899-12-30T00:04:39"/>
        <d v="1899-12-30T00:02:54"/>
        <d v="1899-12-30T00:05:02"/>
        <d v="1899-12-30T00:06:28"/>
        <d v="1899-12-30T00:02:26"/>
        <d v="1899-12-30T00:06:15"/>
        <d v="1899-12-30T00:03:07"/>
        <d v="1899-12-30T00:03:32"/>
        <d v="1899-12-30T00:07:31"/>
        <d v="1899-12-30T00:03:42"/>
        <d v="1899-12-30T00:05:15"/>
        <d v="1899-12-30T00:06:21"/>
        <d v="1899-12-30T00:07:41"/>
        <d v="1899-12-30T00:05:05"/>
        <d v="1899-12-30T00:06:42"/>
        <d v="1899-12-30T00:07:16"/>
        <d v="1899-12-30T00:05:29"/>
        <d v="1899-12-30T00:06:56"/>
        <d v="1899-12-30T00:04:58"/>
        <d v="1899-12-30T00:02:14"/>
        <d v="1899-12-30T00:05:39"/>
        <d v="1899-12-30T00:07:20"/>
        <d v="1899-12-30T00:06:08"/>
        <d v="1899-12-30T00:06:37"/>
        <d v="1899-12-30T00:06:45"/>
        <d v="1899-12-30T00:04:31"/>
        <d v="1899-12-30T00:02:40"/>
        <d v="1899-12-30T00:02:35"/>
        <d v="1899-12-30T00:03:14"/>
        <d v="1899-12-30T00:05:36"/>
        <d v="1899-12-30T00:05:41"/>
        <d v="1899-12-30T00:02:02"/>
        <d v="1899-12-30T00:05:55"/>
        <d v="1899-12-30T00:04:26"/>
        <d v="1899-12-30T00:02:01"/>
        <d v="1899-12-30T00:03:46"/>
        <d v="1899-12-30T00:04:54"/>
        <d v="1899-12-30T00:06:22"/>
        <d v="1899-12-30T00:05:14"/>
        <d v="1899-12-30T00:04:22"/>
        <d v="1899-12-30T00:04:43"/>
        <d v="1899-12-30T00:07:08"/>
        <d v="1899-12-30T00:06:36"/>
        <d v="1899-12-30T00:04:57"/>
        <d v="1899-12-30T00:03:13"/>
        <d v="1899-12-30T00:02:17"/>
        <d v="1899-12-30T00:07:12"/>
        <d v="1899-12-30T00:02:57"/>
        <d v="1899-12-30T00:05:43"/>
        <d v="1899-12-30T00:03:10"/>
        <d v="1899-12-30T00:05:37"/>
        <d v="1899-12-30T00:03:41"/>
        <d v="1899-12-30T00:02:28"/>
        <d v="1899-12-30T00:06:11"/>
        <d v="1899-12-30T00:02:23"/>
        <d v="1899-12-30T00:06:49"/>
        <d v="1899-12-30T00:04:46"/>
        <d v="1899-12-30T00:02:30"/>
        <d v="1899-12-30T00:02:18"/>
        <d v="1899-12-30T00:02:47"/>
        <d v="1899-12-30T00:06:53"/>
        <d v="1899-12-30T00:05:12"/>
        <d v="1899-12-30T00:04:32"/>
        <d v="1899-12-30T00:05:45"/>
        <d v="1899-12-30T00:04:47"/>
        <d v="1899-12-30T00:02:00"/>
        <d v="1899-12-30T00:06:13"/>
        <d v="1899-12-30T00:01:05"/>
        <d v="1899-12-30T00:05:34"/>
        <d v="1899-12-30T00:01:30"/>
        <d v="1899-12-30T00:02:50"/>
        <d v="1899-12-30T00:06:33"/>
        <d v="1899-12-30T00:06:24"/>
        <d v="1899-12-30T00:04:09"/>
        <d v="1899-12-30T00:03:43"/>
        <d v="1899-12-30T00:01:40"/>
        <d v="1899-12-30T00:02:45"/>
        <d v="1899-12-30T00:01:28"/>
        <d v="1899-12-30T00:05:16"/>
        <d v="1899-12-30T00:01:26"/>
        <d v="1899-12-30T00:04:14"/>
        <d v="1899-12-30T00:05:32"/>
        <d v="1899-12-30T00:05:22"/>
        <d v="1899-12-30T00:01:53"/>
        <d v="1899-12-30T00:06:48"/>
        <d v="1899-12-30T00:01:14"/>
        <d v="1899-12-30T00:05:17"/>
        <d v="1899-12-30T00:02:03"/>
        <d v="1899-12-30T00:06:27"/>
        <d v="1899-12-30T00:02:58"/>
        <d v="1899-12-30T00:03:27"/>
        <d v="1899-12-30T00:04:15"/>
        <d v="1899-12-30T00:06:14"/>
        <d v="1899-12-30T00:03:11"/>
        <d v="1899-12-30T00:01:44"/>
        <d v="1899-12-30T00:01:24"/>
        <d v="1899-12-30T00:02:59"/>
        <d v="1899-12-30T00:01:56"/>
        <d v="1899-12-30T00:03:51"/>
        <d v="1899-12-30T00:01:18"/>
        <d v="1899-12-30T00:06:05"/>
        <d v="1899-12-30T00:01:15"/>
        <d v="1899-12-30T00:01:54"/>
        <d v="1899-12-30T00:01:23"/>
        <d v="1899-12-30T00:01:19"/>
        <d v="1899-12-30T00:04:35"/>
        <d v="1899-12-30T00:03:53"/>
        <d v="1899-12-30T00:03:38"/>
        <d v="1899-12-30T00:05:51"/>
        <d v="1899-12-30T00:06:25"/>
        <d v="1899-12-30T00:05:23"/>
        <d v="1899-12-30T00:03:39"/>
        <d v="1899-12-30T00:05:40"/>
        <d v="1899-12-30T00:04:21"/>
        <d v="1899-12-30T00:03:22"/>
        <d v="1899-12-30T00:03:48"/>
        <d v="1899-12-30T00:03:08"/>
        <d v="1899-12-30T00:02:33"/>
        <d v="1899-12-30T00:03:44"/>
        <d v="1899-12-30T00:03:33"/>
        <d v="1899-12-30T00:03:40"/>
        <d v="1899-12-30T00:03:37"/>
        <d v="1899-12-30T00:02:06"/>
        <d v="1899-12-30T00:02:24"/>
        <d v="1899-12-30T00:01:51"/>
        <d v="1899-12-30T00:02:11"/>
        <d v="1899-12-30T00:00:15"/>
        <d v="1899-12-30T00:00:09"/>
        <d v="1899-12-30T00:03:19"/>
        <d v="1899-12-30T00:01:52"/>
        <d v="1899-12-30T00:00:17"/>
        <d v="1899-12-30T00:04:01"/>
        <d v="1899-12-30T00:01:47"/>
        <d v="1899-12-30T00:01:57"/>
        <d v="1899-12-30T00:01:31"/>
        <d v="1899-12-30T00:01:58"/>
        <d v="1899-12-30T00:03:05"/>
        <d v="1899-12-30T00:04:11"/>
        <d v="1899-12-30T00:03:34"/>
        <d v="1899-12-30T00:02:25"/>
        <d v="1899-12-30T00:03:21"/>
        <d v="1899-12-30T00:04:05"/>
        <d v="1899-12-30T00:01:42"/>
        <d v="1899-12-30T00:03:09"/>
        <d v="1899-12-30T00:03:47"/>
        <d v="1899-12-30T00:00:51"/>
        <d v="1899-12-30T00:01:55"/>
        <d v="1899-12-30T00:02:56"/>
        <d v="1899-12-30T00:02:37"/>
        <d v="1899-12-30T00:00:18"/>
        <d v="1899-12-30T00:03:18"/>
        <d v="1899-12-30T00:03:23"/>
        <d v="1899-12-30T00:02:13"/>
        <d v="1899-12-30T00:02:22"/>
        <d v="1899-12-30T00:02:43"/>
        <d v="1899-12-30T00:03:50"/>
        <d v="1899-12-30T00:05:26"/>
        <d v="1899-12-30T00:06:50"/>
        <d v="1899-12-30T00:06:04"/>
        <d v="1899-12-30T00:09:06"/>
        <d v="1899-12-30T00:04:34"/>
        <d v="1899-12-30T00:04:25"/>
        <d v="1899-12-30T00:01:04"/>
        <d v="1899-12-30T00:08:03"/>
        <d v="1899-12-30T00:08:52"/>
        <d v="1899-12-30T00:02:15"/>
        <d v="1899-12-30T00:02:05"/>
        <d v="1899-12-30T00:07:55"/>
        <d v="1899-12-30T00:09:12"/>
        <d v="1899-12-30T00:07:06"/>
        <d v="1899-12-30T00:05:58"/>
        <d v="1899-12-30T00:06:03"/>
        <d v="1899-12-30T00:07:35"/>
        <d v="1899-12-30T00:05:57"/>
        <d v="1899-12-30T00:03:28"/>
        <d v="1899-12-30T00:08:15"/>
        <d v="1899-12-30T00:07:05"/>
        <d v="1899-12-30T00:05:48"/>
        <d v="1899-12-30T00:07:33"/>
        <d v="1899-12-30T00:09:46"/>
        <d v="1899-12-30T00:02:48"/>
        <d v="1899-12-30T00:04:29"/>
        <d v="1899-12-30T00:10:10"/>
        <d v="1899-12-30T00:06:09"/>
        <d v="1899-12-30T00:01:16"/>
        <d v="1899-12-30T00:01:09"/>
        <d v="1899-12-30T00:04:42"/>
        <d v="1899-12-30T00:07:26"/>
        <d v="1899-12-30T00:04:12"/>
        <d v="1899-12-30T00:10:04"/>
        <d v="1899-12-30T00:06:38"/>
        <d v="1899-12-30T00:09:56"/>
        <d v="1899-12-30T00:09:13"/>
        <d v="1899-12-30T00:09:58"/>
        <d v="1899-12-30T00:04:18"/>
        <d v="1899-12-30T00:06:59"/>
        <d v="1899-12-30T00:10:01"/>
        <d v="1899-12-30T00:06:10"/>
        <d v="1899-12-30T00:09:16"/>
        <d v="1899-12-30T00:10:45"/>
        <d v="1899-12-30T00:05:46"/>
        <d v="1899-12-30T00:10:11"/>
        <d v="1899-12-30T00:07:37"/>
        <d v="1899-12-30T00:09:17"/>
        <d v="1899-12-30T00:04:00"/>
        <d v="1899-12-30T00:01:25"/>
        <d v="1899-12-30T00:05:50"/>
        <d v="1899-12-30T00:03:02"/>
        <d v="1899-12-30T00:05:33"/>
        <d v="1899-12-30T00:05:42"/>
        <d v="1899-12-30T00:01:35"/>
        <d v="1899-12-30T00:01:32"/>
        <d v="1899-12-30T00:05:49"/>
        <d v="1899-12-30T00:06:54"/>
        <d v="1899-12-30T00:04:56"/>
        <d v="1899-12-30T00:06:41"/>
        <d v="1899-12-30T00:06:51"/>
        <d v="1899-12-30T00:04:02"/>
        <d v="1899-12-30T00:06:35"/>
        <d v="1899-12-30T00:04:10"/>
        <d v="1899-12-30T00:01:37"/>
        <d v="1899-12-30T00:06:19"/>
        <d v="1899-12-30T00:05:35"/>
        <d v="1899-12-30T00:03:12"/>
        <d v="1899-12-30T00:07:04"/>
        <d v="1899-12-30T00:02:20"/>
        <d v="1899-12-30T00:02:44"/>
        <d v="1899-12-30T00:04:38"/>
        <d v="1899-12-30T00:05:54"/>
        <d v="1899-12-30T00:04:45"/>
        <d v="1899-12-30T00:01:38"/>
        <d v="1899-12-30T00:05:10"/>
        <d v="1899-12-30T00:05:44"/>
        <d v="1899-12-30T00:04:16"/>
        <d v="1899-12-30T00:03:56"/>
        <d v="1899-12-30T00:06:12"/>
        <d v="1899-12-30T00:02:34"/>
        <d v="1899-12-30T00:05:28"/>
        <d v="1899-12-30T00:06:47"/>
        <d v="1899-12-30T00:04:04"/>
        <d v="1899-12-30T00:05:21"/>
        <d v="1899-12-30T00:04:06"/>
        <d v="1899-12-30T00:05:27"/>
        <d v="1899-12-30T00:04:44"/>
        <d v="1899-12-30T00:06:16"/>
        <d v="1899-12-30T00:08:26"/>
        <d v="1899-12-30T00:03:58"/>
        <d v="1899-12-30T00:08:02"/>
        <d v="1899-12-30T00:02:16"/>
        <d v="1899-12-30T00:02:38"/>
        <d v="1899-12-30T00:08:00"/>
        <d v="1899-12-30T00:01:49"/>
        <d v="1899-12-30T00:01:50"/>
        <d v="1899-12-30T00:03:49"/>
        <d v="1899-12-30T00:01:48"/>
        <d v="1899-12-30T00:03:15"/>
        <d v="1899-12-30T00:05:59"/>
        <d v="1899-12-30T00:07:01"/>
        <d v="1899-12-30T00:01:06"/>
        <d v="1899-12-30T00:01:11"/>
        <d v="1899-12-30T00:07:45"/>
        <d v="1899-12-30T00:08:11"/>
        <d v="1899-12-30T00:02:49"/>
        <d v="1899-12-30T00:07:19"/>
        <d v="1899-12-30T00:06:07"/>
        <d v="1899-12-30T00:08:35"/>
        <d v="1899-12-30T00:08:22"/>
        <d v="1899-12-30T00:07:30"/>
        <d v="1899-12-30T00:07:09"/>
        <d v="1899-12-30T00:04:41"/>
        <d v="1899-12-30T00:06:06"/>
        <d v="1899-12-30T00:08:37"/>
        <d v="1899-12-30T00:07:32"/>
        <d v="1899-12-30T00:07:13"/>
        <d v="1899-12-30T00:07:48"/>
        <d v="1899-12-30T00:07:56"/>
        <d v="1899-12-30T00:06:23"/>
        <d v="1899-12-30T00:06:44"/>
        <d v="1899-12-30T00:04:50"/>
        <d v="1899-12-30T00:08:23"/>
        <d v="1899-12-30T00:03:52"/>
        <d v="1899-12-30T00:03:31"/>
        <d v="1899-12-30T00:02:21"/>
        <d v="1899-12-30T00:04:52"/>
        <d v="1899-12-30T00:00:50"/>
        <d v="1899-12-30T00:05:08"/>
        <d v="1899-12-30T00:02:32"/>
        <d v="1899-12-30T00:01:03"/>
        <d v="1899-12-30T00:04:40"/>
        <d v="1899-12-30T00:03:03"/>
        <d v="1899-12-30T00:03:06"/>
        <d v="1899-12-30T00:00:52"/>
        <d v="1899-12-30T00:04:03"/>
        <d v="1899-12-30T00:02:42"/>
        <d v="1899-12-30T00:08:06"/>
        <d v="1899-12-30T00:05:53"/>
        <d v="1899-12-30T00:00:54"/>
        <d v="1899-12-30T00:04:20"/>
        <d v="1899-12-30T00:06:17"/>
        <d v="1899-12-30T00:03:35"/>
        <d v="1899-12-30T00:02:27"/>
        <d v="1899-12-30T00:04:17"/>
        <d v="1899-12-30T00:05:25"/>
        <d v="1899-12-30T00:02:09"/>
        <d v="1899-12-30T00:04:53"/>
        <d v="1899-12-30T00:00:48"/>
        <d v="1899-12-30T00:06:31"/>
        <d v="1899-12-30T00:01:22"/>
        <d v="1899-12-30T00:07:44"/>
        <d v="1899-12-30T00:09:51"/>
        <d v="1899-12-30T00:07:49"/>
        <d v="1899-12-30T00:07:54"/>
        <d v="1899-12-30T00:03:55"/>
        <d v="1899-12-30T00:00:19"/>
        <d v="1899-12-30T00:00:24"/>
        <d v="1899-12-30T00:09:34"/>
        <d v="1899-12-30T00:08:17"/>
        <d v="1899-12-30T00:07:38"/>
        <d v="1899-12-30T00:01:45"/>
        <d v="1899-12-30T00:08:59"/>
        <d v="1899-12-30T00:04:51"/>
        <d v="1899-12-30T00:04:28"/>
        <d v="1899-12-30T00:04:33"/>
        <d v="1899-12-30T00:07:51"/>
        <d v="1899-12-30T00:09:25"/>
        <d v="1899-12-30T00:09:32"/>
        <d v="1899-12-30T00:07:14"/>
        <d v="1899-12-30T00:05:24"/>
        <d v="1899-12-30T00:01:29"/>
        <d v="1899-12-30T00:08:14"/>
        <d v="1899-12-30T00:05:20"/>
        <d v="1899-12-30T00:07:43"/>
        <d v="1899-12-30T00:08:31"/>
        <d v="1899-12-30T00:10:03"/>
        <d v="1899-12-30T00:00:22"/>
        <d v="1899-12-30T00:06:02"/>
        <d v="1899-12-30T00:10:06"/>
        <d v="1899-12-30T00:08:08"/>
        <d v="1899-12-30T00:04:49"/>
        <d v="1899-12-30T00:09:00"/>
        <d v="1899-12-30T00:08:27"/>
        <d v="1899-12-30T00:05:04"/>
        <d v="1899-12-30T00:00:32"/>
        <d v="1899-12-30T00:05:03"/>
        <d v="1899-12-30T00:09:10"/>
        <d v="1899-12-30T00:09:09"/>
        <d v="1899-12-30T00:10:23"/>
        <d v="1899-12-30T00:10:17"/>
        <d v="1899-12-30T00:03:45"/>
        <d v="1899-12-30T00:04:24"/>
        <d v="1899-12-30T00:08:50"/>
        <d v="1899-12-30T00:07:23"/>
        <d v="1899-12-30T00:00:55"/>
        <d v="1899-12-30T00:07:24"/>
        <d v="1899-12-30T00:09:36"/>
        <d v="1899-12-30T00:00:56"/>
        <d v="1899-12-30T00:09:40"/>
        <d v="1899-12-30T00:08:41"/>
        <d v="1899-12-30T00:09:20"/>
        <d v="1899-12-30T00:05:56"/>
        <d v="1899-12-30T00:09:39"/>
        <d v="1899-12-30T00:02:08"/>
        <d v="1899-12-30T00:10:27"/>
        <d v="1899-12-30T00:10:13"/>
        <d v="1899-12-30T00:01:59"/>
        <d v="1899-12-30T00:09:01"/>
        <d v="1899-12-30T00:05:06"/>
        <d v="1899-12-30T00:06:55"/>
        <d v="1899-12-30T00:10:46"/>
        <d v="1899-12-30T00:09:33"/>
        <d v="1899-12-30T00:07:15"/>
        <d v="1899-12-30T00:10:14"/>
        <d v="1899-12-30T00:09:48"/>
        <d v="1899-12-30T00:08:20"/>
        <d v="1899-12-30T00:02:29"/>
        <d v="1899-12-30T00:06:39"/>
        <d v="1899-12-30T00:09:37"/>
        <d v="1899-12-30T00:10:30"/>
        <d v="1899-12-30T00:09:22"/>
        <d v="1899-12-30T00:09:38"/>
        <d v="1899-12-30T00:10:02"/>
        <d v="1899-12-30T00:08:54"/>
        <d v="1899-12-30T00:10:38"/>
        <d v="1899-12-30T00:02:46"/>
        <d v="1899-12-30T00:04:07"/>
        <d v="1899-12-30T00:04:37"/>
        <d v="1899-12-30T00:04:59"/>
        <d v="1899-12-30T00:05:01"/>
        <d v="1899-12-30T00:01:27"/>
        <d v="1899-12-30T00:01:20"/>
        <d v="1899-12-30T00:02:31"/>
        <d v="1899-12-30T00:06:18"/>
        <d v="1899-12-30T00:06:43"/>
        <d v="1899-12-30T00:06:52"/>
        <d v="1899-12-30T00:08:44"/>
        <d v="1899-12-30T00:01:07"/>
        <d v="1899-12-30T00:07:50"/>
        <d v="1899-12-30T00:08:19"/>
        <d v="1899-12-30T00:03:26"/>
        <d v="1899-12-30T00:03:01"/>
        <d v="1899-12-30T00:08:32"/>
        <d v="1899-12-30T00:08:05"/>
        <d v="1899-12-30T00:07:02"/>
        <d v="1899-12-30T00:05:38"/>
        <d v="1899-12-30T00:07:29"/>
        <d v="1899-12-30T00:08:24"/>
        <d v="1899-12-30T00:06:34"/>
        <d v="1899-12-30T00:07:59"/>
        <d v="1899-12-30T00:03:57"/>
        <d v="1899-12-30T00:07:42"/>
        <d v="1899-12-30T00:05:09"/>
        <d v="1899-12-30T00:02:55"/>
        <d v="1899-12-30T00:04:08"/>
        <d v="1899-12-30T00:01:46"/>
        <d v="1899-12-30T00:02:36"/>
        <d v="1899-12-30T00:02:10"/>
        <d v="1899-12-30T00:08:40"/>
        <d v="1899-12-30T00:08:25"/>
        <d v="1899-12-30T00:01:08"/>
        <d v="1899-12-30T00:08:45"/>
        <d v="1899-12-30T00:08:43"/>
        <d v="1899-12-30T00:03:29"/>
        <d v="1899-12-30T00:08:36"/>
        <d v="1899-12-30T00:06:57"/>
        <d v="1899-12-30T00:05:47"/>
        <d v="1899-12-30T00:00:59"/>
        <d v="1899-12-30T00:03:17"/>
        <d v="1899-12-30T00:02:52"/>
        <d v="1899-12-30T00:08:49"/>
        <d v="1899-12-30T00:06:00"/>
        <d v="1899-12-30T00:03:20"/>
        <d v="1899-12-30T00:01:10"/>
        <d v="1899-12-30T00:01:00"/>
        <d v="1899-12-30T00:07:36"/>
        <d v="1899-12-30T00:08:10"/>
        <d v="1899-12-30T00:08:21"/>
        <d v="1899-12-30T00:02:07"/>
        <d v="1899-12-30T00:01:43"/>
        <d v="1899-12-30T00:01:21"/>
      </sharedItems>
      <fieldGroup par="13" base="5">
        <rangePr groupBy="seconds" startDate="1899-12-30T00:00:09" endDate="1899-12-30T00:10:46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Teams" numFmtId="0">
      <sharedItems count="4">
        <s v="North"/>
        <s v="East"/>
        <s v="South"/>
        <s v="West"/>
      </sharedItems>
    </cacheField>
    <cacheField name="Products" numFmtId="0">
      <sharedItems count="3">
        <s v=" 🌎"/>
        <s v=" 🎥"/>
        <s v=" 📖"/>
      </sharedItems>
    </cacheField>
    <cacheField name="successful calls" numFmtId="0">
      <sharedItems containsSemiMixedTypes="0" containsString="0" containsNumber="1" containsInteger="1" minValue="1" maxValue="23"/>
    </cacheField>
    <cacheField name="unsuccessful calls" numFmtId="0">
      <sharedItems containsSemiMixedTypes="0" containsString="0" containsNumber="1" containsInteger="1" minValue="1" maxValue="77"/>
    </cacheField>
    <cacheField name="Marketing Power" numFmtId="9">
      <sharedItems containsSemiMixedTypes="0" containsString="0" containsNumber="1" minValue="0.1" maxValue="0.9"/>
    </cacheField>
    <cacheField name="Selling Power" numFmtId="9">
      <sharedItems containsSemiMixedTypes="0" containsString="0" containsNumber="1" minValue="9.9999999999999978E-2" maxValue="0.9"/>
    </cacheField>
    <cacheField name="Минуты" numFmtId="0" databaseField="0">
      <fieldGroup base="5">
        <rangePr groupBy="minutes" startDate="1899-12-30T00:00:09" endDate="1899-12-30T00:10:46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Часы" numFmtId="0" databaseField="0">
      <fieldGroup base="5">
        <rangePr groupBy="hours" startDate="1899-12-30T00:00:09" endDate="1899-12-30T00:10:46"/>
        <groupItems count="26">
          <s v="&lt;00.01.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.01.1900"/>
        </groupItems>
      </fieldGroup>
    </cacheField>
  </cacheFields>
  <extLst>
    <ext xmlns:x14="http://schemas.microsoft.com/office/spreadsheetml/2009/9/main" uri="{725AE2AE-9491-48be-B2B4-4EB974FC3084}">
      <x14:pivotCacheDefinition pivotCacheId="16561651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x v="0"/>
    <x v="0"/>
    <n v="168"/>
    <n v="16184"/>
    <n v="980"/>
    <x v="0"/>
    <x v="0"/>
    <x v="0"/>
    <n v="11"/>
    <n v="73"/>
    <n v="0.26"/>
    <n v="0.74"/>
  </r>
  <r>
    <x v="0"/>
    <x v="0"/>
    <n v="526"/>
    <n v="10021"/>
    <n v="885"/>
    <x v="1"/>
    <x v="1"/>
    <x v="0"/>
    <n v="9"/>
    <n v="58"/>
    <n v="0.19"/>
    <n v="0.81"/>
  </r>
  <r>
    <x v="0"/>
    <x v="0"/>
    <n v="744"/>
    <n v="29355"/>
    <n v="1655"/>
    <x v="2"/>
    <x v="2"/>
    <x v="0"/>
    <n v="20"/>
    <n v="22"/>
    <n v="0.46"/>
    <n v="0.54"/>
  </r>
  <r>
    <x v="0"/>
    <x v="0"/>
    <n v="1101"/>
    <n v="23193"/>
    <n v="1560"/>
    <x v="3"/>
    <x v="3"/>
    <x v="0"/>
    <n v="22"/>
    <n v="57"/>
    <n v="0.63"/>
    <n v="0.37"/>
  </r>
  <r>
    <x v="0"/>
    <x v="1"/>
    <n v="273"/>
    <n v="46697"/>
    <n v="2269"/>
    <x v="4"/>
    <x v="0"/>
    <x v="0"/>
    <n v="22"/>
    <n v="61"/>
    <n v="0.72"/>
    <n v="0.28000000000000003"/>
  </r>
  <r>
    <x v="0"/>
    <x v="1"/>
    <n v="1047"/>
    <n v="44881"/>
    <n v="1452"/>
    <x v="5"/>
    <x v="1"/>
    <x v="0"/>
    <n v="20"/>
    <n v="36"/>
    <n v="0.52"/>
    <n v="0.48"/>
  </r>
  <r>
    <x v="0"/>
    <x v="1"/>
    <n v="638"/>
    <n v="31053"/>
    <n v="1921"/>
    <x v="6"/>
    <x v="2"/>
    <x v="0"/>
    <n v="8"/>
    <n v="53"/>
    <n v="0.19"/>
    <n v="0.81"/>
  </r>
  <r>
    <x v="0"/>
    <x v="1"/>
    <n v="1413"/>
    <n v="29237"/>
    <n v="1104"/>
    <x v="7"/>
    <x v="3"/>
    <x v="0"/>
    <n v="9"/>
    <n v="60"/>
    <n v="0.32"/>
    <n v="0.67999999999999994"/>
  </r>
  <r>
    <x v="0"/>
    <x v="2"/>
    <n v="120"/>
    <n v="18708"/>
    <n v="418"/>
    <x v="8"/>
    <x v="0"/>
    <x v="0"/>
    <n v="20"/>
    <n v="12"/>
    <n v="0.17"/>
    <n v="0.83"/>
  </r>
  <r>
    <x v="0"/>
    <x v="2"/>
    <n v="256"/>
    <n v="23390"/>
    <n v="738"/>
    <x v="9"/>
    <x v="1"/>
    <x v="0"/>
    <n v="1"/>
    <n v="72"/>
    <n v="0.66"/>
    <n v="0.33999999999999997"/>
  </r>
  <r>
    <x v="0"/>
    <x v="2"/>
    <n v="300"/>
    <n v="26395"/>
    <n v="376"/>
    <x v="10"/>
    <x v="2"/>
    <x v="0"/>
    <n v="19"/>
    <n v="67"/>
    <n v="0.76"/>
    <n v="0.24"/>
  </r>
  <r>
    <x v="0"/>
    <x v="2"/>
    <n v="436"/>
    <n v="31077"/>
    <n v="695"/>
    <x v="11"/>
    <x v="3"/>
    <x v="0"/>
    <n v="15"/>
    <n v="22"/>
    <n v="0.67"/>
    <n v="0.32999999999999996"/>
  </r>
  <r>
    <x v="0"/>
    <x v="3"/>
    <n v="170"/>
    <n v="7628"/>
    <n v="626"/>
    <x v="12"/>
    <x v="0"/>
    <x v="0"/>
    <n v="1"/>
    <n v="9"/>
    <n v="0.33"/>
    <n v="0.66999999999999993"/>
  </r>
  <r>
    <x v="0"/>
    <x v="3"/>
    <n v="398"/>
    <n v="25087"/>
    <n v="110"/>
    <x v="13"/>
    <x v="1"/>
    <x v="0"/>
    <n v="4"/>
    <n v="34"/>
    <n v="0.7"/>
    <n v="0.30000000000000004"/>
  </r>
  <r>
    <x v="0"/>
    <x v="3"/>
    <n v="329"/>
    <n v="20487"/>
    <n v="1345"/>
    <x v="14"/>
    <x v="2"/>
    <x v="0"/>
    <n v="2"/>
    <n v="11"/>
    <n v="0.7"/>
    <n v="0.30000000000000004"/>
  </r>
  <r>
    <x v="0"/>
    <x v="3"/>
    <n v="557"/>
    <n v="37946"/>
    <n v="829"/>
    <x v="15"/>
    <x v="3"/>
    <x v="0"/>
    <n v="23"/>
    <n v="35"/>
    <n v="0.6"/>
    <n v="0.4"/>
  </r>
  <r>
    <x v="0"/>
    <x v="4"/>
    <n v="197"/>
    <n v="3964"/>
    <n v="30"/>
    <x v="6"/>
    <x v="0"/>
    <x v="0"/>
    <n v="20"/>
    <n v="21"/>
    <n v="0.64"/>
    <n v="0.36"/>
  </r>
  <r>
    <x v="0"/>
    <x v="4"/>
    <n v="134"/>
    <n v="11262"/>
    <n v="532"/>
    <x v="16"/>
    <x v="1"/>
    <x v="0"/>
    <n v="13"/>
    <n v="49"/>
    <n v="0.56999999999999995"/>
    <n v="0.43000000000000005"/>
  </r>
  <r>
    <x v="0"/>
    <x v="4"/>
    <n v="199"/>
    <n v="2590"/>
    <n v="136"/>
    <x v="17"/>
    <x v="2"/>
    <x v="0"/>
    <n v="21"/>
    <n v="19"/>
    <n v="0.31"/>
    <n v="0.69"/>
  </r>
  <r>
    <x v="0"/>
    <x v="4"/>
    <n v="136"/>
    <n v="9888"/>
    <n v="638"/>
    <x v="18"/>
    <x v="3"/>
    <x v="0"/>
    <n v="5"/>
    <n v="59"/>
    <n v="0.14000000000000001"/>
    <n v="0.86"/>
  </r>
  <r>
    <x v="0"/>
    <x v="5"/>
    <n v="153"/>
    <n v="15534"/>
    <n v="270"/>
    <x v="19"/>
    <x v="0"/>
    <x v="0"/>
    <n v="22"/>
    <n v="29"/>
    <n v="0.51"/>
    <n v="0.49"/>
  </r>
  <r>
    <x v="0"/>
    <x v="5"/>
    <n v="44"/>
    <n v="11913"/>
    <n v="275"/>
    <x v="20"/>
    <x v="1"/>
    <x v="0"/>
    <n v="2"/>
    <n v="73"/>
    <n v="0.89"/>
    <n v="0.10999999999999999"/>
  </r>
  <r>
    <x v="0"/>
    <x v="5"/>
    <n v="208"/>
    <n v="17066"/>
    <n v="229"/>
    <x v="21"/>
    <x v="2"/>
    <x v="0"/>
    <n v="1"/>
    <n v="16"/>
    <n v="0.33"/>
    <n v="0.66999999999999993"/>
  </r>
  <r>
    <x v="0"/>
    <x v="5"/>
    <n v="98"/>
    <n v="13445"/>
    <n v="234"/>
    <x v="22"/>
    <x v="3"/>
    <x v="0"/>
    <n v="10"/>
    <n v="28"/>
    <n v="0.47"/>
    <n v="0.53"/>
  </r>
  <r>
    <x v="0"/>
    <x v="0"/>
    <n v="609"/>
    <n v="10004"/>
    <n v="1496"/>
    <x v="23"/>
    <x v="0"/>
    <x v="1"/>
    <n v="22"/>
    <n v="73"/>
    <n v="0.8"/>
    <n v="0.19999999999999996"/>
  </r>
  <r>
    <x v="0"/>
    <x v="0"/>
    <n v="700"/>
    <n v="5492"/>
    <n v="330"/>
    <x v="24"/>
    <x v="1"/>
    <x v="1"/>
    <n v="14"/>
    <n v="17"/>
    <n v="0.34"/>
    <n v="0.65999999999999992"/>
  </r>
  <r>
    <x v="0"/>
    <x v="0"/>
    <n v="136"/>
    <n v="20455"/>
    <n v="1343"/>
    <x v="18"/>
    <x v="2"/>
    <x v="1"/>
    <n v="9"/>
    <n v="10"/>
    <n v="0.72"/>
    <n v="0.28000000000000003"/>
  </r>
  <r>
    <x v="0"/>
    <x v="0"/>
    <n v="227"/>
    <n v="15943"/>
    <n v="177"/>
    <x v="25"/>
    <x v="3"/>
    <x v="1"/>
    <n v="4"/>
    <n v="25"/>
    <n v="0.51"/>
    <n v="0.49"/>
  </r>
  <r>
    <x v="0"/>
    <x v="1"/>
    <n v="226"/>
    <n v="21110"/>
    <n v="417"/>
    <x v="26"/>
    <x v="0"/>
    <x v="1"/>
    <n v="10"/>
    <n v="49"/>
    <n v="0.18"/>
    <n v="0.82000000000000006"/>
  </r>
  <r>
    <x v="0"/>
    <x v="1"/>
    <n v="505"/>
    <n v="19038"/>
    <n v="230"/>
    <x v="0"/>
    <x v="1"/>
    <x v="1"/>
    <n v="4"/>
    <n v="75"/>
    <n v="0.3"/>
    <n v="0.7"/>
  </r>
  <r>
    <x v="0"/>
    <x v="1"/>
    <n v="605"/>
    <n v="30992"/>
    <n v="1991"/>
    <x v="27"/>
    <x v="2"/>
    <x v="1"/>
    <n v="21"/>
    <n v="67"/>
    <n v="0.71"/>
    <n v="0.29000000000000004"/>
  </r>
  <r>
    <x v="0"/>
    <x v="1"/>
    <n v="884"/>
    <n v="28920"/>
    <n v="1805"/>
    <x v="28"/>
    <x v="3"/>
    <x v="1"/>
    <n v="15"/>
    <n v="38"/>
    <n v="0.3"/>
    <n v="0.7"/>
  </r>
  <r>
    <x v="0"/>
    <x v="2"/>
    <n v="156"/>
    <n v="32002"/>
    <n v="122"/>
    <x v="29"/>
    <x v="0"/>
    <x v="1"/>
    <n v="1"/>
    <n v="17"/>
    <n v="0.84"/>
    <n v="0.16000000000000003"/>
  </r>
  <r>
    <x v="0"/>
    <x v="2"/>
    <n v="318"/>
    <n v="22897"/>
    <n v="438"/>
    <x v="30"/>
    <x v="1"/>
    <x v="1"/>
    <n v="3"/>
    <n v="27"/>
    <n v="0.79"/>
    <n v="0.20999999999999996"/>
  </r>
  <r>
    <x v="0"/>
    <x v="2"/>
    <n v="48"/>
    <n v="9904"/>
    <n v="295"/>
    <x v="31"/>
    <x v="2"/>
    <x v="1"/>
    <n v="3"/>
    <n v="57"/>
    <n v="0.2"/>
    <n v="0.8"/>
  </r>
  <r>
    <x v="0"/>
    <x v="2"/>
    <n v="210"/>
    <n v="799"/>
    <n v="611"/>
    <x v="32"/>
    <x v="3"/>
    <x v="1"/>
    <n v="1"/>
    <n v="7"/>
    <n v="0.67"/>
    <n v="0.32999999999999996"/>
  </r>
  <r>
    <x v="0"/>
    <x v="3"/>
    <n v="296"/>
    <n v="17284"/>
    <n v="482"/>
    <x v="33"/>
    <x v="0"/>
    <x v="1"/>
    <n v="14"/>
    <n v="22"/>
    <n v="0.2"/>
    <n v="0.8"/>
  </r>
  <r>
    <x v="0"/>
    <x v="3"/>
    <n v="275"/>
    <n v="13536"/>
    <n v="782"/>
    <x v="34"/>
    <x v="1"/>
    <x v="1"/>
    <n v="1"/>
    <n v="31"/>
    <n v="0.36"/>
    <n v="0.64"/>
  </r>
  <r>
    <x v="0"/>
    <x v="3"/>
    <n v="204"/>
    <n v="16491"/>
    <n v="177"/>
    <x v="32"/>
    <x v="2"/>
    <x v="1"/>
    <n v="13"/>
    <n v="15"/>
    <n v="0.28999999999999998"/>
    <n v="0.71"/>
  </r>
  <r>
    <x v="0"/>
    <x v="3"/>
    <n v="183"/>
    <n v="12743"/>
    <n v="477"/>
    <x v="35"/>
    <x v="3"/>
    <x v="1"/>
    <n v="16"/>
    <n v="14"/>
    <n v="0.62"/>
    <n v="0.38"/>
  </r>
  <r>
    <x v="0"/>
    <x v="4"/>
    <n v="37"/>
    <n v="5855"/>
    <n v="196"/>
    <x v="36"/>
    <x v="0"/>
    <x v="1"/>
    <n v="16"/>
    <n v="10"/>
    <n v="0.88"/>
    <n v="0.12"/>
  </r>
  <r>
    <x v="0"/>
    <x v="4"/>
    <n v="71"/>
    <n v="2927"/>
    <n v="105"/>
    <x v="37"/>
    <x v="1"/>
    <x v="1"/>
    <n v="10"/>
    <n v="22"/>
    <n v="0.66"/>
    <n v="0.33999999999999997"/>
  </r>
  <r>
    <x v="0"/>
    <x v="4"/>
    <n v="148"/>
    <n v="6199"/>
    <n v="335"/>
    <x v="38"/>
    <x v="2"/>
    <x v="1"/>
    <n v="8"/>
    <n v="51"/>
    <n v="0.2"/>
    <n v="0.8"/>
  </r>
  <r>
    <x v="0"/>
    <x v="4"/>
    <n v="182"/>
    <n v="3271"/>
    <n v="243"/>
    <x v="39"/>
    <x v="3"/>
    <x v="1"/>
    <n v="20"/>
    <n v="68"/>
    <n v="0.37"/>
    <n v="0.63"/>
  </r>
  <r>
    <x v="0"/>
    <x v="5"/>
    <n v="82"/>
    <n v="11346"/>
    <n v="130"/>
    <x v="40"/>
    <x v="0"/>
    <x v="1"/>
    <n v="22"/>
    <n v="59"/>
    <n v="0.69"/>
    <n v="0.31000000000000005"/>
  </r>
  <r>
    <x v="0"/>
    <x v="5"/>
    <n v="87"/>
    <n v="9200"/>
    <n v="176"/>
    <x v="41"/>
    <x v="1"/>
    <x v="1"/>
    <n v="16"/>
    <n v="11"/>
    <n v="0.65"/>
    <n v="0.35"/>
  </r>
  <r>
    <x v="0"/>
    <x v="5"/>
    <n v="78"/>
    <n v="9892"/>
    <n v="156"/>
    <x v="42"/>
    <x v="2"/>
    <x v="1"/>
    <n v="13"/>
    <n v="57"/>
    <n v="0.2"/>
    <n v="0.8"/>
  </r>
  <r>
    <x v="0"/>
    <x v="5"/>
    <n v="83"/>
    <n v="7747"/>
    <n v="202"/>
    <x v="43"/>
    <x v="3"/>
    <x v="1"/>
    <n v="13"/>
    <n v="57"/>
    <n v="0.69"/>
    <n v="0.31000000000000005"/>
  </r>
  <r>
    <x v="0"/>
    <x v="0"/>
    <n v="286"/>
    <n v="4940"/>
    <n v="389"/>
    <x v="23"/>
    <x v="0"/>
    <x v="2"/>
    <n v="21"/>
    <n v="47"/>
    <n v="0.56000000000000005"/>
    <n v="0.43999999999999995"/>
  </r>
  <r>
    <x v="0"/>
    <x v="0"/>
    <n v="340"/>
    <n v="12233"/>
    <n v="799"/>
    <x v="44"/>
    <x v="1"/>
    <x v="2"/>
    <n v="7"/>
    <n v="43"/>
    <n v="0.88"/>
    <n v="0.12"/>
  </r>
  <r>
    <x v="0"/>
    <x v="0"/>
    <n v="313"/>
    <n v="8050"/>
    <n v="508"/>
    <x v="45"/>
    <x v="2"/>
    <x v="2"/>
    <n v="18"/>
    <n v="77"/>
    <n v="0.24"/>
    <n v="0.76"/>
  </r>
  <r>
    <x v="0"/>
    <x v="0"/>
    <n v="367"/>
    <n v="15343"/>
    <n v="919"/>
    <x v="46"/>
    <x v="3"/>
    <x v="2"/>
    <n v="16"/>
    <n v="58"/>
    <n v="0.89"/>
    <n v="0.10999999999999999"/>
  </r>
  <r>
    <x v="0"/>
    <x v="1"/>
    <n v="332"/>
    <n v="8735"/>
    <n v="1288"/>
    <x v="47"/>
    <x v="0"/>
    <x v="2"/>
    <n v="22"/>
    <n v="22"/>
    <n v="0.63"/>
    <n v="0.37"/>
  </r>
  <r>
    <x v="0"/>
    <x v="1"/>
    <n v="609"/>
    <n v="28709"/>
    <n v="859"/>
    <x v="48"/>
    <x v="1"/>
    <x v="2"/>
    <n v="14"/>
    <n v="68"/>
    <n v="0.67"/>
    <n v="0.32999999999999996"/>
  </r>
  <r>
    <x v="0"/>
    <x v="1"/>
    <n v="259"/>
    <n v="10400"/>
    <n v="877"/>
    <x v="49"/>
    <x v="2"/>
    <x v="2"/>
    <n v="21"/>
    <n v="46"/>
    <n v="0.87"/>
    <n v="0.13"/>
  </r>
  <r>
    <x v="0"/>
    <x v="1"/>
    <n v="535"/>
    <n v="30375"/>
    <n v="448"/>
    <x v="50"/>
    <x v="3"/>
    <x v="2"/>
    <n v="6"/>
    <n v="38"/>
    <n v="0.47"/>
    <n v="0.53"/>
  </r>
  <r>
    <x v="0"/>
    <x v="2"/>
    <n v="216"/>
    <n v="11447"/>
    <n v="528"/>
    <x v="36"/>
    <x v="0"/>
    <x v="2"/>
    <n v="12"/>
    <n v="3"/>
    <n v="0.78"/>
    <n v="0.21999999999999997"/>
  </r>
  <r>
    <x v="0"/>
    <x v="2"/>
    <n v="197"/>
    <n v="17683"/>
    <n v="397"/>
    <x v="51"/>
    <x v="1"/>
    <x v="2"/>
    <n v="20"/>
    <n v="57"/>
    <n v="0.6"/>
    <n v="0.4"/>
  </r>
  <r>
    <x v="0"/>
    <x v="2"/>
    <n v="89"/>
    <n v="7958"/>
    <n v="176"/>
    <x v="13"/>
    <x v="2"/>
    <x v="2"/>
    <n v="16"/>
    <n v="17"/>
    <n v="0.33"/>
    <n v="0.66999999999999993"/>
  </r>
  <r>
    <x v="0"/>
    <x v="2"/>
    <n v="70"/>
    <n v="14194"/>
    <n v="45"/>
    <x v="52"/>
    <x v="3"/>
    <x v="2"/>
    <n v="1"/>
    <n v="41"/>
    <n v="0.76"/>
    <n v="0.24"/>
  </r>
  <r>
    <x v="0"/>
    <x v="3"/>
    <n v="261"/>
    <n v="13611"/>
    <n v="140"/>
    <x v="53"/>
    <x v="0"/>
    <x v="2"/>
    <n v="18"/>
    <n v="5"/>
    <n v="0.81"/>
    <n v="0.18999999999999995"/>
  </r>
  <r>
    <x v="0"/>
    <x v="3"/>
    <n v="300"/>
    <n v="17442"/>
    <n v="267"/>
    <x v="54"/>
    <x v="1"/>
    <x v="2"/>
    <n v="6"/>
    <n v="28"/>
    <n v="0.75"/>
    <n v="0.25"/>
  </r>
  <r>
    <x v="0"/>
    <x v="3"/>
    <n v="74"/>
    <n v="6030"/>
    <n v="482"/>
    <x v="55"/>
    <x v="2"/>
    <x v="2"/>
    <n v="9"/>
    <n v="6"/>
    <n v="0.81"/>
    <n v="0.18999999999999995"/>
  </r>
  <r>
    <x v="0"/>
    <x v="3"/>
    <n v="113"/>
    <n v="9861"/>
    <n v="609"/>
    <x v="56"/>
    <x v="3"/>
    <x v="2"/>
    <n v="23"/>
    <n v="67"/>
    <n v="0.88"/>
    <n v="0.12"/>
  </r>
  <r>
    <x v="0"/>
    <x v="4"/>
    <n v="90"/>
    <n v="3727"/>
    <n v="278"/>
    <x v="57"/>
    <x v="0"/>
    <x v="2"/>
    <n v="22"/>
    <n v="20"/>
    <n v="0.46"/>
    <n v="0.54"/>
  </r>
  <r>
    <x v="0"/>
    <x v="4"/>
    <n v="100"/>
    <n v="2993"/>
    <n v="129"/>
    <x v="58"/>
    <x v="1"/>
    <x v="2"/>
    <n v="17"/>
    <n v="77"/>
    <n v="0.55000000000000004"/>
    <n v="0.44999999999999996"/>
  </r>
  <r>
    <x v="0"/>
    <x v="4"/>
    <n v="71"/>
    <n v="4141"/>
    <n v="214"/>
    <x v="59"/>
    <x v="2"/>
    <x v="2"/>
    <n v="4"/>
    <n v="16"/>
    <n v="0.45"/>
    <n v="0.55000000000000004"/>
  </r>
  <r>
    <x v="0"/>
    <x v="4"/>
    <n v="81"/>
    <n v="3407"/>
    <n v="65"/>
    <x v="60"/>
    <x v="3"/>
    <x v="2"/>
    <n v="16"/>
    <n v="11"/>
    <n v="0.56000000000000005"/>
    <n v="0.43999999999999995"/>
  </r>
  <r>
    <x v="0"/>
    <x v="5"/>
    <n v="114"/>
    <n v="9839"/>
    <n v="123"/>
    <x v="61"/>
    <x v="0"/>
    <x v="2"/>
    <n v="8"/>
    <n v="2"/>
    <n v="0.23"/>
    <n v="0.77"/>
  </r>
  <r>
    <x v="0"/>
    <x v="5"/>
    <n v="31"/>
    <n v="7409"/>
    <n v="137"/>
    <x v="36"/>
    <x v="1"/>
    <x v="2"/>
    <n v="4"/>
    <n v="67"/>
    <n v="0.51"/>
    <n v="0.49"/>
  </r>
  <r>
    <x v="0"/>
    <x v="5"/>
    <n v="98"/>
    <n v="7516"/>
    <n v="122"/>
    <x v="62"/>
    <x v="2"/>
    <x v="2"/>
    <n v="23"/>
    <n v="24"/>
    <n v="0.66"/>
    <n v="0.33999999999999997"/>
  </r>
  <r>
    <x v="0"/>
    <x v="5"/>
    <n v="15"/>
    <n v="5086"/>
    <n v="136"/>
    <x v="63"/>
    <x v="3"/>
    <x v="2"/>
    <n v="14"/>
    <n v="15"/>
    <n v="0.17"/>
    <n v="0.83"/>
  </r>
  <r>
    <x v="1"/>
    <x v="0"/>
    <n v="850"/>
    <n v="86305"/>
    <n v="1507"/>
    <x v="64"/>
    <x v="0"/>
    <x v="0"/>
    <n v="16"/>
    <n v="60"/>
    <n v="0.68"/>
    <n v="0.31999999999999995"/>
  </r>
  <r>
    <x v="1"/>
    <x v="0"/>
    <n v="263"/>
    <n v="65012"/>
    <n v="1195"/>
    <x v="65"/>
    <x v="1"/>
    <x v="0"/>
    <n v="10"/>
    <n v="54"/>
    <n v="0.65"/>
    <n v="0.35"/>
  </r>
  <r>
    <x v="1"/>
    <x v="0"/>
    <n v="1717"/>
    <n v="72827"/>
    <n v="2767"/>
    <x v="66"/>
    <x v="2"/>
    <x v="0"/>
    <n v="8"/>
    <n v="63"/>
    <n v="0.7"/>
    <n v="0.30000000000000004"/>
  </r>
  <r>
    <x v="1"/>
    <x v="0"/>
    <n v="1130"/>
    <n v="51535"/>
    <n v="2456"/>
    <x v="21"/>
    <x v="3"/>
    <x v="0"/>
    <n v="5"/>
    <n v="52"/>
    <n v="0.35"/>
    <n v="0.65"/>
  </r>
  <r>
    <x v="1"/>
    <x v="1"/>
    <n v="340"/>
    <n v="29343"/>
    <n v="1960"/>
    <x v="67"/>
    <x v="0"/>
    <x v="0"/>
    <n v="7"/>
    <n v="36"/>
    <n v="0.14000000000000001"/>
    <n v="0.86"/>
  </r>
  <r>
    <x v="1"/>
    <x v="1"/>
    <n v="989"/>
    <n v="25678"/>
    <n v="2101"/>
    <x v="68"/>
    <x v="1"/>
    <x v="0"/>
    <n v="19"/>
    <n v="21"/>
    <n v="0.88"/>
    <n v="0.12"/>
  </r>
  <r>
    <x v="1"/>
    <x v="1"/>
    <n v="640"/>
    <n v="12288"/>
    <n v="1158"/>
    <x v="69"/>
    <x v="2"/>
    <x v="0"/>
    <n v="17"/>
    <n v="52"/>
    <n v="0.38"/>
    <n v="0.62"/>
  </r>
  <r>
    <x v="1"/>
    <x v="1"/>
    <n v="1289"/>
    <n v="8623"/>
    <n v="1299"/>
    <x v="45"/>
    <x v="3"/>
    <x v="0"/>
    <n v="15"/>
    <n v="77"/>
    <n v="0.33"/>
    <n v="0.66999999999999993"/>
  </r>
  <r>
    <x v="1"/>
    <x v="2"/>
    <n v="437"/>
    <n v="58600"/>
    <n v="1338"/>
    <x v="70"/>
    <x v="0"/>
    <x v="0"/>
    <n v="2"/>
    <n v="41"/>
    <n v="0.12"/>
    <n v="0.88"/>
  </r>
  <r>
    <x v="1"/>
    <x v="2"/>
    <n v="356"/>
    <n v="33797"/>
    <n v="942"/>
    <x v="71"/>
    <x v="1"/>
    <x v="0"/>
    <n v="4"/>
    <n v="16"/>
    <n v="0.38"/>
    <n v="0.62"/>
  </r>
  <r>
    <x v="1"/>
    <x v="2"/>
    <n v="367"/>
    <n v="58662"/>
    <n v="505"/>
    <x v="72"/>
    <x v="2"/>
    <x v="0"/>
    <n v="15"/>
    <n v="9"/>
    <n v="0.52"/>
    <n v="0.48"/>
  </r>
  <r>
    <x v="1"/>
    <x v="2"/>
    <n v="286"/>
    <n v="33859"/>
    <n v="109"/>
    <x v="67"/>
    <x v="3"/>
    <x v="0"/>
    <n v="9"/>
    <n v="67"/>
    <n v="0.47"/>
    <n v="0.53"/>
  </r>
  <r>
    <x v="1"/>
    <x v="3"/>
    <n v="750"/>
    <n v="111352"/>
    <n v="2372"/>
    <x v="73"/>
    <x v="0"/>
    <x v="0"/>
    <n v="21"/>
    <n v="69"/>
    <n v="0.47"/>
    <n v="0.53"/>
  </r>
  <r>
    <x v="1"/>
    <x v="3"/>
    <n v="340"/>
    <n v="88051"/>
    <n v="1208"/>
    <x v="74"/>
    <x v="1"/>
    <x v="0"/>
    <n v="2"/>
    <n v="50"/>
    <n v="0.16"/>
    <n v="0.84"/>
  </r>
  <r>
    <x v="1"/>
    <x v="3"/>
    <n v="979"/>
    <n v="38908"/>
    <n v="1431"/>
    <x v="75"/>
    <x v="2"/>
    <x v="0"/>
    <n v="3"/>
    <n v="12"/>
    <n v="0.63"/>
    <n v="0.37"/>
  </r>
  <r>
    <x v="1"/>
    <x v="3"/>
    <n v="569"/>
    <n v="15607"/>
    <n v="267"/>
    <x v="8"/>
    <x v="3"/>
    <x v="0"/>
    <n v="21"/>
    <n v="17"/>
    <n v="0.39"/>
    <n v="0.61"/>
  </r>
  <r>
    <x v="1"/>
    <x v="4"/>
    <n v="353"/>
    <n v="25241"/>
    <n v="386"/>
    <x v="76"/>
    <x v="0"/>
    <x v="0"/>
    <n v="21"/>
    <n v="1"/>
    <n v="0.85"/>
    <n v="0.15000000000000002"/>
  </r>
  <r>
    <x v="1"/>
    <x v="4"/>
    <n v="306"/>
    <n v="20263"/>
    <n v="579"/>
    <x v="5"/>
    <x v="1"/>
    <x v="0"/>
    <n v="11"/>
    <n v="61"/>
    <n v="0.41"/>
    <n v="0.59000000000000008"/>
  </r>
  <r>
    <x v="1"/>
    <x v="4"/>
    <n v="138"/>
    <n v="7442"/>
    <n v="309"/>
    <x v="77"/>
    <x v="2"/>
    <x v="0"/>
    <n v="22"/>
    <n v="47"/>
    <n v="0.88"/>
    <n v="0.12"/>
  </r>
  <r>
    <x v="1"/>
    <x v="4"/>
    <n v="90"/>
    <n v="2464"/>
    <n v="502"/>
    <x v="78"/>
    <x v="3"/>
    <x v="0"/>
    <n v="18"/>
    <n v="40"/>
    <n v="0.12"/>
    <n v="0.88"/>
  </r>
  <r>
    <x v="1"/>
    <x v="5"/>
    <n v="174"/>
    <n v="21329"/>
    <n v="367"/>
    <x v="79"/>
    <x v="0"/>
    <x v="0"/>
    <n v="19"/>
    <n v="37"/>
    <n v="0.63"/>
    <n v="0.37"/>
  </r>
  <r>
    <x v="1"/>
    <x v="5"/>
    <n v="179"/>
    <n v="15624"/>
    <n v="297"/>
    <x v="80"/>
    <x v="1"/>
    <x v="0"/>
    <n v="20"/>
    <n v="75"/>
    <n v="0.53"/>
    <n v="0.47"/>
  </r>
  <r>
    <x v="1"/>
    <x v="5"/>
    <n v="113"/>
    <n v="24395"/>
    <n v="287"/>
    <x v="76"/>
    <x v="2"/>
    <x v="0"/>
    <n v="17"/>
    <n v="40"/>
    <n v="0.89"/>
    <n v="0.10999999999999999"/>
  </r>
  <r>
    <x v="1"/>
    <x v="5"/>
    <n v="117"/>
    <n v="18690"/>
    <n v="217"/>
    <x v="54"/>
    <x v="3"/>
    <x v="0"/>
    <n v="6"/>
    <n v="73"/>
    <n v="0.8"/>
    <n v="0.19999999999999996"/>
  </r>
  <r>
    <x v="1"/>
    <x v="0"/>
    <n v="814"/>
    <n v="27809"/>
    <n v="1220"/>
    <x v="81"/>
    <x v="0"/>
    <x v="1"/>
    <n v="3"/>
    <n v="58"/>
    <n v="0.86"/>
    <n v="0.14000000000000001"/>
  </r>
  <r>
    <x v="1"/>
    <x v="0"/>
    <n v="465"/>
    <n v="54906"/>
    <n v="1731"/>
    <x v="82"/>
    <x v="1"/>
    <x v="1"/>
    <n v="10"/>
    <n v="63"/>
    <n v="0.56999999999999995"/>
    <n v="0.43000000000000005"/>
  </r>
  <r>
    <x v="1"/>
    <x v="0"/>
    <n v="1340"/>
    <n v="35911"/>
    <n v="1879"/>
    <x v="4"/>
    <x v="2"/>
    <x v="1"/>
    <n v="4"/>
    <n v="62"/>
    <n v="0.28000000000000003"/>
    <n v="0.72"/>
  </r>
  <r>
    <x v="1"/>
    <x v="0"/>
    <n v="991"/>
    <n v="63008"/>
    <n v="2390"/>
    <x v="83"/>
    <x v="3"/>
    <x v="1"/>
    <n v="1"/>
    <n v="54"/>
    <n v="0.48"/>
    <n v="0.52"/>
  </r>
  <r>
    <x v="1"/>
    <x v="1"/>
    <n v="462"/>
    <n v="20048"/>
    <n v="531"/>
    <x v="84"/>
    <x v="0"/>
    <x v="1"/>
    <n v="17"/>
    <n v="33"/>
    <n v="0.38"/>
    <n v="0.62"/>
  </r>
  <r>
    <x v="1"/>
    <x v="1"/>
    <n v="392"/>
    <n v="13996"/>
    <n v="576"/>
    <x v="85"/>
    <x v="1"/>
    <x v="1"/>
    <n v="21"/>
    <n v="15"/>
    <n v="0.35"/>
    <n v="0.65"/>
  </r>
  <r>
    <x v="1"/>
    <x v="1"/>
    <n v="352"/>
    <n v="11019"/>
    <n v="912"/>
    <x v="86"/>
    <x v="2"/>
    <x v="1"/>
    <n v="10"/>
    <n v="29"/>
    <n v="0.19"/>
    <n v="0.81"/>
  </r>
  <r>
    <x v="1"/>
    <x v="1"/>
    <n v="281"/>
    <n v="4967"/>
    <n v="957"/>
    <x v="87"/>
    <x v="3"/>
    <x v="1"/>
    <n v="17"/>
    <n v="56"/>
    <n v="0.44"/>
    <n v="0.56000000000000005"/>
  </r>
  <r>
    <x v="1"/>
    <x v="2"/>
    <n v="300"/>
    <n v="28267"/>
    <n v="575"/>
    <x v="88"/>
    <x v="0"/>
    <x v="1"/>
    <n v="13"/>
    <n v="63"/>
    <n v="0.33"/>
    <n v="0.66999999999999993"/>
  </r>
  <r>
    <x v="1"/>
    <x v="2"/>
    <n v="244"/>
    <n v="29983"/>
    <n v="707"/>
    <x v="64"/>
    <x v="1"/>
    <x v="1"/>
    <n v="16"/>
    <n v="66"/>
    <n v="0.73"/>
    <n v="0.27"/>
  </r>
  <r>
    <x v="1"/>
    <x v="2"/>
    <n v="232"/>
    <n v="30934"/>
    <n v="246"/>
    <x v="89"/>
    <x v="2"/>
    <x v="1"/>
    <n v="21"/>
    <n v="54"/>
    <n v="0.54"/>
    <n v="0.45999999999999996"/>
  </r>
  <r>
    <x v="1"/>
    <x v="2"/>
    <n v="176"/>
    <n v="32650"/>
    <n v="378"/>
    <x v="90"/>
    <x v="3"/>
    <x v="1"/>
    <n v="13"/>
    <n v="5"/>
    <n v="0.28999999999999998"/>
    <n v="0.71"/>
  </r>
  <r>
    <x v="1"/>
    <x v="3"/>
    <n v="725"/>
    <n v="34317"/>
    <n v="707"/>
    <x v="57"/>
    <x v="0"/>
    <x v="1"/>
    <n v="13"/>
    <n v="18"/>
    <n v="0.21"/>
    <n v="0.79"/>
  </r>
  <r>
    <x v="1"/>
    <x v="3"/>
    <n v="826"/>
    <n v="25389"/>
    <n v="1692"/>
    <x v="50"/>
    <x v="1"/>
    <x v="1"/>
    <n v="13"/>
    <n v="41"/>
    <n v="0.37"/>
    <n v="0.63"/>
  </r>
  <r>
    <x v="1"/>
    <x v="3"/>
    <n v="403"/>
    <n v="58259"/>
    <n v="767"/>
    <x v="91"/>
    <x v="2"/>
    <x v="1"/>
    <n v="4"/>
    <n v="8"/>
    <n v="0.63"/>
    <n v="0.37"/>
  </r>
  <r>
    <x v="1"/>
    <x v="3"/>
    <n v="504"/>
    <n v="49331"/>
    <n v="1752"/>
    <x v="92"/>
    <x v="3"/>
    <x v="1"/>
    <n v="21"/>
    <n v="56"/>
    <n v="0.57999999999999996"/>
    <n v="0.42000000000000004"/>
  </r>
  <r>
    <x v="1"/>
    <x v="4"/>
    <n v="162"/>
    <n v="12114"/>
    <n v="321"/>
    <x v="93"/>
    <x v="0"/>
    <x v="1"/>
    <n v="2"/>
    <n v="67"/>
    <n v="0.67"/>
    <n v="0.32999999999999996"/>
  </r>
  <r>
    <x v="1"/>
    <x v="4"/>
    <n v="19"/>
    <n v="3359"/>
    <n v="183"/>
    <x v="79"/>
    <x v="1"/>
    <x v="1"/>
    <n v="15"/>
    <n v="39"/>
    <n v="0.79"/>
    <n v="0.20999999999999996"/>
  </r>
  <r>
    <x v="1"/>
    <x v="4"/>
    <n v="348"/>
    <n v="14894"/>
    <n v="551"/>
    <x v="94"/>
    <x v="2"/>
    <x v="1"/>
    <n v="20"/>
    <n v="69"/>
    <n v="0.26"/>
    <n v="0.74"/>
  </r>
  <r>
    <x v="1"/>
    <x v="4"/>
    <n v="204"/>
    <n v="6139"/>
    <n v="413"/>
    <x v="95"/>
    <x v="3"/>
    <x v="1"/>
    <n v="8"/>
    <n v="60"/>
    <n v="0.31"/>
    <n v="0.69"/>
  </r>
  <r>
    <x v="1"/>
    <x v="5"/>
    <n v="100"/>
    <n v="14962"/>
    <n v="214"/>
    <x v="96"/>
    <x v="0"/>
    <x v="1"/>
    <n v="2"/>
    <n v="28"/>
    <n v="0.37"/>
    <n v="0.63"/>
  </r>
  <r>
    <x v="1"/>
    <x v="5"/>
    <n v="67"/>
    <n v="8775"/>
    <n v="182"/>
    <x v="97"/>
    <x v="1"/>
    <x v="1"/>
    <n v="13"/>
    <n v="53"/>
    <n v="0.35"/>
    <n v="0.65"/>
  </r>
  <r>
    <x v="1"/>
    <x v="5"/>
    <n v="124"/>
    <n v="17591"/>
    <n v="202"/>
    <x v="98"/>
    <x v="2"/>
    <x v="1"/>
    <n v="19"/>
    <n v="15"/>
    <n v="0.8"/>
    <n v="0.19999999999999996"/>
  </r>
  <r>
    <x v="1"/>
    <x v="5"/>
    <n v="92"/>
    <n v="11404"/>
    <n v="170"/>
    <x v="99"/>
    <x v="3"/>
    <x v="1"/>
    <n v="13"/>
    <n v="58"/>
    <n v="0.55000000000000004"/>
    <n v="0.44999999999999996"/>
  </r>
  <r>
    <x v="1"/>
    <x v="0"/>
    <n v="341"/>
    <n v="7240"/>
    <n v="1248"/>
    <x v="100"/>
    <x v="0"/>
    <x v="2"/>
    <n v="2"/>
    <n v="59"/>
    <n v="0.32"/>
    <n v="0.67999999999999994"/>
  </r>
  <r>
    <x v="1"/>
    <x v="0"/>
    <n v="379"/>
    <n v="26919"/>
    <n v="738"/>
    <x v="101"/>
    <x v="1"/>
    <x v="2"/>
    <n v="12"/>
    <n v="43"/>
    <n v="0.76"/>
    <n v="0.24"/>
  </r>
  <r>
    <x v="1"/>
    <x v="0"/>
    <n v="890"/>
    <n v="44074"/>
    <n v="1802"/>
    <x v="64"/>
    <x v="2"/>
    <x v="2"/>
    <n v="20"/>
    <n v="59"/>
    <n v="0.82"/>
    <n v="0.18000000000000005"/>
  </r>
  <r>
    <x v="1"/>
    <x v="0"/>
    <n v="928"/>
    <n v="63753"/>
    <n v="1292"/>
    <x v="102"/>
    <x v="3"/>
    <x v="2"/>
    <n v="18"/>
    <n v="49"/>
    <n v="0.54"/>
    <n v="0.45999999999999996"/>
  </r>
  <r>
    <x v="1"/>
    <x v="1"/>
    <n v="116"/>
    <n v="4082"/>
    <n v="592"/>
    <x v="62"/>
    <x v="0"/>
    <x v="2"/>
    <n v="14"/>
    <n v="65"/>
    <n v="0.46"/>
    <n v="0.54"/>
  </r>
  <r>
    <x v="1"/>
    <x v="1"/>
    <n v="235"/>
    <n v="10393"/>
    <n v="1118"/>
    <x v="103"/>
    <x v="1"/>
    <x v="2"/>
    <n v="14"/>
    <n v="2"/>
    <n v="0.35"/>
    <n v="0.65"/>
  </r>
  <r>
    <x v="1"/>
    <x v="1"/>
    <n v="346"/>
    <n v="9161"/>
    <n v="45"/>
    <x v="104"/>
    <x v="2"/>
    <x v="2"/>
    <n v="17"/>
    <n v="10"/>
    <n v="0.48"/>
    <n v="0.52"/>
  </r>
  <r>
    <x v="1"/>
    <x v="1"/>
    <n v="465"/>
    <n v="15472"/>
    <n v="571"/>
    <x v="105"/>
    <x v="3"/>
    <x v="2"/>
    <n v="1"/>
    <n v="25"/>
    <n v="0.82"/>
    <n v="0.18000000000000005"/>
  </r>
  <r>
    <x v="1"/>
    <x v="2"/>
    <n v="180"/>
    <n v="29651"/>
    <n v="210"/>
    <x v="106"/>
    <x v="0"/>
    <x v="2"/>
    <n v="20"/>
    <n v="1"/>
    <n v="0.42"/>
    <n v="0.58000000000000007"/>
  </r>
  <r>
    <x v="1"/>
    <x v="2"/>
    <n v="152"/>
    <n v="25797"/>
    <n v="102"/>
    <x v="107"/>
    <x v="1"/>
    <x v="2"/>
    <n v="8"/>
    <n v="44"/>
    <n v="0.26"/>
    <n v="0.74"/>
  </r>
  <r>
    <x v="1"/>
    <x v="2"/>
    <n v="220"/>
    <n v="21824"/>
    <n v="643"/>
    <x v="15"/>
    <x v="2"/>
    <x v="2"/>
    <n v="9"/>
    <n v="70"/>
    <n v="0.77"/>
    <n v="0.22999999999999998"/>
  </r>
  <r>
    <x v="1"/>
    <x v="2"/>
    <n v="192"/>
    <n v="17969"/>
    <n v="535"/>
    <x v="108"/>
    <x v="3"/>
    <x v="2"/>
    <n v="16"/>
    <n v="77"/>
    <n v="0.52"/>
    <n v="0.48"/>
  </r>
  <r>
    <x v="1"/>
    <x v="3"/>
    <n v="181"/>
    <n v="48232"/>
    <n v="659"/>
    <x v="98"/>
    <x v="0"/>
    <x v="2"/>
    <n v="12"/>
    <n v="15"/>
    <n v="0.77"/>
    <n v="0.22999999999999998"/>
  </r>
  <r>
    <x v="1"/>
    <x v="3"/>
    <n v="440"/>
    <n v="58669"/>
    <n v="97"/>
    <x v="105"/>
    <x v="1"/>
    <x v="2"/>
    <n v="20"/>
    <n v="45"/>
    <n v="0.13"/>
    <n v="0.87"/>
  </r>
  <r>
    <x v="1"/>
    <x v="3"/>
    <n v="110"/>
    <n v="6721"/>
    <n v="1005"/>
    <x v="109"/>
    <x v="2"/>
    <x v="2"/>
    <n v="12"/>
    <n v="52"/>
    <n v="0.31"/>
    <n v="0.69"/>
  </r>
  <r>
    <x v="1"/>
    <x v="3"/>
    <n v="369"/>
    <n v="17157"/>
    <n v="443"/>
    <x v="23"/>
    <x v="3"/>
    <x v="2"/>
    <n v="23"/>
    <n v="56"/>
    <n v="0.52"/>
    <n v="0.48"/>
  </r>
  <r>
    <x v="1"/>
    <x v="4"/>
    <n v="151"/>
    <n v="3855"/>
    <n v="229"/>
    <x v="110"/>
    <x v="0"/>
    <x v="2"/>
    <n v="15"/>
    <n v="33"/>
    <n v="0.62"/>
    <n v="0.38"/>
  </r>
  <r>
    <x v="1"/>
    <x v="4"/>
    <n v="104"/>
    <n v="3873"/>
    <n v="299"/>
    <x v="111"/>
    <x v="1"/>
    <x v="2"/>
    <n v="5"/>
    <n v="77"/>
    <n v="0.84"/>
    <n v="0.16000000000000003"/>
  </r>
  <r>
    <x v="1"/>
    <x v="4"/>
    <n v="149"/>
    <n v="10396"/>
    <n v="207"/>
    <x v="2"/>
    <x v="2"/>
    <x v="2"/>
    <n v="5"/>
    <n v="5"/>
    <n v="0.56999999999999995"/>
    <n v="0.43000000000000005"/>
  </r>
  <r>
    <x v="1"/>
    <x v="4"/>
    <n v="102"/>
    <n v="10414"/>
    <n v="278"/>
    <x v="112"/>
    <x v="3"/>
    <x v="2"/>
    <n v="9"/>
    <n v="40"/>
    <n v="0.32"/>
    <n v="0.67999999999999994"/>
  </r>
  <r>
    <x v="1"/>
    <x v="5"/>
    <n v="194"/>
    <n v="9491"/>
    <n v="173"/>
    <x v="113"/>
    <x v="0"/>
    <x v="2"/>
    <n v="17"/>
    <n v="66"/>
    <n v="0.71"/>
    <n v="0.29000000000000004"/>
  </r>
  <r>
    <x v="1"/>
    <x v="5"/>
    <n v="63"/>
    <n v="10115"/>
    <n v="155"/>
    <x v="114"/>
    <x v="1"/>
    <x v="2"/>
    <n v="17"/>
    <n v="73"/>
    <n v="0.73"/>
    <n v="0.27"/>
  </r>
  <r>
    <x v="1"/>
    <x v="5"/>
    <n v="162"/>
    <n v="10496"/>
    <n v="295"/>
    <x v="115"/>
    <x v="2"/>
    <x v="2"/>
    <n v="20"/>
    <n v="4"/>
    <n v="0.28000000000000003"/>
    <n v="0.72"/>
  </r>
  <r>
    <x v="1"/>
    <x v="5"/>
    <n v="31"/>
    <n v="11120"/>
    <n v="277"/>
    <x v="61"/>
    <x v="3"/>
    <x v="2"/>
    <n v="10"/>
    <n v="75"/>
    <n v="0.78"/>
    <n v="0.21999999999999997"/>
  </r>
  <r>
    <x v="2"/>
    <x v="0"/>
    <n v="318"/>
    <n v="87578"/>
    <n v="701"/>
    <x v="116"/>
    <x v="0"/>
    <x v="0"/>
    <n v="10"/>
    <n v="33"/>
    <n v="0.53"/>
    <n v="0.47"/>
  </r>
  <r>
    <x v="2"/>
    <x v="0"/>
    <n v="36"/>
    <n v="27353"/>
    <n v="294"/>
    <x v="117"/>
    <x v="1"/>
    <x v="0"/>
    <n v="1"/>
    <n v="40"/>
    <n v="0.31"/>
    <n v="0.69"/>
  </r>
  <r>
    <x v="2"/>
    <x v="0"/>
    <n v="435"/>
    <n v="190190"/>
    <n v="649"/>
    <x v="118"/>
    <x v="2"/>
    <x v="0"/>
    <n v="12"/>
    <n v="29"/>
    <n v="0.15"/>
    <n v="0.85"/>
  </r>
  <r>
    <x v="2"/>
    <x v="0"/>
    <n v="153"/>
    <n v="129965"/>
    <n v="242"/>
    <x v="119"/>
    <x v="3"/>
    <x v="0"/>
    <n v="11"/>
    <n v="45"/>
    <n v="0.48"/>
    <n v="0.52"/>
  </r>
  <r>
    <x v="2"/>
    <x v="1"/>
    <n v="921"/>
    <n v="19713"/>
    <n v="1428"/>
    <x v="118"/>
    <x v="0"/>
    <x v="0"/>
    <n v="10"/>
    <n v="49"/>
    <n v="0.1"/>
    <n v="0.9"/>
  </r>
  <r>
    <x v="2"/>
    <x v="1"/>
    <n v="1384"/>
    <n v="31608"/>
    <n v="1522"/>
    <x v="120"/>
    <x v="1"/>
    <x v="0"/>
    <n v="13"/>
    <n v="1"/>
    <n v="0.52"/>
    <n v="0.48"/>
  </r>
  <r>
    <x v="2"/>
    <x v="1"/>
    <n v="316"/>
    <n v="23378"/>
    <n v="1878"/>
    <x v="118"/>
    <x v="2"/>
    <x v="0"/>
    <n v="12"/>
    <n v="39"/>
    <n v="0.46"/>
    <n v="0.54"/>
  </r>
  <r>
    <x v="2"/>
    <x v="1"/>
    <n v="778"/>
    <n v="35274"/>
    <n v="1972"/>
    <x v="76"/>
    <x v="3"/>
    <x v="0"/>
    <n v="5"/>
    <n v="43"/>
    <n v="0.55000000000000004"/>
    <n v="0.44999999999999996"/>
  </r>
  <r>
    <x v="2"/>
    <x v="2"/>
    <n v="27"/>
    <n v="155407"/>
    <n v="47"/>
    <x v="121"/>
    <x v="0"/>
    <x v="0"/>
    <n v="16"/>
    <n v="26"/>
    <n v="0.18"/>
    <n v="0.82000000000000006"/>
  </r>
  <r>
    <x v="2"/>
    <x v="2"/>
    <n v="86"/>
    <n v="96774"/>
    <n v="235"/>
    <x v="107"/>
    <x v="1"/>
    <x v="0"/>
    <n v="9"/>
    <n v="16"/>
    <n v="0.27"/>
    <n v="0.73"/>
  </r>
  <r>
    <x v="2"/>
    <x v="2"/>
    <n v="82"/>
    <n v="158083"/>
    <n v="101"/>
    <x v="76"/>
    <x v="2"/>
    <x v="0"/>
    <n v="13"/>
    <n v="39"/>
    <n v="0.66"/>
    <n v="0.33999999999999997"/>
  </r>
  <r>
    <x v="2"/>
    <x v="2"/>
    <n v="141"/>
    <n v="99450"/>
    <n v="290"/>
    <x v="122"/>
    <x v="3"/>
    <x v="0"/>
    <n v="1"/>
    <n v="13"/>
    <n v="0.11"/>
    <n v="0.89"/>
  </r>
  <r>
    <x v="2"/>
    <x v="3"/>
    <n v="405"/>
    <n v="52262"/>
    <n v="614"/>
    <x v="123"/>
    <x v="0"/>
    <x v="0"/>
    <n v="4"/>
    <n v="60"/>
    <n v="0.6"/>
    <n v="0.4"/>
  </r>
  <r>
    <x v="2"/>
    <x v="3"/>
    <n v="295"/>
    <n v="66159"/>
    <n v="874"/>
    <x v="70"/>
    <x v="1"/>
    <x v="0"/>
    <n v="1"/>
    <n v="18"/>
    <n v="0.33"/>
    <n v="0.66999999999999993"/>
  </r>
  <r>
    <x v="2"/>
    <x v="3"/>
    <n v="244"/>
    <n v="28246"/>
    <n v="205"/>
    <x v="124"/>
    <x v="2"/>
    <x v="0"/>
    <n v="18"/>
    <n v="65"/>
    <n v="0.33"/>
    <n v="0.66999999999999993"/>
  </r>
  <r>
    <x v="2"/>
    <x v="3"/>
    <n v="134"/>
    <n v="42143"/>
    <n v="465"/>
    <x v="125"/>
    <x v="3"/>
    <x v="0"/>
    <n v="23"/>
    <n v="60"/>
    <n v="0.81"/>
    <n v="0.18999999999999995"/>
  </r>
  <r>
    <x v="2"/>
    <x v="4"/>
    <n v="140"/>
    <n v="24294"/>
    <n v="368"/>
    <x v="126"/>
    <x v="0"/>
    <x v="0"/>
    <n v="8"/>
    <n v="10"/>
    <n v="0.32"/>
    <n v="0.67999999999999994"/>
  </r>
  <r>
    <x v="2"/>
    <x v="4"/>
    <n v="138"/>
    <n v="27482"/>
    <n v="490"/>
    <x v="70"/>
    <x v="1"/>
    <x v="0"/>
    <n v="9"/>
    <n v="27"/>
    <n v="0.31"/>
    <n v="0.69"/>
  </r>
  <r>
    <x v="2"/>
    <x v="4"/>
    <n v="133"/>
    <n v="16465"/>
    <n v="54"/>
    <x v="127"/>
    <x v="2"/>
    <x v="0"/>
    <n v="17"/>
    <n v="19"/>
    <n v="0.25"/>
    <n v="0.75"/>
  </r>
  <r>
    <x v="2"/>
    <x v="4"/>
    <n v="131"/>
    <n v="19653"/>
    <n v="175"/>
    <x v="128"/>
    <x v="3"/>
    <x v="0"/>
    <n v="11"/>
    <n v="50"/>
    <n v="0.56999999999999995"/>
    <n v="0.43000000000000005"/>
  </r>
  <r>
    <x v="2"/>
    <x v="5"/>
    <n v="36"/>
    <n v="46626"/>
    <n v="50"/>
    <x v="129"/>
    <x v="0"/>
    <x v="0"/>
    <n v="15"/>
    <n v="6"/>
    <n v="0.85"/>
    <n v="0.15000000000000002"/>
  </r>
  <r>
    <x v="2"/>
    <x v="5"/>
    <n v="50"/>
    <n v="41793"/>
    <n v="74"/>
    <x v="10"/>
    <x v="1"/>
    <x v="0"/>
    <n v="22"/>
    <n v="38"/>
    <n v="0.32"/>
    <n v="0.67999999999999994"/>
  </r>
  <r>
    <x v="2"/>
    <x v="5"/>
    <n v="32"/>
    <n v="59636"/>
    <n v="93"/>
    <x v="77"/>
    <x v="2"/>
    <x v="0"/>
    <n v="6"/>
    <n v="47"/>
    <n v="0.86"/>
    <n v="0.14000000000000001"/>
  </r>
  <r>
    <x v="2"/>
    <x v="5"/>
    <n v="47"/>
    <n v="54803"/>
    <n v="117"/>
    <x v="130"/>
    <x v="3"/>
    <x v="0"/>
    <n v="22"/>
    <n v="12"/>
    <n v="0.31"/>
    <n v="0.69"/>
  </r>
  <r>
    <x v="2"/>
    <x v="0"/>
    <n v="76"/>
    <n v="85085"/>
    <n v="607"/>
    <x v="131"/>
    <x v="0"/>
    <x v="1"/>
    <n v="7"/>
    <n v="14"/>
    <n v="0.15"/>
    <n v="0.85"/>
  </r>
  <r>
    <x v="2"/>
    <x v="0"/>
    <n v="295"/>
    <n v="55759"/>
    <n v="827"/>
    <x v="123"/>
    <x v="1"/>
    <x v="1"/>
    <n v="23"/>
    <n v="18"/>
    <n v="0.81"/>
    <n v="0.18999999999999995"/>
  </r>
  <r>
    <x v="2"/>
    <x v="0"/>
    <n v="303"/>
    <n v="87572"/>
    <n v="371"/>
    <x v="132"/>
    <x v="2"/>
    <x v="1"/>
    <n v="5"/>
    <n v="35"/>
    <n v="0.63"/>
    <n v="0.37"/>
  </r>
  <r>
    <x v="2"/>
    <x v="0"/>
    <n v="523"/>
    <n v="58246"/>
    <n v="591"/>
    <x v="133"/>
    <x v="3"/>
    <x v="1"/>
    <n v="12"/>
    <n v="42"/>
    <n v="0.34"/>
    <n v="0.65999999999999992"/>
  </r>
  <r>
    <x v="2"/>
    <x v="1"/>
    <n v="469"/>
    <n v="21106"/>
    <n v="1066"/>
    <x v="134"/>
    <x v="0"/>
    <x v="1"/>
    <n v="4"/>
    <n v="51"/>
    <n v="0.78"/>
    <n v="0.21999999999999997"/>
  </r>
  <r>
    <x v="2"/>
    <x v="1"/>
    <n v="130"/>
    <n v="18020"/>
    <n v="951"/>
    <x v="76"/>
    <x v="1"/>
    <x v="1"/>
    <n v="21"/>
    <n v="30"/>
    <n v="0.14000000000000001"/>
    <n v="0.86"/>
  </r>
  <r>
    <x v="2"/>
    <x v="1"/>
    <n v="646"/>
    <n v="18208"/>
    <n v="601"/>
    <x v="135"/>
    <x v="2"/>
    <x v="1"/>
    <n v="2"/>
    <n v="21"/>
    <n v="0.6"/>
    <n v="0.4"/>
  </r>
  <r>
    <x v="2"/>
    <x v="1"/>
    <n v="306"/>
    <n v="15122"/>
    <n v="487"/>
    <x v="136"/>
    <x v="3"/>
    <x v="1"/>
    <n v="4"/>
    <n v="5"/>
    <n v="0.24"/>
    <n v="0.76"/>
  </r>
  <r>
    <x v="2"/>
    <x v="2"/>
    <n v="101"/>
    <n v="42311"/>
    <n v="60"/>
    <x v="137"/>
    <x v="0"/>
    <x v="1"/>
    <n v="14"/>
    <n v="67"/>
    <n v="0.62"/>
    <n v="0.38"/>
  </r>
  <r>
    <x v="2"/>
    <x v="2"/>
    <n v="34"/>
    <n v="54460"/>
    <n v="88"/>
    <x v="32"/>
    <x v="1"/>
    <x v="1"/>
    <n v="16"/>
    <n v="48"/>
    <n v="0.13"/>
    <n v="0.87"/>
  </r>
  <r>
    <x v="2"/>
    <x v="2"/>
    <n v="76"/>
    <n v="113455"/>
    <n v="133"/>
    <x v="138"/>
    <x v="2"/>
    <x v="1"/>
    <n v="17"/>
    <n v="8"/>
    <n v="0.2"/>
    <n v="0.8"/>
  </r>
  <r>
    <x v="2"/>
    <x v="2"/>
    <n v="9"/>
    <n v="125604"/>
    <n v="161"/>
    <x v="28"/>
    <x v="3"/>
    <x v="1"/>
    <n v="15"/>
    <n v="7"/>
    <n v="0.31"/>
    <n v="0.69"/>
  </r>
  <r>
    <x v="2"/>
    <x v="3"/>
    <n v="476"/>
    <n v="5118"/>
    <n v="214"/>
    <x v="139"/>
    <x v="0"/>
    <x v="1"/>
    <n v="20"/>
    <n v="54"/>
    <n v="0.74"/>
    <n v="0.26"/>
  </r>
  <r>
    <x v="2"/>
    <x v="3"/>
    <n v="337"/>
    <n v="26903"/>
    <n v="388"/>
    <x v="112"/>
    <x v="1"/>
    <x v="1"/>
    <n v="14"/>
    <n v="54"/>
    <n v="0.79"/>
    <n v="0.20999999999999996"/>
  </r>
  <r>
    <x v="2"/>
    <x v="3"/>
    <n v="165"/>
    <n v="35296"/>
    <n v="617"/>
    <x v="140"/>
    <x v="2"/>
    <x v="1"/>
    <n v="6"/>
    <n v="37"/>
    <n v="0.83"/>
    <n v="0.17000000000000004"/>
  </r>
  <r>
    <x v="2"/>
    <x v="3"/>
    <n v="26"/>
    <n v="57082"/>
    <n v="791"/>
    <x v="27"/>
    <x v="3"/>
    <x v="1"/>
    <n v="4"/>
    <n v="73"/>
    <n v="0.49"/>
    <n v="0.51"/>
  </r>
  <r>
    <x v="2"/>
    <x v="4"/>
    <n v="169"/>
    <n v="15477"/>
    <n v="339"/>
    <x v="141"/>
    <x v="0"/>
    <x v="1"/>
    <n v="4"/>
    <n v="57"/>
    <n v="0.88"/>
    <n v="0.12"/>
  </r>
  <r>
    <x v="2"/>
    <x v="4"/>
    <n v="170"/>
    <n v="4701"/>
    <n v="240"/>
    <x v="142"/>
    <x v="1"/>
    <x v="1"/>
    <n v="22"/>
    <n v="58"/>
    <n v="0.56000000000000005"/>
    <n v="0.43999999999999995"/>
  </r>
  <r>
    <x v="2"/>
    <x v="4"/>
    <n v="54"/>
    <n v="24253"/>
    <n v="209"/>
    <x v="125"/>
    <x v="2"/>
    <x v="1"/>
    <n v="18"/>
    <n v="51"/>
    <n v="0.56999999999999995"/>
    <n v="0.43000000000000005"/>
  </r>
  <r>
    <x v="2"/>
    <x v="4"/>
    <n v="55"/>
    <n v="13477"/>
    <n v="110"/>
    <x v="141"/>
    <x v="3"/>
    <x v="1"/>
    <n v="7"/>
    <n v="64"/>
    <n v="0.43"/>
    <n v="0.57000000000000006"/>
  </r>
  <r>
    <x v="2"/>
    <x v="5"/>
    <n v="18"/>
    <n v="51460"/>
    <n v="64"/>
    <x v="143"/>
    <x v="0"/>
    <x v="1"/>
    <n v="21"/>
    <n v="60"/>
    <n v="0.12"/>
    <n v="0.88"/>
  </r>
  <r>
    <x v="2"/>
    <x v="5"/>
    <n v="36"/>
    <n v="35842"/>
    <n v="32"/>
    <x v="59"/>
    <x v="1"/>
    <x v="1"/>
    <n v="22"/>
    <n v="61"/>
    <n v="0.8"/>
    <n v="0.19999999999999996"/>
  </r>
  <r>
    <x v="2"/>
    <x v="5"/>
    <n v="18"/>
    <n v="30985"/>
    <n v="77"/>
    <x v="144"/>
    <x v="2"/>
    <x v="1"/>
    <n v="2"/>
    <n v="25"/>
    <n v="0.38"/>
    <n v="0.62"/>
  </r>
  <r>
    <x v="2"/>
    <x v="5"/>
    <n v="36"/>
    <n v="15367"/>
    <n v="45"/>
    <x v="140"/>
    <x v="3"/>
    <x v="1"/>
    <n v="10"/>
    <n v="52"/>
    <n v="0.27"/>
    <n v="0.73"/>
  </r>
  <r>
    <x v="2"/>
    <x v="0"/>
    <n v="223"/>
    <n v="60181"/>
    <n v="372"/>
    <x v="145"/>
    <x v="0"/>
    <x v="2"/>
    <n v="11"/>
    <n v="73"/>
    <n v="0.12"/>
    <n v="0.88"/>
  </r>
  <r>
    <x v="2"/>
    <x v="0"/>
    <n v="253"/>
    <n v="83519"/>
    <n v="209"/>
    <x v="146"/>
    <x v="1"/>
    <x v="2"/>
    <n v="9"/>
    <n v="58"/>
    <n v="0.43"/>
    <n v="0.57000000000000006"/>
  </r>
  <r>
    <x v="2"/>
    <x v="0"/>
    <n v="168"/>
    <n v="28526"/>
    <n v="633"/>
    <x v="147"/>
    <x v="2"/>
    <x v="2"/>
    <n v="20"/>
    <n v="22"/>
    <n v="0.57999999999999996"/>
    <n v="0.42000000000000004"/>
  </r>
  <r>
    <x v="2"/>
    <x v="0"/>
    <n v="197"/>
    <n v="51864"/>
    <n v="470"/>
    <x v="148"/>
    <x v="3"/>
    <x v="2"/>
    <n v="22"/>
    <n v="57"/>
    <n v="0.49"/>
    <n v="0.51"/>
  </r>
  <r>
    <x v="2"/>
    <x v="1"/>
    <n v="333"/>
    <n v="3817"/>
    <n v="1173"/>
    <x v="149"/>
    <x v="0"/>
    <x v="2"/>
    <n v="22"/>
    <n v="61"/>
    <n v="0.64"/>
    <n v="0.36"/>
  </r>
  <r>
    <x v="2"/>
    <x v="1"/>
    <n v="259"/>
    <n v="1526"/>
    <n v="536"/>
    <x v="132"/>
    <x v="1"/>
    <x v="2"/>
    <n v="20"/>
    <n v="36"/>
    <n v="0.3"/>
    <n v="0.7"/>
  </r>
  <r>
    <x v="2"/>
    <x v="1"/>
    <n v="347"/>
    <n v="26794"/>
    <n v="677"/>
    <x v="149"/>
    <x v="2"/>
    <x v="2"/>
    <n v="8"/>
    <n v="53"/>
    <n v="0.34"/>
    <n v="0.65999999999999992"/>
  </r>
  <r>
    <x v="2"/>
    <x v="1"/>
    <n v="273"/>
    <n v="24503"/>
    <n v="40"/>
    <x v="121"/>
    <x v="3"/>
    <x v="2"/>
    <n v="9"/>
    <n v="60"/>
    <n v="0.76"/>
    <n v="0.24"/>
  </r>
  <r>
    <x v="2"/>
    <x v="2"/>
    <n v="17"/>
    <n v="68741"/>
    <n v="50"/>
    <x v="150"/>
    <x v="0"/>
    <x v="2"/>
    <n v="20"/>
    <n v="12"/>
    <n v="0.89"/>
    <n v="0.10999999999999999"/>
  </r>
  <r>
    <x v="2"/>
    <x v="2"/>
    <n v="29"/>
    <n v="89750"/>
    <n v="19"/>
    <x v="151"/>
    <x v="1"/>
    <x v="2"/>
    <n v="1"/>
    <n v="72"/>
    <n v="0.28000000000000003"/>
    <n v="0.72"/>
  </r>
  <r>
    <x v="2"/>
    <x v="2"/>
    <n v="57"/>
    <n v="41514"/>
    <n v="153"/>
    <x v="118"/>
    <x v="2"/>
    <x v="2"/>
    <n v="19"/>
    <n v="67"/>
    <n v="0.69"/>
    <n v="0.31000000000000005"/>
  </r>
  <r>
    <x v="2"/>
    <x v="2"/>
    <n v="68"/>
    <n v="62523"/>
    <n v="123"/>
    <x v="152"/>
    <x v="3"/>
    <x v="2"/>
    <n v="15"/>
    <n v="22"/>
    <n v="0.14000000000000001"/>
    <n v="0.86"/>
  </r>
  <r>
    <x v="2"/>
    <x v="3"/>
    <n v="122"/>
    <n v="29664"/>
    <n v="270"/>
    <x v="58"/>
    <x v="0"/>
    <x v="2"/>
    <n v="1"/>
    <n v="9"/>
    <n v="0.75"/>
    <n v="0.25"/>
  </r>
  <r>
    <x v="2"/>
    <x v="3"/>
    <n v="68"/>
    <n v="23136"/>
    <n v="232"/>
    <x v="143"/>
    <x v="1"/>
    <x v="2"/>
    <n v="4"/>
    <n v="34"/>
    <n v="0.59"/>
    <n v="0.41000000000000003"/>
  </r>
  <r>
    <x v="2"/>
    <x v="3"/>
    <n v="156"/>
    <n v="25487"/>
    <n v="218"/>
    <x v="46"/>
    <x v="2"/>
    <x v="2"/>
    <n v="2"/>
    <n v="11"/>
    <n v="0.39"/>
    <n v="0.61"/>
  </r>
  <r>
    <x v="2"/>
    <x v="3"/>
    <n v="102"/>
    <n v="18958"/>
    <n v="180"/>
    <x v="84"/>
    <x v="3"/>
    <x v="2"/>
    <n v="23"/>
    <n v="35"/>
    <n v="0.43"/>
    <n v="0.57000000000000006"/>
  </r>
  <r>
    <x v="2"/>
    <x v="4"/>
    <n v="129"/>
    <n v="16080"/>
    <n v="73"/>
    <x v="153"/>
    <x v="0"/>
    <x v="2"/>
    <n v="20"/>
    <n v="21"/>
    <n v="0.13"/>
    <n v="0.87"/>
  </r>
  <r>
    <x v="2"/>
    <x v="4"/>
    <n v="71"/>
    <n v="8967"/>
    <n v="138"/>
    <x v="66"/>
    <x v="1"/>
    <x v="2"/>
    <n v="13"/>
    <n v="49"/>
    <n v="0.18"/>
    <n v="0.82000000000000006"/>
  </r>
  <r>
    <x v="2"/>
    <x v="4"/>
    <n v="83"/>
    <n v="13667"/>
    <n v="171"/>
    <x v="143"/>
    <x v="2"/>
    <x v="2"/>
    <n v="21"/>
    <n v="19"/>
    <n v="0.54"/>
    <n v="0.45999999999999996"/>
  </r>
  <r>
    <x v="2"/>
    <x v="4"/>
    <n v="25"/>
    <n v="6554"/>
    <n v="236"/>
    <x v="154"/>
    <x v="3"/>
    <x v="2"/>
    <n v="5"/>
    <n v="59"/>
    <n v="0.2"/>
    <n v="0.8"/>
  </r>
  <r>
    <x v="2"/>
    <x v="5"/>
    <n v="32"/>
    <n v="2092"/>
    <n v="84"/>
    <x v="155"/>
    <x v="0"/>
    <x v="2"/>
    <n v="22"/>
    <n v="29"/>
    <n v="0.36"/>
    <n v="0.64"/>
  </r>
  <r>
    <x v="2"/>
    <x v="5"/>
    <n v="31"/>
    <n v="40165"/>
    <n v="113"/>
    <x v="156"/>
    <x v="1"/>
    <x v="2"/>
    <n v="2"/>
    <n v="73"/>
    <n v="0.24"/>
    <n v="0.76"/>
  </r>
  <r>
    <x v="2"/>
    <x v="5"/>
    <n v="32"/>
    <n v="12076"/>
    <n v="15"/>
    <x v="28"/>
    <x v="2"/>
    <x v="2"/>
    <n v="1"/>
    <n v="16"/>
    <n v="0.42"/>
    <n v="0.58000000000000007"/>
  </r>
  <r>
    <x v="2"/>
    <x v="5"/>
    <n v="32"/>
    <n v="50149"/>
    <n v="44"/>
    <x v="147"/>
    <x v="3"/>
    <x v="2"/>
    <n v="10"/>
    <n v="28"/>
    <n v="0.31"/>
    <n v="0.69"/>
  </r>
  <r>
    <x v="3"/>
    <x v="0"/>
    <n v="129"/>
    <n v="13625"/>
    <n v="3135"/>
    <x v="157"/>
    <x v="0"/>
    <x v="0"/>
    <n v="22"/>
    <n v="73"/>
    <n v="0.35"/>
    <n v="0.65"/>
  </r>
  <r>
    <x v="3"/>
    <x v="0"/>
    <n v="1610"/>
    <n v="8267"/>
    <n v="3101"/>
    <x v="158"/>
    <x v="1"/>
    <x v="0"/>
    <n v="14"/>
    <n v="17"/>
    <n v="0.33"/>
    <n v="0.66999999999999993"/>
  </r>
  <r>
    <x v="3"/>
    <x v="0"/>
    <n v="1056"/>
    <n v="27364"/>
    <n v="2233"/>
    <x v="159"/>
    <x v="2"/>
    <x v="0"/>
    <n v="9"/>
    <n v="10"/>
    <n v="0.55000000000000004"/>
    <n v="0.44999999999999996"/>
  </r>
  <r>
    <x v="3"/>
    <x v="0"/>
    <n v="2537"/>
    <n v="22006"/>
    <n v="2199"/>
    <x v="136"/>
    <x v="3"/>
    <x v="0"/>
    <n v="4"/>
    <n v="25"/>
    <n v="0.8"/>
    <n v="0.19999999999999996"/>
  </r>
  <r>
    <x v="3"/>
    <x v="1"/>
    <n v="592"/>
    <n v="137146"/>
    <n v="2534"/>
    <x v="13"/>
    <x v="0"/>
    <x v="0"/>
    <n v="10"/>
    <n v="49"/>
    <n v="0.36"/>
    <n v="0.64"/>
  </r>
  <r>
    <x v="3"/>
    <x v="1"/>
    <n v="928"/>
    <n v="107839"/>
    <n v="2745"/>
    <x v="160"/>
    <x v="1"/>
    <x v="0"/>
    <n v="4"/>
    <n v="75"/>
    <n v="0.86"/>
    <n v="0.14000000000000001"/>
  </r>
  <r>
    <x v="3"/>
    <x v="1"/>
    <n v="1994"/>
    <n v="173644"/>
    <n v="3100"/>
    <x v="161"/>
    <x v="2"/>
    <x v="0"/>
    <n v="21"/>
    <n v="67"/>
    <n v="0.66"/>
    <n v="0.33999999999999997"/>
  </r>
  <r>
    <x v="3"/>
    <x v="1"/>
    <n v="2330"/>
    <n v="144337"/>
    <n v="3311"/>
    <x v="162"/>
    <x v="3"/>
    <x v="0"/>
    <n v="15"/>
    <n v="38"/>
    <n v="0.11"/>
    <n v="0.89"/>
  </r>
  <r>
    <x v="3"/>
    <x v="2"/>
    <n v="643"/>
    <n v="52195"/>
    <n v="1404"/>
    <x v="163"/>
    <x v="0"/>
    <x v="0"/>
    <n v="1"/>
    <n v="17"/>
    <n v="0.87"/>
    <n v="0.13"/>
  </r>
  <r>
    <x v="3"/>
    <x v="2"/>
    <n v="679"/>
    <n v="37118"/>
    <n v="1299"/>
    <x v="15"/>
    <x v="1"/>
    <x v="0"/>
    <n v="3"/>
    <n v="27"/>
    <n v="0.21"/>
    <n v="0.79"/>
  </r>
  <r>
    <x v="3"/>
    <x v="2"/>
    <n v="385"/>
    <n v="68380"/>
    <n v="829"/>
    <x v="164"/>
    <x v="2"/>
    <x v="0"/>
    <n v="3"/>
    <n v="57"/>
    <n v="0.37"/>
    <n v="0.63"/>
  </r>
  <r>
    <x v="3"/>
    <x v="2"/>
    <n v="420"/>
    <n v="53303"/>
    <n v="724"/>
    <x v="165"/>
    <x v="3"/>
    <x v="0"/>
    <n v="1"/>
    <n v="7"/>
    <n v="0.44"/>
    <n v="0.56000000000000005"/>
  </r>
  <r>
    <x v="3"/>
    <x v="3"/>
    <n v="308"/>
    <n v="47393"/>
    <n v="888"/>
    <x v="161"/>
    <x v="0"/>
    <x v="0"/>
    <n v="14"/>
    <n v="22"/>
    <n v="0.19"/>
    <n v="0.81"/>
  </r>
  <r>
    <x v="3"/>
    <x v="3"/>
    <n v="883"/>
    <n v="55601"/>
    <n v="1826"/>
    <x v="166"/>
    <x v="1"/>
    <x v="0"/>
    <n v="1"/>
    <n v="31"/>
    <n v="0.44"/>
    <n v="0.56000000000000005"/>
  </r>
  <r>
    <x v="3"/>
    <x v="3"/>
    <n v="238"/>
    <n v="94146"/>
    <n v="417"/>
    <x v="167"/>
    <x v="2"/>
    <x v="0"/>
    <n v="13"/>
    <n v="15"/>
    <n v="0.33"/>
    <n v="0.66999999999999993"/>
  </r>
  <r>
    <x v="3"/>
    <x v="3"/>
    <n v="813"/>
    <n v="102353"/>
    <n v="1355"/>
    <x v="168"/>
    <x v="3"/>
    <x v="0"/>
    <n v="16"/>
    <n v="14"/>
    <n v="0.81"/>
    <n v="0.18999999999999995"/>
  </r>
  <r>
    <x v="3"/>
    <x v="4"/>
    <n v="152"/>
    <n v="24440"/>
    <n v="735"/>
    <x v="169"/>
    <x v="0"/>
    <x v="0"/>
    <n v="16"/>
    <n v="10"/>
    <n v="0.53"/>
    <n v="0.47"/>
  </r>
  <r>
    <x v="3"/>
    <x v="4"/>
    <n v="258"/>
    <n v="46978"/>
    <n v="136"/>
    <x v="170"/>
    <x v="1"/>
    <x v="0"/>
    <n v="10"/>
    <n v="22"/>
    <n v="0.11"/>
    <n v="0.89"/>
  </r>
  <r>
    <x v="3"/>
    <x v="4"/>
    <n v="287"/>
    <n v="63846"/>
    <n v="956"/>
    <x v="171"/>
    <x v="2"/>
    <x v="0"/>
    <n v="8"/>
    <n v="51"/>
    <n v="0.48"/>
    <n v="0.52"/>
  </r>
  <r>
    <x v="3"/>
    <x v="4"/>
    <n v="394"/>
    <n v="86383"/>
    <n v="357"/>
    <x v="67"/>
    <x v="3"/>
    <x v="0"/>
    <n v="20"/>
    <n v="68"/>
    <n v="0.53"/>
    <n v="0.47"/>
  </r>
  <r>
    <x v="3"/>
    <x v="5"/>
    <n v="145"/>
    <n v="13689"/>
    <n v="339"/>
    <x v="74"/>
    <x v="0"/>
    <x v="0"/>
    <n v="22"/>
    <n v="59"/>
    <n v="0.79"/>
    <n v="0.20999999999999996"/>
  </r>
  <r>
    <x v="3"/>
    <x v="5"/>
    <n v="33"/>
    <n v="7695"/>
    <n v="769"/>
    <x v="172"/>
    <x v="1"/>
    <x v="0"/>
    <n v="16"/>
    <n v="11"/>
    <n v="0.74"/>
    <n v="0.26"/>
  </r>
  <r>
    <x v="3"/>
    <x v="5"/>
    <n v="384"/>
    <n v="12314"/>
    <n v="67"/>
    <x v="173"/>
    <x v="2"/>
    <x v="0"/>
    <n v="13"/>
    <n v="57"/>
    <n v="0.85"/>
    <n v="0.15000000000000002"/>
  </r>
  <r>
    <x v="3"/>
    <x v="5"/>
    <n v="272"/>
    <n v="6320"/>
    <n v="497"/>
    <x v="174"/>
    <x v="3"/>
    <x v="0"/>
    <n v="13"/>
    <n v="57"/>
    <n v="0.71"/>
    <n v="0.29000000000000004"/>
  </r>
  <r>
    <x v="3"/>
    <x v="0"/>
    <n v="1375"/>
    <n v="6058"/>
    <n v="3271"/>
    <x v="175"/>
    <x v="0"/>
    <x v="1"/>
    <n v="21"/>
    <n v="47"/>
    <n v="0.28000000000000003"/>
    <n v="0.72"/>
  </r>
  <r>
    <x v="3"/>
    <x v="0"/>
    <n v="1964"/>
    <n v="10867"/>
    <n v="4657"/>
    <x v="176"/>
    <x v="1"/>
    <x v="1"/>
    <n v="7"/>
    <n v="43"/>
    <n v="0.57999999999999996"/>
    <n v="0.42000000000000004"/>
  </r>
  <r>
    <x v="3"/>
    <x v="0"/>
    <n v="1104"/>
    <n v="12609"/>
    <n v="1480"/>
    <x v="177"/>
    <x v="2"/>
    <x v="1"/>
    <n v="18"/>
    <n v="77"/>
    <n v="0.68"/>
    <n v="0.31999999999999995"/>
  </r>
  <r>
    <x v="3"/>
    <x v="0"/>
    <n v="1693"/>
    <n v="17418"/>
    <n v="2867"/>
    <x v="178"/>
    <x v="3"/>
    <x v="1"/>
    <n v="16"/>
    <n v="58"/>
    <n v="0.79"/>
    <n v="0.20999999999999996"/>
  </r>
  <r>
    <x v="3"/>
    <x v="1"/>
    <n v="1260"/>
    <n v="91502"/>
    <n v="4409"/>
    <x v="179"/>
    <x v="0"/>
    <x v="1"/>
    <n v="22"/>
    <n v="22"/>
    <n v="0.45"/>
    <n v="0.55000000000000004"/>
  </r>
  <r>
    <x v="3"/>
    <x v="1"/>
    <n v="2423"/>
    <n v="79476"/>
    <n v="2932"/>
    <x v="139"/>
    <x v="1"/>
    <x v="1"/>
    <n v="14"/>
    <n v="68"/>
    <n v="0.53"/>
    <n v="0.47"/>
  </r>
  <r>
    <x v="3"/>
    <x v="1"/>
    <n v="954"/>
    <n v="105982"/>
    <n v="3824"/>
    <x v="104"/>
    <x v="2"/>
    <x v="1"/>
    <n v="21"/>
    <n v="46"/>
    <n v="0.56000000000000005"/>
    <n v="0.43999999999999995"/>
  </r>
  <r>
    <x v="3"/>
    <x v="1"/>
    <n v="2117"/>
    <n v="93956"/>
    <n v="2347"/>
    <x v="180"/>
    <x v="3"/>
    <x v="1"/>
    <n v="6"/>
    <n v="38"/>
    <n v="0.57999999999999996"/>
    <n v="0.42000000000000004"/>
  </r>
  <r>
    <x v="3"/>
    <x v="2"/>
    <n v="387"/>
    <n v="27776"/>
    <n v="1207"/>
    <x v="135"/>
    <x v="0"/>
    <x v="1"/>
    <n v="12"/>
    <n v="3"/>
    <n v="0.66"/>
    <n v="0.33999999999999997"/>
  </r>
  <r>
    <x v="3"/>
    <x v="2"/>
    <n v="568"/>
    <n v="63754"/>
    <n v="438"/>
    <x v="181"/>
    <x v="1"/>
    <x v="1"/>
    <n v="20"/>
    <n v="57"/>
    <n v="0.22"/>
    <n v="0.78"/>
  </r>
  <r>
    <x v="3"/>
    <x v="2"/>
    <n v="132"/>
    <n v="5754"/>
    <n v="963"/>
    <x v="115"/>
    <x v="2"/>
    <x v="1"/>
    <n v="16"/>
    <n v="17"/>
    <n v="0.71"/>
    <n v="0.29000000000000004"/>
  </r>
  <r>
    <x v="3"/>
    <x v="2"/>
    <n v="313"/>
    <n v="41732"/>
    <n v="194"/>
    <x v="26"/>
    <x v="3"/>
    <x v="1"/>
    <n v="1"/>
    <n v="41"/>
    <n v="0.67"/>
    <n v="0.32999999999999996"/>
  </r>
  <r>
    <x v="3"/>
    <x v="3"/>
    <n v="704"/>
    <n v="39380"/>
    <n v="1693"/>
    <x v="23"/>
    <x v="0"/>
    <x v="1"/>
    <n v="18"/>
    <n v="5"/>
    <n v="0.87"/>
    <n v="0.13"/>
  </r>
  <r>
    <x v="3"/>
    <x v="3"/>
    <n v="652"/>
    <n v="63283"/>
    <n v="1064"/>
    <x v="182"/>
    <x v="1"/>
    <x v="1"/>
    <n v="6"/>
    <n v="28"/>
    <n v="0.8"/>
    <n v="0.19999999999999996"/>
  </r>
  <r>
    <x v="3"/>
    <x v="3"/>
    <n v="393"/>
    <n v="35379"/>
    <n v="1026"/>
    <x v="183"/>
    <x v="2"/>
    <x v="1"/>
    <n v="9"/>
    <n v="6"/>
    <n v="0.14000000000000001"/>
    <n v="0.86"/>
  </r>
  <r>
    <x v="3"/>
    <x v="3"/>
    <n v="340"/>
    <n v="59282"/>
    <n v="397"/>
    <x v="123"/>
    <x v="3"/>
    <x v="1"/>
    <n v="23"/>
    <n v="67"/>
    <n v="0.63"/>
    <n v="0.37"/>
  </r>
  <r>
    <x v="3"/>
    <x v="4"/>
    <n v="182"/>
    <n v="58621"/>
    <n v="690"/>
    <x v="184"/>
    <x v="0"/>
    <x v="1"/>
    <n v="22"/>
    <n v="20"/>
    <n v="0.64"/>
    <n v="0.36"/>
  </r>
  <r>
    <x v="3"/>
    <x v="4"/>
    <n v="191"/>
    <n v="23155"/>
    <n v="181"/>
    <x v="185"/>
    <x v="1"/>
    <x v="1"/>
    <n v="17"/>
    <n v="77"/>
    <n v="0.23"/>
    <n v="0.77"/>
  </r>
  <r>
    <x v="3"/>
    <x v="4"/>
    <n v="260"/>
    <n v="49862"/>
    <n v="722"/>
    <x v="186"/>
    <x v="2"/>
    <x v="1"/>
    <n v="4"/>
    <n v="16"/>
    <n v="0.46"/>
    <n v="0.54"/>
  </r>
  <r>
    <x v="3"/>
    <x v="4"/>
    <n v="269"/>
    <n v="14396"/>
    <n v="213"/>
    <x v="187"/>
    <x v="3"/>
    <x v="1"/>
    <n v="16"/>
    <n v="11"/>
    <n v="0.75"/>
    <n v="0.25"/>
  </r>
  <r>
    <x v="3"/>
    <x v="5"/>
    <n v="91"/>
    <n v="6375"/>
    <n v="220"/>
    <x v="183"/>
    <x v="0"/>
    <x v="1"/>
    <n v="8"/>
    <n v="2"/>
    <n v="0.31"/>
    <n v="0.69"/>
  </r>
  <r>
    <x v="3"/>
    <x v="5"/>
    <n v="127"/>
    <n v="1540"/>
    <n v="391"/>
    <x v="90"/>
    <x v="1"/>
    <x v="1"/>
    <n v="4"/>
    <n v="67"/>
    <n v="0.9"/>
    <n v="9.9999999999999978E-2"/>
  </r>
  <r>
    <x v="3"/>
    <x v="5"/>
    <n v="148"/>
    <n v="11643"/>
    <n v="159"/>
    <x v="36"/>
    <x v="2"/>
    <x v="1"/>
    <n v="23"/>
    <n v="24"/>
    <n v="0.22"/>
    <n v="0.78"/>
  </r>
  <r>
    <x v="3"/>
    <x v="5"/>
    <n v="184"/>
    <n v="6808"/>
    <n v="330"/>
    <x v="188"/>
    <x v="3"/>
    <x v="1"/>
    <n v="14"/>
    <n v="15"/>
    <n v="0.7"/>
    <n v="0.30000000000000004"/>
  </r>
  <r>
    <x v="3"/>
    <x v="0"/>
    <n v="919"/>
    <n v="12436"/>
    <n v="3882"/>
    <x v="189"/>
    <x v="0"/>
    <x v="2"/>
    <n v="16"/>
    <n v="60"/>
    <n v="0.65"/>
    <n v="0.35"/>
  </r>
  <r>
    <x v="3"/>
    <x v="0"/>
    <n v="1612"/>
    <n v="13837"/>
    <n v="2533"/>
    <x v="118"/>
    <x v="1"/>
    <x v="2"/>
    <n v="10"/>
    <n v="54"/>
    <n v="0.12"/>
    <n v="0.88"/>
  </r>
  <r>
    <x v="3"/>
    <x v="0"/>
    <n v="546"/>
    <n v="4514"/>
    <n v="1786"/>
    <x v="190"/>
    <x v="2"/>
    <x v="2"/>
    <n v="8"/>
    <n v="63"/>
    <n v="0.7"/>
    <n v="0.30000000000000004"/>
  </r>
  <r>
    <x v="3"/>
    <x v="0"/>
    <n v="1239"/>
    <n v="5915"/>
    <n v="436"/>
    <x v="191"/>
    <x v="3"/>
    <x v="2"/>
    <n v="5"/>
    <n v="52"/>
    <n v="0.88"/>
    <n v="0.12"/>
  </r>
  <r>
    <x v="3"/>
    <x v="1"/>
    <n v="306"/>
    <n v="30440"/>
    <n v="672"/>
    <x v="192"/>
    <x v="0"/>
    <x v="2"/>
    <n v="7"/>
    <n v="36"/>
    <n v="0.3"/>
    <n v="0.7"/>
  </r>
  <r>
    <x v="3"/>
    <x v="1"/>
    <n v="515"/>
    <n v="36658"/>
    <n v="645"/>
    <x v="193"/>
    <x v="1"/>
    <x v="2"/>
    <n v="19"/>
    <n v="21"/>
    <n v="0.36"/>
    <n v="0.64"/>
  </r>
  <r>
    <x v="3"/>
    <x v="1"/>
    <n v="171"/>
    <n v="108319"/>
    <n v="727"/>
    <x v="88"/>
    <x v="2"/>
    <x v="2"/>
    <n v="17"/>
    <n v="52"/>
    <n v="0.34"/>
    <n v="0.65999999999999992"/>
  </r>
  <r>
    <x v="3"/>
    <x v="1"/>
    <n v="380"/>
    <n v="114537"/>
    <n v="701"/>
    <x v="132"/>
    <x v="3"/>
    <x v="2"/>
    <n v="15"/>
    <n v="77"/>
    <n v="0.46"/>
    <n v="0.54"/>
  </r>
  <r>
    <x v="3"/>
    <x v="2"/>
    <n v="249"/>
    <n v="37876"/>
    <n v="647"/>
    <x v="4"/>
    <x v="0"/>
    <x v="2"/>
    <n v="2"/>
    <n v="41"/>
    <n v="0.7"/>
    <n v="0.30000000000000004"/>
  </r>
  <r>
    <x v="3"/>
    <x v="2"/>
    <n v="111"/>
    <n v="17425"/>
    <n v="191"/>
    <x v="194"/>
    <x v="1"/>
    <x v="2"/>
    <n v="4"/>
    <n v="16"/>
    <n v="0.72"/>
    <n v="0.28000000000000003"/>
  </r>
  <r>
    <x v="3"/>
    <x v="2"/>
    <n v="436"/>
    <n v="36911"/>
    <n v="904"/>
    <x v="195"/>
    <x v="2"/>
    <x v="2"/>
    <n v="15"/>
    <n v="9"/>
    <n v="0.44"/>
    <n v="0.56000000000000005"/>
  </r>
  <r>
    <x v="3"/>
    <x v="2"/>
    <n v="298"/>
    <n v="16460"/>
    <n v="449"/>
    <x v="196"/>
    <x v="3"/>
    <x v="2"/>
    <n v="9"/>
    <n v="67"/>
    <n v="0.6"/>
    <n v="0.4"/>
  </r>
  <r>
    <x v="3"/>
    <x v="3"/>
    <n v="313"/>
    <n v="42158"/>
    <n v="624"/>
    <x v="197"/>
    <x v="0"/>
    <x v="2"/>
    <n v="21"/>
    <n v="69"/>
    <n v="0.25"/>
    <n v="0.75"/>
  </r>
  <r>
    <x v="3"/>
    <x v="3"/>
    <n v="403"/>
    <n v="25284"/>
    <n v="354"/>
    <x v="198"/>
    <x v="1"/>
    <x v="2"/>
    <n v="2"/>
    <n v="50"/>
    <n v="0.41"/>
    <n v="0.59000000000000008"/>
  </r>
  <r>
    <x v="3"/>
    <x v="3"/>
    <n v="65"/>
    <n v="51842"/>
    <n v="582"/>
    <x v="76"/>
    <x v="2"/>
    <x v="2"/>
    <n v="3"/>
    <n v="12"/>
    <n v="0.62"/>
    <n v="0.38"/>
  </r>
  <r>
    <x v="3"/>
    <x v="3"/>
    <n v="155"/>
    <n v="34968"/>
    <n v="312"/>
    <x v="199"/>
    <x v="3"/>
    <x v="2"/>
    <n v="21"/>
    <n v="17"/>
    <n v="0.47"/>
    <n v="0.53"/>
  </r>
  <r>
    <x v="3"/>
    <x v="4"/>
    <n v="69"/>
    <n v="3697"/>
    <n v="199"/>
    <x v="200"/>
    <x v="0"/>
    <x v="2"/>
    <n v="21"/>
    <n v="1"/>
    <n v="0.19"/>
    <n v="0.81"/>
  </r>
  <r>
    <x v="3"/>
    <x v="4"/>
    <n v="111"/>
    <n v="14144"/>
    <n v="248"/>
    <x v="201"/>
    <x v="1"/>
    <x v="2"/>
    <n v="11"/>
    <n v="61"/>
    <n v="0.11"/>
    <n v="0.89"/>
  </r>
  <r>
    <x v="3"/>
    <x v="4"/>
    <n v="200"/>
    <n v="42935"/>
    <n v="375"/>
    <x v="202"/>
    <x v="2"/>
    <x v="2"/>
    <n v="22"/>
    <n v="47"/>
    <n v="0.25"/>
    <n v="0.75"/>
  </r>
  <r>
    <x v="3"/>
    <x v="4"/>
    <n v="242"/>
    <n v="53382"/>
    <n v="424"/>
    <x v="203"/>
    <x v="3"/>
    <x v="2"/>
    <n v="18"/>
    <n v="40"/>
    <n v="0.46"/>
    <n v="0.54"/>
  </r>
  <r>
    <x v="3"/>
    <x v="5"/>
    <n v="114"/>
    <n v="5914"/>
    <n v="375"/>
    <x v="204"/>
    <x v="0"/>
    <x v="2"/>
    <n v="19"/>
    <n v="37"/>
    <n v="0.13"/>
    <n v="0.87"/>
  </r>
  <r>
    <x v="3"/>
    <x v="5"/>
    <n v="320"/>
    <n v="671"/>
    <n v="259"/>
    <x v="205"/>
    <x v="1"/>
    <x v="2"/>
    <n v="20"/>
    <n v="75"/>
    <n v="0.28000000000000003"/>
    <n v="0.72"/>
  </r>
  <r>
    <x v="3"/>
    <x v="5"/>
    <n v="1"/>
    <n v="9634"/>
    <n v="386"/>
    <x v="206"/>
    <x v="2"/>
    <x v="2"/>
    <n v="17"/>
    <n v="40"/>
    <n v="0.41"/>
    <n v="0.59000000000000008"/>
  </r>
  <r>
    <x v="3"/>
    <x v="5"/>
    <n v="208"/>
    <n v="4391"/>
    <n v="270"/>
    <x v="107"/>
    <x v="3"/>
    <x v="2"/>
    <n v="6"/>
    <n v="73"/>
    <n v="0.65"/>
    <n v="0.35"/>
  </r>
  <r>
    <x v="4"/>
    <x v="0"/>
    <n v="711"/>
    <n v="164326"/>
    <n v="1843"/>
    <x v="207"/>
    <x v="0"/>
    <x v="0"/>
    <n v="3"/>
    <n v="58"/>
    <n v="0.64"/>
    <n v="0.36"/>
  </r>
  <r>
    <x v="4"/>
    <x v="0"/>
    <n v="1021"/>
    <n v="95454"/>
    <n v="3111"/>
    <x v="6"/>
    <x v="1"/>
    <x v="0"/>
    <n v="10"/>
    <n v="63"/>
    <n v="0.88"/>
    <n v="0.12"/>
  </r>
  <r>
    <x v="4"/>
    <x v="0"/>
    <n v="1405"/>
    <n v="106148"/>
    <n v="1742"/>
    <x v="208"/>
    <x v="2"/>
    <x v="0"/>
    <n v="4"/>
    <n v="62"/>
    <n v="0.57999999999999996"/>
    <n v="0.42000000000000004"/>
  </r>
  <r>
    <x v="4"/>
    <x v="0"/>
    <n v="1714"/>
    <n v="37276"/>
    <n v="3009"/>
    <x v="21"/>
    <x v="3"/>
    <x v="0"/>
    <n v="1"/>
    <n v="54"/>
    <n v="0.87"/>
    <n v="0.13"/>
  </r>
  <r>
    <x v="4"/>
    <x v="1"/>
    <n v="2772"/>
    <n v="25085"/>
    <n v="1695"/>
    <x v="209"/>
    <x v="0"/>
    <x v="0"/>
    <n v="17"/>
    <n v="33"/>
    <n v="0.8"/>
    <n v="0.19999999999999996"/>
  </r>
  <r>
    <x v="4"/>
    <x v="1"/>
    <n v="2001"/>
    <n v="39931"/>
    <n v="2794"/>
    <x v="210"/>
    <x v="1"/>
    <x v="0"/>
    <n v="21"/>
    <n v="15"/>
    <n v="0.57999999999999996"/>
    <n v="0.42000000000000004"/>
  </r>
  <r>
    <x v="4"/>
    <x v="1"/>
    <n v="1210"/>
    <n v="9818"/>
    <n v="3629"/>
    <x v="0"/>
    <x v="2"/>
    <x v="0"/>
    <n v="10"/>
    <n v="29"/>
    <n v="0.69"/>
    <n v="0.31000000000000005"/>
  </r>
  <r>
    <x v="4"/>
    <x v="1"/>
    <n v="439"/>
    <n v="24665"/>
    <n v="4728"/>
    <x v="201"/>
    <x v="3"/>
    <x v="0"/>
    <n v="17"/>
    <n v="56"/>
    <n v="0.14000000000000001"/>
    <n v="0.86"/>
  </r>
  <r>
    <x v="4"/>
    <x v="2"/>
    <n v="260"/>
    <n v="96561"/>
    <n v="905"/>
    <x v="211"/>
    <x v="0"/>
    <x v="0"/>
    <n v="13"/>
    <n v="63"/>
    <n v="0.23"/>
    <n v="0.77"/>
  </r>
  <r>
    <x v="4"/>
    <x v="2"/>
    <n v="501"/>
    <n v="41623"/>
    <n v="659"/>
    <x v="212"/>
    <x v="1"/>
    <x v="0"/>
    <n v="16"/>
    <n v="66"/>
    <n v="0.37"/>
    <n v="0.63"/>
  </r>
  <r>
    <x v="4"/>
    <x v="2"/>
    <n v="126"/>
    <n v="67431"/>
    <n v="596"/>
    <x v="149"/>
    <x v="2"/>
    <x v="0"/>
    <n v="21"/>
    <n v="54"/>
    <n v="0.18"/>
    <n v="0.82000000000000006"/>
  </r>
  <r>
    <x v="4"/>
    <x v="2"/>
    <n v="367"/>
    <n v="12493"/>
    <n v="350"/>
    <x v="213"/>
    <x v="3"/>
    <x v="0"/>
    <n v="13"/>
    <n v="5"/>
    <n v="0.26"/>
    <n v="0.74"/>
  </r>
  <r>
    <x v="4"/>
    <x v="3"/>
    <n v="1273"/>
    <n v="101111"/>
    <n v="2930"/>
    <x v="214"/>
    <x v="0"/>
    <x v="0"/>
    <n v="13"/>
    <n v="18"/>
    <n v="0.88"/>
    <n v="0.12"/>
  </r>
  <r>
    <x v="4"/>
    <x v="3"/>
    <n v="1307"/>
    <n v="42992"/>
    <n v="3990"/>
    <x v="215"/>
    <x v="1"/>
    <x v="0"/>
    <n v="13"/>
    <n v="41"/>
    <n v="0.46"/>
    <n v="0.54"/>
  </r>
  <r>
    <x v="4"/>
    <x v="3"/>
    <n v="1072"/>
    <n v="101871"/>
    <n v="769"/>
    <x v="216"/>
    <x v="2"/>
    <x v="0"/>
    <n v="4"/>
    <n v="8"/>
    <n v="0.42"/>
    <n v="0.58000000000000007"/>
  </r>
  <r>
    <x v="4"/>
    <x v="3"/>
    <n v="1106"/>
    <n v="43752"/>
    <n v="1829"/>
    <x v="217"/>
    <x v="3"/>
    <x v="0"/>
    <n v="21"/>
    <n v="56"/>
    <n v="0.14000000000000001"/>
    <n v="0.86"/>
  </r>
  <r>
    <x v="4"/>
    <x v="4"/>
    <n v="136"/>
    <n v="7811"/>
    <n v="581"/>
    <x v="218"/>
    <x v="0"/>
    <x v="0"/>
    <n v="2"/>
    <n v="67"/>
    <n v="0.7"/>
    <n v="0.30000000000000004"/>
  </r>
  <r>
    <x v="4"/>
    <x v="4"/>
    <n v="581"/>
    <n v="7870"/>
    <n v="1114"/>
    <x v="129"/>
    <x v="1"/>
    <x v="0"/>
    <n v="15"/>
    <n v="39"/>
    <n v="0.15"/>
    <n v="0.85"/>
  </r>
  <r>
    <x v="4"/>
    <x v="4"/>
    <n v="200"/>
    <n v="5504"/>
    <n v="448"/>
    <x v="104"/>
    <x v="2"/>
    <x v="0"/>
    <n v="20"/>
    <n v="69"/>
    <n v="0.59"/>
    <n v="0.41000000000000003"/>
  </r>
  <r>
    <x v="4"/>
    <x v="4"/>
    <n v="645"/>
    <n v="5563"/>
    <n v="981"/>
    <x v="196"/>
    <x v="3"/>
    <x v="0"/>
    <n v="8"/>
    <n v="60"/>
    <n v="0.53"/>
    <n v="0.47"/>
  </r>
  <r>
    <x v="4"/>
    <x v="5"/>
    <n v="112"/>
    <n v="79654"/>
    <n v="598"/>
    <x v="167"/>
    <x v="0"/>
    <x v="0"/>
    <n v="2"/>
    <n v="28"/>
    <n v="0.37"/>
    <n v="0.63"/>
  </r>
  <r>
    <x v="4"/>
    <x v="5"/>
    <n v="247"/>
    <n v="68312"/>
    <n v="314"/>
    <x v="219"/>
    <x v="1"/>
    <x v="0"/>
    <n v="13"/>
    <n v="53"/>
    <n v="0.43"/>
    <n v="0.57000000000000006"/>
  </r>
  <r>
    <x v="4"/>
    <x v="5"/>
    <n v="140"/>
    <n v="91767"/>
    <n v="461"/>
    <x v="101"/>
    <x v="2"/>
    <x v="0"/>
    <n v="19"/>
    <n v="15"/>
    <n v="0.7"/>
    <n v="0.30000000000000004"/>
  </r>
  <r>
    <x v="4"/>
    <x v="5"/>
    <n v="275"/>
    <n v="80425"/>
    <n v="177"/>
    <x v="220"/>
    <x v="3"/>
    <x v="0"/>
    <n v="13"/>
    <n v="58"/>
    <n v="0.45"/>
    <n v="0.55000000000000004"/>
  </r>
  <r>
    <x v="4"/>
    <x v="0"/>
    <n v="737"/>
    <n v="76038"/>
    <n v="1400"/>
    <x v="221"/>
    <x v="0"/>
    <x v="1"/>
    <n v="2"/>
    <n v="59"/>
    <n v="0.43"/>
    <n v="0.57000000000000006"/>
  </r>
  <r>
    <x v="4"/>
    <x v="0"/>
    <n v="148"/>
    <n v="96716"/>
    <n v="2232"/>
    <x v="222"/>
    <x v="1"/>
    <x v="1"/>
    <n v="12"/>
    <n v="43"/>
    <n v="0.75"/>
    <n v="0.25"/>
  </r>
  <r>
    <x v="4"/>
    <x v="0"/>
    <n v="1460"/>
    <n v="36112"/>
    <n v="985"/>
    <x v="155"/>
    <x v="2"/>
    <x v="1"/>
    <n v="20"/>
    <n v="59"/>
    <n v="0.33"/>
    <n v="0.66999999999999993"/>
  </r>
  <r>
    <x v="4"/>
    <x v="0"/>
    <n v="871"/>
    <n v="56790"/>
    <n v="1818"/>
    <x v="223"/>
    <x v="3"/>
    <x v="1"/>
    <n v="18"/>
    <n v="49"/>
    <n v="0.22"/>
    <n v="0.78"/>
  </r>
  <r>
    <x v="4"/>
    <x v="1"/>
    <n v="504"/>
    <n v="19044"/>
    <n v="1727"/>
    <x v="224"/>
    <x v="0"/>
    <x v="1"/>
    <n v="14"/>
    <n v="65"/>
    <n v="0.63"/>
    <n v="0.37"/>
  </r>
  <r>
    <x v="4"/>
    <x v="1"/>
    <n v="271"/>
    <n v="24273"/>
    <n v="1616"/>
    <x v="225"/>
    <x v="1"/>
    <x v="1"/>
    <n v="14"/>
    <n v="2"/>
    <n v="0.59"/>
    <n v="0.41000000000000003"/>
  </r>
  <r>
    <x v="4"/>
    <x v="1"/>
    <n v="1195"/>
    <n v="8504"/>
    <n v="1317"/>
    <x v="0"/>
    <x v="2"/>
    <x v="1"/>
    <n v="17"/>
    <n v="10"/>
    <n v="0.39"/>
    <n v="0.61"/>
  </r>
  <r>
    <x v="4"/>
    <x v="1"/>
    <n v="962"/>
    <n v="13734"/>
    <n v="1206"/>
    <x v="226"/>
    <x v="3"/>
    <x v="1"/>
    <n v="1"/>
    <n v="25"/>
    <n v="0.7"/>
    <n v="0.30000000000000004"/>
  </r>
  <r>
    <x v="4"/>
    <x v="2"/>
    <n v="283"/>
    <n v="40351"/>
    <n v="269"/>
    <x v="114"/>
    <x v="0"/>
    <x v="1"/>
    <n v="20"/>
    <n v="1"/>
    <n v="0.13"/>
    <n v="0.87"/>
  </r>
  <r>
    <x v="4"/>
    <x v="2"/>
    <n v="107"/>
    <n v="30394"/>
    <n v="106"/>
    <x v="153"/>
    <x v="1"/>
    <x v="1"/>
    <n v="8"/>
    <n v="44"/>
    <n v="0.31"/>
    <n v="0.69"/>
  </r>
  <r>
    <x v="4"/>
    <x v="2"/>
    <n v="306"/>
    <n v="41457"/>
    <n v="720"/>
    <x v="48"/>
    <x v="2"/>
    <x v="1"/>
    <n v="9"/>
    <n v="70"/>
    <n v="0.35"/>
    <n v="0.65"/>
  </r>
  <r>
    <x v="4"/>
    <x v="2"/>
    <n v="129"/>
    <n v="31501"/>
    <n v="557"/>
    <x v="97"/>
    <x v="3"/>
    <x v="1"/>
    <n v="16"/>
    <n v="77"/>
    <n v="0.1"/>
    <n v="0.9"/>
  </r>
  <r>
    <x v="4"/>
    <x v="3"/>
    <n v="1540"/>
    <n v="9984"/>
    <n v="2444"/>
    <x v="227"/>
    <x v="0"/>
    <x v="1"/>
    <n v="12"/>
    <n v="15"/>
    <n v="0.57999999999999996"/>
    <n v="0.42000000000000004"/>
  </r>
  <r>
    <x v="4"/>
    <x v="3"/>
    <n v="799"/>
    <n v="39722"/>
    <n v="1585"/>
    <x v="64"/>
    <x v="1"/>
    <x v="1"/>
    <n v="20"/>
    <n v="45"/>
    <n v="0.43"/>
    <n v="0.57000000000000006"/>
  </r>
  <r>
    <x v="4"/>
    <x v="3"/>
    <n v="1236"/>
    <n v="55722"/>
    <n v="2485"/>
    <x v="228"/>
    <x v="2"/>
    <x v="1"/>
    <n v="12"/>
    <n v="52"/>
    <n v="0.37"/>
    <n v="0.63"/>
  </r>
  <r>
    <x v="4"/>
    <x v="3"/>
    <n v="494"/>
    <n v="85460"/>
    <n v="1626"/>
    <x v="106"/>
    <x v="3"/>
    <x v="1"/>
    <n v="23"/>
    <n v="56"/>
    <n v="0.6"/>
    <n v="0.4"/>
  </r>
  <r>
    <x v="4"/>
    <x v="4"/>
    <n v="128"/>
    <n v="5528"/>
    <n v="840"/>
    <x v="229"/>
    <x v="0"/>
    <x v="1"/>
    <n v="15"/>
    <n v="33"/>
    <n v="0.19"/>
    <n v="0.81"/>
  </r>
  <r>
    <x v="4"/>
    <x v="4"/>
    <n v="394"/>
    <n v="4323"/>
    <n v="743"/>
    <x v="74"/>
    <x v="1"/>
    <x v="1"/>
    <n v="5"/>
    <n v="77"/>
    <n v="0.47"/>
    <n v="0.53"/>
  </r>
  <r>
    <x v="4"/>
    <x v="4"/>
    <n v="252"/>
    <n v="4489"/>
    <n v="550"/>
    <x v="230"/>
    <x v="2"/>
    <x v="1"/>
    <n v="5"/>
    <n v="5"/>
    <n v="0.64"/>
    <n v="0.36"/>
  </r>
  <r>
    <x v="4"/>
    <x v="4"/>
    <n v="518"/>
    <n v="3284"/>
    <n v="453"/>
    <x v="32"/>
    <x v="3"/>
    <x v="1"/>
    <n v="9"/>
    <n v="40"/>
    <n v="0.1"/>
    <n v="0.9"/>
  </r>
  <r>
    <x v="4"/>
    <x v="5"/>
    <n v="248"/>
    <n v="103319"/>
    <n v="496"/>
    <x v="231"/>
    <x v="0"/>
    <x v="1"/>
    <n v="17"/>
    <n v="66"/>
    <n v="0.16"/>
    <n v="0.84"/>
  </r>
  <r>
    <x v="4"/>
    <x v="5"/>
    <n v="133"/>
    <n v="32148"/>
    <n v="602"/>
    <x v="232"/>
    <x v="1"/>
    <x v="1"/>
    <n v="17"/>
    <n v="73"/>
    <n v="0.19"/>
    <n v="0.81"/>
  </r>
  <r>
    <x v="4"/>
    <x v="5"/>
    <n v="206"/>
    <n v="73321"/>
    <n v="78"/>
    <x v="233"/>
    <x v="2"/>
    <x v="1"/>
    <n v="20"/>
    <n v="4"/>
    <n v="0.46"/>
    <n v="0.54"/>
  </r>
  <r>
    <x v="4"/>
    <x v="5"/>
    <n v="92"/>
    <n v="2151"/>
    <n v="184"/>
    <x v="38"/>
    <x v="3"/>
    <x v="1"/>
    <n v="10"/>
    <n v="75"/>
    <n v="0.47"/>
    <n v="0.53"/>
  </r>
  <r>
    <x v="4"/>
    <x v="0"/>
    <n v="279"/>
    <n v="34217"/>
    <n v="164"/>
    <x v="234"/>
    <x v="0"/>
    <x v="2"/>
    <n v="10"/>
    <n v="33"/>
    <n v="0.74"/>
    <n v="0.26"/>
  </r>
  <r>
    <x v="4"/>
    <x v="0"/>
    <n v="213"/>
    <n v="23032"/>
    <n v="658"/>
    <x v="71"/>
    <x v="1"/>
    <x v="2"/>
    <n v="1"/>
    <n v="40"/>
    <n v="0.78"/>
    <n v="0.21999999999999997"/>
  </r>
  <r>
    <x v="4"/>
    <x v="0"/>
    <n v="391"/>
    <n v="80803"/>
    <n v="551"/>
    <x v="191"/>
    <x v="2"/>
    <x v="2"/>
    <n v="12"/>
    <n v="29"/>
    <n v="0.87"/>
    <n v="0.13"/>
  </r>
  <r>
    <x v="4"/>
    <x v="0"/>
    <n v="325"/>
    <n v="69618"/>
    <n v="1044"/>
    <x v="235"/>
    <x v="3"/>
    <x v="2"/>
    <n v="11"/>
    <n v="45"/>
    <n v="0.19"/>
    <n v="0.81"/>
  </r>
  <r>
    <x v="4"/>
    <x v="1"/>
    <n v="661"/>
    <n v="11504"/>
    <n v="1597"/>
    <x v="76"/>
    <x v="0"/>
    <x v="2"/>
    <n v="10"/>
    <n v="49"/>
    <n v="0.84"/>
    <n v="0.16000000000000003"/>
  </r>
  <r>
    <x v="4"/>
    <x v="1"/>
    <n v="725"/>
    <n v="7912"/>
    <n v="755"/>
    <x v="113"/>
    <x v="1"/>
    <x v="2"/>
    <n v="13"/>
    <n v="1"/>
    <n v="0.2"/>
    <n v="0.8"/>
  </r>
  <r>
    <x v="4"/>
    <x v="1"/>
    <n v="420"/>
    <n v="17711"/>
    <n v="1538"/>
    <x v="70"/>
    <x v="2"/>
    <x v="2"/>
    <n v="12"/>
    <n v="39"/>
    <n v="0.26"/>
    <n v="0.74"/>
  </r>
  <r>
    <x v="4"/>
    <x v="1"/>
    <n v="485"/>
    <n v="14119"/>
    <n v="695"/>
    <x v="236"/>
    <x v="3"/>
    <x v="2"/>
    <n v="5"/>
    <n v="43"/>
    <n v="0.68"/>
    <n v="0.31999999999999995"/>
  </r>
  <r>
    <x v="4"/>
    <x v="2"/>
    <n v="132"/>
    <n v="41463"/>
    <n v="192"/>
    <x v="237"/>
    <x v="0"/>
    <x v="2"/>
    <n v="16"/>
    <n v="26"/>
    <n v="0.77"/>
    <n v="0.22999999999999998"/>
  </r>
  <r>
    <x v="4"/>
    <x v="2"/>
    <n v="181"/>
    <n v="8477"/>
    <n v="288"/>
    <x v="90"/>
    <x v="1"/>
    <x v="2"/>
    <n v="9"/>
    <n v="16"/>
    <n v="0.44"/>
    <n v="0.56000000000000005"/>
  </r>
  <r>
    <x v="4"/>
    <x v="2"/>
    <n v="142"/>
    <n v="47691"/>
    <n v="358"/>
    <x v="27"/>
    <x v="2"/>
    <x v="2"/>
    <n v="13"/>
    <n v="39"/>
    <n v="0.6"/>
    <n v="0.4"/>
  </r>
  <r>
    <x v="4"/>
    <x v="2"/>
    <n v="190"/>
    <n v="14705"/>
    <n v="454"/>
    <x v="90"/>
    <x v="3"/>
    <x v="2"/>
    <n v="1"/>
    <n v="13"/>
    <n v="0.57999999999999996"/>
    <n v="0.42000000000000004"/>
  </r>
  <r>
    <x v="4"/>
    <x v="3"/>
    <n v="291"/>
    <n v="30245"/>
    <n v="526"/>
    <x v="238"/>
    <x v="0"/>
    <x v="2"/>
    <n v="4"/>
    <n v="60"/>
    <n v="0.32"/>
    <n v="0.67999999999999994"/>
  </r>
  <r>
    <x v="4"/>
    <x v="3"/>
    <n v="194"/>
    <n v="19239"/>
    <n v="639"/>
    <x v="239"/>
    <x v="1"/>
    <x v="2"/>
    <n v="1"/>
    <n v="18"/>
    <n v="0.39"/>
    <n v="0.61"/>
  </r>
  <r>
    <x v="4"/>
    <x v="3"/>
    <n v="381"/>
    <n v="55373"/>
    <n v="513"/>
    <x v="130"/>
    <x v="2"/>
    <x v="2"/>
    <n v="18"/>
    <n v="65"/>
    <n v="0.28999999999999998"/>
    <n v="0.71"/>
  </r>
  <r>
    <x v="4"/>
    <x v="3"/>
    <n v="284"/>
    <n v="44366"/>
    <n v="625"/>
    <x v="211"/>
    <x v="3"/>
    <x v="2"/>
    <n v="23"/>
    <n v="60"/>
    <n v="0.74"/>
    <n v="0.26"/>
  </r>
  <r>
    <x v="4"/>
    <x v="4"/>
    <n v="236"/>
    <n v="1501"/>
    <n v="785"/>
    <x v="240"/>
    <x v="0"/>
    <x v="2"/>
    <n v="8"/>
    <n v="10"/>
    <n v="0.53"/>
    <n v="0.47"/>
  </r>
  <r>
    <x v="4"/>
    <x v="4"/>
    <n v="223"/>
    <n v="1895"/>
    <n v="499"/>
    <x v="241"/>
    <x v="1"/>
    <x v="2"/>
    <n v="9"/>
    <n v="27"/>
    <n v="0.32"/>
    <n v="0.67999999999999994"/>
  </r>
  <r>
    <x v="4"/>
    <x v="4"/>
    <n v="222"/>
    <n v="4993"/>
    <n v="393"/>
    <x v="242"/>
    <x v="2"/>
    <x v="2"/>
    <n v="17"/>
    <n v="19"/>
    <n v="0.3"/>
    <n v="0.7"/>
  </r>
  <r>
    <x v="4"/>
    <x v="4"/>
    <n v="209"/>
    <n v="5387"/>
    <n v="106"/>
    <x v="243"/>
    <x v="3"/>
    <x v="2"/>
    <n v="11"/>
    <n v="50"/>
    <n v="0.66"/>
    <n v="0.33999999999999997"/>
  </r>
  <r>
    <x v="4"/>
    <x v="5"/>
    <n v="31"/>
    <n v="69042"/>
    <n v="156"/>
    <x v="234"/>
    <x v="0"/>
    <x v="2"/>
    <n v="15"/>
    <n v="6"/>
    <n v="0.83"/>
    <n v="0.17000000000000004"/>
  </r>
  <r>
    <x v="4"/>
    <x v="5"/>
    <n v="49"/>
    <n v="54390"/>
    <n v="89"/>
    <x v="244"/>
    <x v="1"/>
    <x v="2"/>
    <n v="22"/>
    <n v="38"/>
    <n v="0.83"/>
    <n v="0.17000000000000004"/>
  </r>
  <r>
    <x v="4"/>
    <x v="5"/>
    <n v="57"/>
    <n v="28058"/>
    <n v="123"/>
    <x v="245"/>
    <x v="2"/>
    <x v="2"/>
    <n v="6"/>
    <n v="47"/>
    <n v="0.26"/>
    <n v="0.74"/>
  </r>
  <r>
    <x v="4"/>
    <x v="5"/>
    <n v="75"/>
    <n v="13406"/>
    <n v="56"/>
    <x v="76"/>
    <x v="3"/>
    <x v="2"/>
    <n v="22"/>
    <n v="12"/>
    <n v="0.77"/>
    <n v="0.22999999999999998"/>
  </r>
  <r>
    <x v="5"/>
    <x v="0"/>
    <n v="164"/>
    <n v="16765"/>
    <n v="198"/>
    <x v="161"/>
    <x v="0"/>
    <x v="0"/>
    <n v="7"/>
    <n v="14"/>
    <n v="0.51"/>
    <n v="0.49"/>
  </r>
  <r>
    <x v="5"/>
    <x v="0"/>
    <n v="223"/>
    <n v="56619"/>
    <n v="124"/>
    <x v="246"/>
    <x v="1"/>
    <x v="0"/>
    <n v="23"/>
    <n v="18"/>
    <n v="0.56000000000000005"/>
    <n v="0.43999999999999995"/>
  </r>
  <r>
    <x v="5"/>
    <x v="0"/>
    <n v="177"/>
    <n v="26834"/>
    <n v="676"/>
    <x v="247"/>
    <x v="2"/>
    <x v="0"/>
    <n v="5"/>
    <n v="35"/>
    <n v="0.59"/>
    <n v="0.41000000000000003"/>
  </r>
  <r>
    <x v="5"/>
    <x v="0"/>
    <n v="235"/>
    <n v="66689"/>
    <n v="603"/>
    <x v="4"/>
    <x v="3"/>
    <x v="0"/>
    <n v="12"/>
    <n v="42"/>
    <n v="0.33"/>
    <n v="0.66999999999999993"/>
  </r>
  <r>
    <x v="5"/>
    <x v="1"/>
    <n v="464"/>
    <n v="78521"/>
    <n v="1022"/>
    <x v="248"/>
    <x v="0"/>
    <x v="0"/>
    <n v="4"/>
    <n v="51"/>
    <n v="0.4"/>
    <n v="0.6"/>
  </r>
  <r>
    <x v="5"/>
    <x v="1"/>
    <n v="446"/>
    <n v="43771"/>
    <n v="354"/>
    <x v="169"/>
    <x v="1"/>
    <x v="0"/>
    <n v="21"/>
    <n v="30"/>
    <n v="0.61"/>
    <n v="0.39"/>
  </r>
  <r>
    <x v="5"/>
    <x v="1"/>
    <n v="516"/>
    <n v="148684"/>
    <n v="1572"/>
    <x v="249"/>
    <x v="2"/>
    <x v="0"/>
    <n v="2"/>
    <n v="21"/>
    <n v="0.69"/>
    <n v="0.31000000000000005"/>
  </r>
  <r>
    <x v="5"/>
    <x v="1"/>
    <n v="499"/>
    <n v="113934"/>
    <n v="904"/>
    <x v="250"/>
    <x v="3"/>
    <x v="0"/>
    <n v="4"/>
    <n v="5"/>
    <n v="0.87"/>
    <n v="0.13"/>
  </r>
  <r>
    <x v="5"/>
    <x v="2"/>
    <n v="531"/>
    <n v="38043"/>
    <n v="451"/>
    <x v="251"/>
    <x v="0"/>
    <x v="0"/>
    <n v="14"/>
    <n v="67"/>
    <n v="0.51"/>
    <n v="0.49"/>
  </r>
  <r>
    <x v="5"/>
    <x v="2"/>
    <n v="138"/>
    <n v="21611"/>
    <n v="719"/>
    <x v="252"/>
    <x v="1"/>
    <x v="0"/>
    <n v="16"/>
    <n v="48"/>
    <n v="0.37"/>
    <n v="0.63"/>
  </r>
  <r>
    <x v="5"/>
    <x v="2"/>
    <n v="501"/>
    <n v="47140"/>
    <n v="561"/>
    <x v="253"/>
    <x v="2"/>
    <x v="0"/>
    <n v="17"/>
    <n v="8"/>
    <n v="0.7"/>
    <n v="0.30000000000000004"/>
  </r>
  <r>
    <x v="5"/>
    <x v="2"/>
    <n v="108"/>
    <n v="30708"/>
    <n v="829"/>
    <x v="149"/>
    <x v="3"/>
    <x v="0"/>
    <n v="15"/>
    <n v="7"/>
    <n v="0.63"/>
    <n v="0.37"/>
  </r>
  <r>
    <x v="5"/>
    <x v="3"/>
    <n v="284"/>
    <n v="244040"/>
    <n v="1691"/>
    <x v="245"/>
    <x v="0"/>
    <x v="0"/>
    <n v="20"/>
    <n v="54"/>
    <n v="0.56999999999999995"/>
    <n v="0.43000000000000005"/>
  </r>
  <r>
    <x v="5"/>
    <x v="3"/>
    <n v="521"/>
    <n v="158013"/>
    <n v="1836"/>
    <x v="254"/>
    <x v="1"/>
    <x v="0"/>
    <n v="14"/>
    <n v="54"/>
    <n v="0.63"/>
    <n v="0.37"/>
  </r>
  <r>
    <x v="5"/>
    <x v="3"/>
    <n v="830"/>
    <n v="191939"/>
    <n v="867"/>
    <x v="174"/>
    <x v="2"/>
    <x v="0"/>
    <n v="6"/>
    <n v="37"/>
    <n v="0.37"/>
    <n v="0.63"/>
  </r>
  <r>
    <x v="5"/>
    <x v="3"/>
    <n v="1067"/>
    <n v="105912"/>
    <n v="1013"/>
    <x v="255"/>
    <x v="3"/>
    <x v="0"/>
    <n v="4"/>
    <n v="73"/>
    <n v="0.19"/>
    <n v="0.81"/>
  </r>
  <r>
    <x v="5"/>
    <x v="4"/>
    <n v="28"/>
    <n v="7534"/>
    <n v="235"/>
    <x v="256"/>
    <x v="0"/>
    <x v="0"/>
    <n v="4"/>
    <n v="57"/>
    <n v="0.73"/>
    <n v="0.27"/>
  </r>
  <r>
    <x v="5"/>
    <x v="4"/>
    <n v="45"/>
    <n v="11860"/>
    <n v="183"/>
    <x v="235"/>
    <x v="1"/>
    <x v="0"/>
    <n v="22"/>
    <n v="58"/>
    <n v="0.47"/>
    <n v="0.53"/>
  </r>
  <r>
    <x v="5"/>
    <x v="4"/>
    <n v="126"/>
    <n v="6291"/>
    <n v="160"/>
    <x v="257"/>
    <x v="2"/>
    <x v="0"/>
    <n v="18"/>
    <n v="51"/>
    <n v="0.67"/>
    <n v="0.32999999999999996"/>
  </r>
  <r>
    <x v="5"/>
    <x v="4"/>
    <n v="143"/>
    <n v="10617"/>
    <n v="108"/>
    <x v="68"/>
    <x v="3"/>
    <x v="0"/>
    <n v="7"/>
    <n v="64"/>
    <n v="0.23"/>
    <n v="0.77"/>
  </r>
  <r>
    <x v="5"/>
    <x v="5"/>
    <n v="102"/>
    <n v="1328"/>
    <n v="267"/>
    <x v="22"/>
    <x v="0"/>
    <x v="0"/>
    <n v="21"/>
    <n v="60"/>
    <n v="0.23"/>
    <n v="0.77"/>
  </r>
  <r>
    <x v="5"/>
    <x v="5"/>
    <n v="24"/>
    <n v="4399"/>
    <n v="285"/>
    <x v="119"/>
    <x v="1"/>
    <x v="0"/>
    <n v="22"/>
    <n v="61"/>
    <n v="0.88"/>
    <n v="0.12"/>
  </r>
  <r>
    <x v="5"/>
    <x v="5"/>
    <n v="220"/>
    <n v="14920"/>
    <n v="205"/>
    <x v="258"/>
    <x v="2"/>
    <x v="0"/>
    <n v="2"/>
    <n v="25"/>
    <n v="0.86"/>
    <n v="0.14000000000000001"/>
  </r>
  <r>
    <x v="5"/>
    <x v="5"/>
    <n v="143"/>
    <n v="17991"/>
    <n v="224"/>
    <x v="259"/>
    <x v="3"/>
    <x v="0"/>
    <n v="10"/>
    <n v="52"/>
    <n v="0.3"/>
    <n v="0.7"/>
  </r>
  <r>
    <x v="5"/>
    <x v="0"/>
    <n v="270"/>
    <n v="12225"/>
    <n v="759"/>
    <x v="0"/>
    <x v="0"/>
    <x v="1"/>
    <n v="11"/>
    <n v="73"/>
    <n v="0.48"/>
    <n v="0.52"/>
  </r>
  <r>
    <x v="5"/>
    <x v="0"/>
    <n v="239"/>
    <n v="30074"/>
    <n v="1013"/>
    <x v="260"/>
    <x v="1"/>
    <x v="1"/>
    <n v="9"/>
    <n v="58"/>
    <n v="0.56999999999999995"/>
    <n v="0.43000000000000005"/>
  </r>
  <r>
    <x v="5"/>
    <x v="0"/>
    <n v="471"/>
    <n v="24910"/>
    <n v="408"/>
    <x v="187"/>
    <x v="2"/>
    <x v="1"/>
    <n v="20"/>
    <n v="22"/>
    <n v="0.62"/>
    <n v="0.38"/>
  </r>
  <r>
    <x v="5"/>
    <x v="0"/>
    <n v="440"/>
    <n v="42759"/>
    <n v="662"/>
    <x v="261"/>
    <x v="3"/>
    <x v="1"/>
    <n v="22"/>
    <n v="57"/>
    <n v="0.37"/>
    <n v="0.63"/>
  </r>
  <r>
    <x v="5"/>
    <x v="1"/>
    <n v="294"/>
    <n v="38677"/>
    <n v="535"/>
    <x v="262"/>
    <x v="0"/>
    <x v="1"/>
    <n v="22"/>
    <n v="61"/>
    <n v="0.68"/>
    <n v="0.31999999999999995"/>
  </r>
  <r>
    <x v="5"/>
    <x v="1"/>
    <n v="393"/>
    <n v="40077"/>
    <n v="383"/>
    <x v="188"/>
    <x v="1"/>
    <x v="1"/>
    <n v="20"/>
    <n v="36"/>
    <n v="0.2"/>
    <n v="0.8"/>
  </r>
  <r>
    <x v="5"/>
    <x v="1"/>
    <n v="46"/>
    <n v="86725"/>
    <n v="496"/>
    <x v="263"/>
    <x v="2"/>
    <x v="1"/>
    <n v="8"/>
    <n v="53"/>
    <n v="0.67"/>
    <n v="0.32999999999999996"/>
  </r>
  <r>
    <x v="5"/>
    <x v="1"/>
    <n v="145"/>
    <n v="88124"/>
    <n v="344"/>
    <x v="264"/>
    <x v="3"/>
    <x v="1"/>
    <n v="9"/>
    <n v="60"/>
    <n v="0.6"/>
    <n v="0.4"/>
  </r>
  <r>
    <x v="5"/>
    <x v="2"/>
    <n v="263"/>
    <n v="7152"/>
    <n v="151"/>
    <x v="86"/>
    <x v="0"/>
    <x v="1"/>
    <n v="20"/>
    <n v="12"/>
    <n v="0.24"/>
    <n v="0.76"/>
  </r>
  <r>
    <x v="5"/>
    <x v="2"/>
    <n v="22"/>
    <n v="23921"/>
    <n v="487"/>
    <x v="265"/>
    <x v="1"/>
    <x v="1"/>
    <n v="1"/>
    <n v="72"/>
    <n v="0.23"/>
    <n v="0.77"/>
  </r>
  <r>
    <x v="5"/>
    <x v="2"/>
    <n v="398"/>
    <n v="21376"/>
    <n v="356"/>
    <x v="25"/>
    <x v="2"/>
    <x v="1"/>
    <n v="19"/>
    <n v="67"/>
    <n v="0.19"/>
    <n v="0.81"/>
  </r>
  <r>
    <x v="5"/>
    <x v="2"/>
    <n v="157"/>
    <n v="38145"/>
    <n v="691"/>
    <x v="266"/>
    <x v="3"/>
    <x v="1"/>
    <n v="15"/>
    <n v="22"/>
    <n v="0.54"/>
    <n v="0.45999999999999996"/>
  </r>
  <r>
    <x v="5"/>
    <x v="3"/>
    <n v="796"/>
    <n v="128331"/>
    <n v="540"/>
    <x v="267"/>
    <x v="0"/>
    <x v="1"/>
    <n v="1"/>
    <n v="9"/>
    <n v="0.51"/>
    <n v="0.49"/>
  </r>
  <r>
    <x v="5"/>
    <x v="3"/>
    <n v="404"/>
    <n v="77639"/>
    <n v="1289"/>
    <x v="143"/>
    <x v="1"/>
    <x v="1"/>
    <n v="4"/>
    <n v="34"/>
    <n v="0.26"/>
    <n v="0.74"/>
  </r>
  <r>
    <x v="5"/>
    <x v="3"/>
    <n v="855"/>
    <n v="152932"/>
    <n v="1230"/>
    <x v="268"/>
    <x v="2"/>
    <x v="1"/>
    <n v="2"/>
    <n v="11"/>
    <n v="0.45"/>
    <n v="0.55000000000000004"/>
  </r>
  <r>
    <x v="5"/>
    <x v="3"/>
    <n v="463"/>
    <n v="102240"/>
    <n v="1979"/>
    <x v="214"/>
    <x v="3"/>
    <x v="1"/>
    <n v="23"/>
    <n v="35"/>
    <n v="0.67"/>
    <n v="0.32999999999999996"/>
  </r>
  <r>
    <x v="5"/>
    <x v="4"/>
    <n v="63"/>
    <n v="2692"/>
    <n v="101"/>
    <x v="253"/>
    <x v="0"/>
    <x v="1"/>
    <n v="20"/>
    <n v="21"/>
    <n v="0.38"/>
    <n v="0.62"/>
  </r>
  <r>
    <x v="5"/>
    <x v="4"/>
    <n v="44"/>
    <n v="4430"/>
    <n v="86"/>
    <x v="27"/>
    <x v="1"/>
    <x v="1"/>
    <n v="13"/>
    <n v="49"/>
    <n v="0.73"/>
    <n v="0.27"/>
  </r>
  <r>
    <x v="5"/>
    <x v="4"/>
    <n v="97"/>
    <n v="7529"/>
    <n v="198"/>
    <x v="120"/>
    <x v="2"/>
    <x v="1"/>
    <n v="21"/>
    <n v="19"/>
    <n v="0.69"/>
    <n v="0.31000000000000005"/>
  </r>
  <r>
    <x v="5"/>
    <x v="4"/>
    <n v="78"/>
    <n v="9267"/>
    <n v="183"/>
    <x v="166"/>
    <x v="3"/>
    <x v="1"/>
    <n v="5"/>
    <n v="59"/>
    <n v="0.79"/>
    <n v="0.20999999999999996"/>
  </r>
  <r>
    <x v="5"/>
    <x v="5"/>
    <n v="139"/>
    <n v="5976"/>
    <n v="47"/>
    <x v="269"/>
    <x v="0"/>
    <x v="1"/>
    <n v="22"/>
    <n v="29"/>
    <n v="0.3"/>
    <n v="0.7"/>
  </r>
  <r>
    <x v="5"/>
    <x v="5"/>
    <n v="54"/>
    <n v="7860"/>
    <n v="222"/>
    <x v="103"/>
    <x v="1"/>
    <x v="1"/>
    <n v="2"/>
    <n v="73"/>
    <n v="0.38"/>
    <n v="0.62"/>
  </r>
  <r>
    <x v="5"/>
    <x v="5"/>
    <n v="106"/>
    <n v="4868"/>
    <n v="101"/>
    <x v="51"/>
    <x v="2"/>
    <x v="1"/>
    <n v="1"/>
    <n v="16"/>
    <n v="0.7"/>
    <n v="0.30000000000000004"/>
  </r>
  <r>
    <x v="5"/>
    <x v="5"/>
    <n v="21"/>
    <n v="6752"/>
    <n v="276"/>
    <x v="45"/>
    <x v="3"/>
    <x v="1"/>
    <n v="10"/>
    <n v="28"/>
    <n v="0.8"/>
    <n v="0.19999999999999996"/>
  </r>
  <r>
    <x v="5"/>
    <x v="0"/>
    <n v="367"/>
    <n v="14334"/>
    <n v="341"/>
    <x v="25"/>
    <x v="0"/>
    <x v="2"/>
    <n v="22"/>
    <n v="73"/>
    <n v="0.15"/>
    <n v="0.85"/>
  </r>
  <r>
    <x v="5"/>
    <x v="0"/>
    <n v="390"/>
    <n v="23994"/>
    <n v="368"/>
    <x v="270"/>
    <x v="1"/>
    <x v="2"/>
    <n v="14"/>
    <n v="17"/>
    <n v="0.86"/>
    <n v="0.14000000000000001"/>
  </r>
  <r>
    <x v="5"/>
    <x v="0"/>
    <n v="637"/>
    <n v="18988"/>
    <n v="1687"/>
    <x v="271"/>
    <x v="2"/>
    <x v="2"/>
    <n v="9"/>
    <n v="10"/>
    <n v="0.44"/>
    <n v="0.56000000000000005"/>
  </r>
  <r>
    <x v="5"/>
    <x v="0"/>
    <n v="660"/>
    <n v="28648"/>
    <n v="1714"/>
    <x v="147"/>
    <x v="3"/>
    <x v="2"/>
    <n v="4"/>
    <n v="25"/>
    <n v="0.32"/>
    <n v="0.67999999999999994"/>
  </r>
  <r>
    <x v="5"/>
    <x v="1"/>
    <n v="105"/>
    <n v="48142"/>
    <n v="242"/>
    <x v="272"/>
    <x v="0"/>
    <x v="2"/>
    <n v="10"/>
    <n v="49"/>
    <n v="0.41"/>
    <n v="0.59000000000000008"/>
  </r>
  <r>
    <x v="5"/>
    <x v="1"/>
    <n v="35"/>
    <n v="47545"/>
    <n v="376"/>
    <x v="273"/>
    <x v="1"/>
    <x v="2"/>
    <n v="4"/>
    <n v="75"/>
    <n v="0.42"/>
    <n v="0.58000000000000007"/>
  </r>
  <r>
    <x v="5"/>
    <x v="1"/>
    <n v="308"/>
    <n v="51579"/>
    <n v="311"/>
    <x v="230"/>
    <x v="2"/>
    <x v="2"/>
    <n v="21"/>
    <n v="67"/>
    <n v="0.23"/>
    <n v="0.77"/>
  </r>
  <r>
    <x v="5"/>
    <x v="1"/>
    <n v="238"/>
    <n v="50981"/>
    <n v="445"/>
    <x v="18"/>
    <x v="3"/>
    <x v="2"/>
    <n v="15"/>
    <n v="38"/>
    <n v="0.45"/>
    <n v="0.55000000000000004"/>
  </r>
  <r>
    <x v="5"/>
    <x v="2"/>
    <n v="146"/>
    <n v="12234"/>
    <n v="373"/>
    <x v="274"/>
    <x v="0"/>
    <x v="2"/>
    <n v="1"/>
    <n v="17"/>
    <n v="0.49"/>
    <n v="0.51"/>
  </r>
  <r>
    <x v="5"/>
    <x v="2"/>
    <n v="204"/>
    <n v="17544"/>
    <n v="535"/>
    <x v="135"/>
    <x v="1"/>
    <x v="2"/>
    <n v="3"/>
    <n v="27"/>
    <n v="0.7"/>
    <n v="0.30000000000000004"/>
  </r>
  <r>
    <x v="5"/>
    <x v="2"/>
    <n v="124"/>
    <n v="17866"/>
    <n v="124"/>
    <x v="275"/>
    <x v="2"/>
    <x v="2"/>
    <n v="3"/>
    <n v="57"/>
    <n v="0.11"/>
    <n v="0.89"/>
  </r>
  <r>
    <x v="5"/>
    <x v="2"/>
    <n v="183"/>
    <n v="23175"/>
    <n v="286"/>
    <x v="207"/>
    <x v="3"/>
    <x v="2"/>
    <n v="1"/>
    <n v="7"/>
    <n v="0.63"/>
    <n v="0.37"/>
  </r>
  <r>
    <x v="5"/>
    <x v="3"/>
    <n v="223"/>
    <n v="72498"/>
    <n v="531"/>
    <x v="18"/>
    <x v="0"/>
    <x v="2"/>
    <n v="14"/>
    <n v="22"/>
    <n v="0.83"/>
    <n v="0.17000000000000004"/>
  </r>
  <r>
    <x v="5"/>
    <x v="3"/>
    <n v="243"/>
    <n v="96542"/>
    <n v="562"/>
    <x v="276"/>
    <x v="1"/>
    <x v="2"/>
    <n v="1"/>
    <n v="31"/>
    <n v="0.53"/>
    <n v="0.47"/>
  </r>
  <r>
    <x v="5"/>
    <x v="3"/>
    <n v="321"/>
    <n v="83701"/>
    <n v="566"/>
    <x v="277"/>
    <x v="2"/>
    <x v="2"/>
    <n v="13"/>
    <n v="15"/>
    <n v="0.83"/>
    <n v="0.17000000000000004"/>
  </r>
  <r>
    <x v="5"/>
    <x v="3"/>
    <n v="340"/>
    <n v="107745"/>
    <n v="597"/>
    <x v="278"/>
    <x v="3"/>
    <x v="2"/>
    <n v="16"/>
    <n v="14"/>
    <n v="0.89"/>
    <n v="0.10999999999999999"/>
  </r>
  <r>
    <x v="5"/>
    <x v="4"/>
    <n v="63"/>
    <n v="5994"/>
    <n v="105"/>
    <x v="248"/>
    <x v="0"/>
    <x v="2"/>
    <n v="16"/>
    <n v="10"/>
    <n v="0.18"/>
    <n v="0.82000000000000006"/>
  </r>
  <r>
    <x v="5"/>
    <x v="4"/>
    <n v="57"/>
    <n v="6079"/>
    <n v="77"/>
    <x v="279"/>
    <x v="1"/>
    <x v="2"/>
    <n v="10"/>
    <n v="22"/>
    <n v="0.32"/>
    <n v="0.67999999999999994"/>
  </r>
  <r>
    <x v="5"/>
    <x v="4"/>
    <n v="40"/>
    <n v="3269"/>
    <n v="118"/>
    <x v="37"/>
    <x v="2"/>
    <x v="2"/>
    <n v="8"/>
    <n v="51"/>
    <n v="0.51"/>
    <n v="0.49"/>
  </r>
  <r>
    <x v="5"/>
    <x v="4"/>
    <n v="34"/>
    <n v="3354"/>
    <n v="90"/>
    <x v="33"/>
    <x v="3"/>
    <x v="2"/>
    <n v="20"/>
    <n v="68"/>
    <n v="0.15"/>
    <n v="0.85"/>
  </r>
  <r>
    <x v="5"/>
    <x v="5"/>
    <n v="93"/>
    <n v="6449"/>
    <n v="186"/>
    <x v="280"/>
    <x v="0"/>
    <x v="2"/>
    <n v="22"/>
    <n v="59"/>
    <n v="0.47"/>
    <n v="0.53"/>
  </r>
  <r>
    <x v="5"/>
    <x v="5"/>
    <n v="86"/>
    <n v="1683"/>
    <n v="164"/>
    <x v="281"/>
    <x v="1"/>
    <x v="2"/>
    <n v="16"/>
    <n v="11"/>
    <n v="0.83"/>
    <n v="0.17000000000000004"/>
  </r>
  <r>
    <x v="5"/>
    <x v="5"/>
    <n v="103"/>
    <n v="8267"/>
    <n v="214"/>
    <x v="138"/>
    <x v="2"/>
    <x v="2"/>
    <n v="13"/>
    <n v="57"/>
    <n v="0.1"/>
    <n v="0.9"/>
  </r>
  <r>
    <x v="5"/>
    <x v="5"/>
    <n v="95"/>
    <n v="3500"/>
    <n v="192"/>
    <x v="101"/>
    <x v="3"/>
    <x v="2"/>
    <n v="13"/>
    <n v="57"/>
    <n v="0.49"/>
    <n v="0.51"/>
  </r>
  <r>
    <x v="6"/>
    <x v="0"/>
    <n v="60"/>
    <n v="60872"/>
    <n v="296"/>
    <x v="77"/>
    <x v="0"/>
    <x v="0"/>
    <n v="21"/>
    <n v="47"/>
    <n v="0.7"/>
    <n v="0.30000000000000004"/>
  </r>
  <r>
    <x v="6"/>
    <x v="0"/>
    <n v="349"/>
    <n v="173848"/>
    <n v="487"/>
    <x v="282"/>
    <x v="1"/>
    <x v="0"/>
    <n v="7"/>
    <n v="43"/>
    <n v="0.35"/>
    <n v="0.65"/>
  </r>
  <r>
    <x v="6"/>
    <x v="0"/>
    <n v="71"/>
    <n v="62449"/>
    <n v="355"/>
    <x v="83"/>
    <x v="2"/>
    <x v="0"/>
    <n v="18"/>
    <n v="77"/>
    <n v="0.79"/>
    <n v="0.20999999999999996"/>
  </r>
  <r>
    <x v="6"/>
    <x v="0"/>
    <n v="361"/>
    <n v="175426"/>
    <n v="547"/>
    <x v="280"/>
    <x v="3"/>
    <x v="0"/>
    <n v="16"/>
    <n v="58"/>
    <n v="0.59"/>
    <n v="0.41000000000000003"/>
  </r>
  <r>
    <x v="6"/>
    <x v="1"/>
    <n v="617"/>
    <n v="89687"/>
    <n v="989"/>
    <x v="113"/>
    <x v="0"/>
    <x v="0"/>
    <n v="22"/>
    <n v="22"/>
    <n v="0.11"/>
    <n v="0.89"/>
  </r>
  <r>
    <x v="6"/>
    <x v="1"/>
    <n v="256"/>
    <n v="21216"/>
    <n v="524"/>
    <x v="133"/>
    <x v="1"/>
    <x v="0"/>
    <n v="14"/>
    <n v="68"/>
    <n v="0.47"/>
    <n v="0.53"/>
  </r>
  <r>
    <x v="6"/>
    <x v="1"/>
    <n v="575"/>
    <n v="95304"/>
    <n v="1139"/>
    <x v="129"/>
    <x v="2"/>
    <x v="0"/>
    <n v="21"/>
    <n v="46"/>
    <n v="0.28000000000000003"/>
    <n v="0.72"/>
  </r>
  <r>
    <x v="6"/>
    <x v="1"/>
    <n v="214"/>
    <n v="26833"/>
    <n v="674"/>
    <x v="72"/>
    <x v="3"/>
    <x v="0"/>
    <n v="6"/>
    <n v="38"/>
    <n v="0.66"/>
    <n v="0.33999999999999997"/>
  </r>
  <r>
    <x v="6"/>
    <x v="2"/>
    <n v="53"/>
    <n v="224807"/>
    <n v="135"/>
    <x v="146"/>
    <x v="0"/>
    <x v="0"/>
    <n v="12"/>
    <n v="3"/>
    <n v="0.61"/>
    <n v="0.39"/>
  </r>
  <r>
    <x v="6"/>
    <x v="2"/>
    <n v="61"/>
    <n v="27585"/>
    <n v="86"/>
    <x v="283"/>
    <x v="1"/>
    <x v="0"/>
    <n v="20"/>
    <n v="57"/>
    <n v="0.65"/>
    <n v="0.35"/>
  </r>
  <r>
    <x v="6"/>
    <x v="2"/>
    <n v="24"/>
    <n v="271131"/>
    <n v="86"/>
    <x v="167"/>
    <x v="2"/>
    <x v="0"/>
    <n v="16"/>
    <n v="17"/>
    <n v="0.55000000000000004"/>
    <n v="0.44999999999999996"/>
  </r>
  <r>
    <x v="6"/>
    <x v="2"/>
    <n v="32"/>
    <n v="73909"/>
    <n v="38"/>
    <x v="284"/>
    <x v="3"/>
    <x v="0"/>
    <n v="1"/>
    <n v="41"/>
    <n v="0.74"/>
    <n v="0.26"/>
  </r>
  <r>
    <x v="6"/>
    <x v="3"/>
    <n v="197"/>
    <n v="19096"/>
    <n v="210"/>
    <x v="285"/>
    <x v="0"/>
    <x v="0"/>
    <n v="18"/>
    <n v="5"/>
    <n v="0.31"/>
    <n v="0.69"/>
  </r>
  <r>
    <x v="6"/>
    <x v="3"/>
    <n v="114"/>
    <n v="17535"/>
    <n v="336"/>
    <x v="286"/>
    <x v="1"/>
    <x v="0"/>
    <n v="6"/>
    <n v="28"/>
    <n v="0.54"/>
    <n v="0.45999999999999996"/>
  </r>
  <r>
    <x v="6"/>
    <x v="3"/>
    <n v="111"/>
    <n v="29667"/>
    <n v="114"/>
    <x v="54"/>
    <x v="2"/>
    <x v="0"/>
    <n v="9"/>
    <n v="6"/>
    <n v="0.16"/>
    <n v="0.84"/>
  </r>
  <r>
    <x v="6"/>
    <x v="3"/>
    <n v="27"/>
    <n v="28106"/>
    <n v="240"/>
    <x v="11"/>
    <x v="3"/>
    <x v="0"/>
    <n v="23"/>
    <n v="67"/>
    <n v="0.52"/>
    <n v="0.48"/>
  </r>
  <r>
    <x v="6"/>
    <x v="4"/>
    <n v="65"/>
    <n v="41961"/>
    <n v="282"/>
    <x v="287"/>
    <x v="0"/>
    <x v="0"/>
    <n v="22"/>
    <n v="20"/>
    <n v="0.28000000000000003"/>
    <n v="0.72"/>
  </r>
  <r>
    <x v="6"/>
    <x v="4"/>
    <n v="64"/>
    <n v="49243"/>
    <n v="161"/>
    <x v="235"/>
    <x v="1"/>
    <x v="0"/>
    <n v="17"/>
    <n v="77"/>
    <n v="0.65"/>
    <n v="0.35"/>
  </r>
  <r>
    <x v="6"/>
    <x v="4"/>
    <n v="90"/>
    <n v="53460"/>
    <n v="148"/>
    <x v="288"/>
    <x v="2"/>
    <x v="0"/>
    <n v="4"/>
    <n v="16"/>
    <n v="0.72"/>
    <n v="0.28000000000000003"/>
  </r>
  <r>
    <x v="6"/>
    <x v="4"/>
    <n v="89"/>
    <n v="60742"/>
    <n v="28"/>
    <x v="289"/>
    <x v="3"/>
    <x v="0"/>
    <n v="16"/>
    <n v="11"/>
    <n v="0.19"/>
    <n v="0.81"/>
  </r>
  <r>
    <x v="6"/>
    <x v="5"/>
    <n v="30"/>
    <n v="33950"/>
    <n v="71"/>
    <x v="24"/>
    <x v="0"/>
    <x v="0"/>
    <n v="8"/>
    <n v="2"/>
    <n v="0.88"/>
    <n v="0.12"/>
  </r>
  <r>
    <x v="6"/>
    <x v="5"/>
    <n v="48"/>
    <n v="40485"/>
    <n v="106"/>
    <x v="22"/>
    <x v="1"/>
    <x v="0"/>
    <n v="4"/>
    <n v="67"/>
    <n v="0.61"/>
    <n v="0.39"/>
  </r>
  <r>
    <x v="6"/>
    <x v="5"/>
    <n v="16"/>
    <n v="20924"/>
    <n v="22"/>
    <x v="290"/>
    <x v="2"/>
    <x v="0"/>
    <n v="23"/>
    <n v="24"/>
    <n v="0.51"/>
    <n v="0.49"/>
  </r>
  <r>
    <x v="6"/>
    <x v="5"/>
    <n v="33"/>
    <n v="27459"/>
    <n v="57"/>
    <x v="44"/>
    <x v="3"/>
    <x v="0"/>
    <n v="14"/>
    <n v="15"/>
    <n v="0.21"/>
    <n v="0.79"/>
  </r>
  <r>
    <x v="6"/>
    <x v="0"/>
    <n v="375"/>
    <n v="95395"/>
    <n v="299"/>
    <x v="93"/>
    <x v="0"/>
    <x v="1"/>
    <n v="16"/>
    <n v="60"/>
    <n v="0.84"/>
    <n v="0.16000000000000003"/>
  </r>
  <r>
    <x v="6"/>
    <x v="0"/>
    <n v="244"/>
    <n v="66592"/>
    <n v="504"/>
    <x v="244"/>
    <x v="1"/>
    <x v="1"/>
    <n v="10"/>
    <n v="54"/>
    <n v="0.49"/>
    <n v="0.51"/>
  </r>
  <r>
    <x v="6"/>
    <x v="0"/>
    <n v="227"/>
    <n v="89095"/>
    <n v="440"/>
    <x v="95"/>
    <x v="2"/>
    <x v="1"/>
    <n v="8"/>
    <n v="63"/>
    <n v="0.17"/>
    <n v="0.83"/>
  </r>
  <r>
    <x v="6"/>
    <x v="0"/>
    <n v="96"/>
    <n v="60292"/>
    <n v="645"/>
    <x v="222"/>
    <x v="3"/>
    <x v="1"/>
    <n v="5"/>
    <n v="52"/>
    <n v="0.51"/>
    <n v="0.49"/>
  </r>
  <r>
    <x v="6"/>
    <x v="1"/>
    <n v="1047"/>
    <n v="19275"/>
    <n v="1661"/>
    <x v="253"/>
    <x v="0"/>
    <x v="1"/>
    <n v="7"/>
    <n v="36"/>
    <n v="0.24"/>
    <n v="0.76"/>
  </r>
  <r>
    <x v="6"/>
    <x v="1"/>
    <n v="355"/>
    <n v="69203"/>
    <n v="2739"/>
    <x v="265"/>
    <x v="1"/>
    <x v="1"/>
    <n v="19"/>
    <n v="21"/>
    <n v="0.39"/>
    <n v="0.61"/>
  </r>
  <r>
    <x v="6"/>
    <x v="1"/>
    <n v="1344"/>
    <n v="7567"/>
    <n v="661"/>
    <x v="271"/>
    <x v="2"/>
    <x v="1"/>
    <n v="17"/>
    <n v="52"/>
    <n v="0.14000000000000001"/>
    <n v="0.86"/>
  </r>
  <r>
    <x v="6"/>
    <x v="1"/>
    <n v="653"/>
    <n v="57495"/>
    <n v="1739"/>
    <x v="155"/>
    <x v="3"/>
    <x v="1"/>
    <n v="15"/>
    <n v="77"/>
    <n v="0.65"/>
    <n v="0.35"/>
  </r>
  <r>
    <x v="6"/>
    <x v="2"/>
    <n v="73"/>
    <n v="68493"/>
    <n v="104"/>
    <x v="171"/>
    <x v="0"/>
    <x v="1"/>
    <n v="2"/>
    <n v="41"/>
    <n v="0.44"/>
    <n v="0.56000000000000005"/>
  </r>
  <r>
    <x v="6"/>
    <x v="2"/>
    <n v="32"/>
    <n v="22560"/>
    <n v="210"/>
    <x v="61"/>
    <x v="1"/>
    <x v="1"/>
    <n v="4"/>
    <n v="16"/>
    <n v="0.22"/>
    <n v="0.78"/>
  </r>
  <r>
    <x v="6"/>
    <x v="2"/>
    <n v="136"/>
    <n v="174252"/>
    <n v="127"/>
    <x v="291"/>
    <x v="2"/>
    <x v="1"/>
    <n v="15"/>
    <n v="9"/>
    <n v="0.68"/>
    <n v="0.31999999999999995"/>
  </r>
  <r>
    <x v="6"/>
    <x v="2"/>
    <n v="95"/>
    <n v="128319"/>
    <n v="232"/>
    <x v="248"/>
    <x v="3"/>
    <x v="1"/>
    <n v="9"/>
    <n v="67"/>
    <n v="0.22"/>
    <n v="0.78"/>
  </r>
  <r>
    <x v="6"/>
    <x v="3"/>
    <n v="375"/>
    <n v="17438"/>
    <n v="543"/>
    <x v="47"/>
    <x v="0"/>
    <x v="1"/>
    <n v="21"/>
    <n v="69"/>
    <n v="0.62"/>
    <n v="0.38"/>
  </r>
  <r>
    <x v="6"/>
    <x v="3"/>
    <n v="400"/>
    <n v="16902"/>
    <n v="294"/>
    <x v="93"/>
    <x v="1"/>
    <x v="1"/>
    <n v="2"/>
    <n v="50"/>
    <n v="0.75"/>
    <n v="0.25"/>
  </r>
  <r>
    <x v="6"/>
    <x v="3"/>
    <n v="139"/>
    <n v="14197"/>
    <n v="785"/>
    <x v="292"/>
    <x v="2"/>
    <x v="1"/>
    <n v="3"/>
    <n v="12"/>
    <n v="0.7"/>
    <n v="0.30000000000000004"/>
  </r>
  <r>
    <x v="6"/>
    <x v="3"/>
    <n v="164"/>
    <n v="13661"/>
    <n v="536"/>
    <x v="191"/>
    <x v="3"/>
    <x v="1"/>
    <n v="21"/>
    <n v="17"/>
    <n v="0.44"/>
    <n v="0.56000000000000005"/>
  </r>
  <r>
    <x v="6"/>
    <x v="4"/>
    <n v="181"/>
    <n v="45855"/>
    <n v="320"/>
    <x v="1"/>
    <x v="0"/>
    <x v="1"/>
    <n v="21"/>
    <n v="1"/>
    <n v="0.88"/>
    <n v="0.12"/>
  </r>
  <r>
    <x v="6"/>
    <x v="4"/>
    <n v="112"/>
    <n v="40103"/>
    <n v="283"/>
    <x v="90"/>
    <x v="1"/>
    <x v="1"/>
    <n v="11"/>
    <n v="61"/>
    <n v="0.44"/>
    <n v="0.56000000000000005"/>
  </r>
  <r>
    <x v="6"/>
    <x v="4"/>
    <n v="159"/>
    <n v="27564"/>
    <n v="260"/>
    <x v="53"/>
    <x v="2"/>
    <x v="1"/>
    <n v="22"/>
    <n v="47"/>
    <n v="0.66"/>
    <n v="0.33999999999999997"/>
  </r>
  <r>
    <x v="6"/>
    <x v="4"/>
    <n v="90"/>
    <n v="21812"/>
    <n v="223"/>
    <x v="293"/>
    <x v="3"/>
    <x v="1"/>
    <n v="18"/>
    <n v="40"/>
    <n v="0.52"/>
    <n v="0.48"/>
  </r>
  <r>
    <x v="6"/>
    <x v="5"/>
    <n v="48"/>
    <n v="20313"/>
    <n v="104"/>
    <x v="95"/>
    <x v="0"/>
    <x v="1"/>
    <n v="19"/>
    <n v="37"/>
    <n v="0.17"/>
    <n v="0.83"/>
  </r>
  <r>
    <x v="6"/>
    <x v="5"/>
    <n v="64"/>
    <n v="18221"/>
    <n v="60"/>
    <x v="294"/>
    <x v="1"/>
    <x v="1"/>
    <n v="20"/>
    <n v="75"/>
    <n v="0.68"/>
    <n v="0.31999999999999995"/>
  </r>
  <r>
    <x v="6"/>
    <x v="5"/>
    <n v="19"/>
    <n v="22239"/>
    <n v="106"/>
    <x v="259"/>
    <x v="2"/>
    <x v="1"/>
    <n v="17"/>
    <n v="40"/>
    <n v="0.34"/>
    <n v="0.65999999999999992"/>
  </r>
  <r>
    <x v="6"/>
    <x v="5"/>
    <n v="35"/>
    <n v="20146"/>
    <n v="63"/>
    <x v="295"/>
    <x v="3"/>
    <x v="1"/>
    <n v="6"/>
    <n v="73"/>
    <n v="0.28000000000000003"/>
    <n v="0.72"/>
  </r>
  <r>
    <x v="6"/>
    <x v="0"/>
    <n v="442"/>
    <n v="31436"/>
    <n v="257"/>
    <x v="22"/>
    <x v="0"/>
    <x v="2"/>
    <n v="3"/>
    <n v="58"/>
    <n v="0.63"/>
    <n v="0.37"/>
  </r>
  <r>
    <x v="6"/>
    <x v="0"/>
    <n v="373"/>
    <n v="65656"/>
    <n v="670"/>
    <x v="224"/>
    <x v="1"/>
    <x v="2"/>
    <n v="10"/>
    <n v="63"/>
    <n v="0.35"/>
    <n v="0.65"/>
  </r>
  <r>
    <x v="6"/>
    <x v="0"/>
    <n v="225"/>
    <n v="56048"/>
    <n v="528"/>
    <x v="296"/>
    <x v="2"/>
    <x v="2"/>
    <n v="4"/>
    <n v="62"/>
    <n v="0.61"/>
    <n v="0.39"/>
  </r>
  <r>
    <x v="6"/>
    <x v="0"/>
    <n v="156"/>
    <n v="90269"/>
    <n v="941"/>
    <x v="297"/>
    <x v="3"/>
    <x v="2"/>
    <n v="1"/>
    <n v="54"/>
    <n v="0.59"/>
    <n v="0.41000000000000003"/>
  </r>
  <r>
    <x v="6"/>
    <x v="1"/>
    <n v="145"/>
    <n v="39526"/>
    <n v="1299"/>
    <x v="32"/>
    <x v="0"/>
    <x v="2"/>
    <n v="17"/>
    <n v="33"/>
    <n v="0.41"/>
    <n v="0.59000000000000008"/>
  </r>
  <r>
    <x v="6"/>
    <x v="1"/>
    <n v="81"/>
    <n v="26114"/>
    <n v="965"/>
    <x v="298"/>
    <x v="1"/>
    <x v="2"/>
    <n v="21"/>
    <n v="15"/>
    <n v="0.64"/>
    <n v="0.36"/>
  </r>
  <r>
    <x v="6"/>
    <x v="1"/>
    <n v="695"/>
    <n v="33899"/>
    <n v="587"/>
    <x v="291"/>
    <x v="2"/>
    <x v="2"/>
    <n v="10"/>
    <n v="29"/>
    <n v="0.39"/>
    <n v="0.61"/>
  </r>
  <r>
    <x v="6"/>
    <x v="1"/>
    <n v="631"/>
    <n v="20487"/>
    <n v="254"/>
    <x v="73"/>
    <x v="3"/>
    <x v="2"/>
    <n v="17"/>
    <n v="56"/>
    <n v="0.61"/>
    <n v="0.39"/>
  </r>
  <r>
    <x v="6"/>
    <x v="2"/>
    <n v="59"/>
    <n v="97908"/>
    <n v="90"/>
    <x v="299"/>
    <x v="0"/>
    <x v="2"/>
    <n v="13"/>
    <n v="63"/>
    <n v="0.37"/>
    <n v="0.63"/>
  </r>
  <r>
    <x v="6"/>
    <x v="2"/>
    <n v="15"/>
    <n v="81886"/>
    <n v="107"/>
    <x v="300"/>
    <x v="1"/>
    <x v="2"/>
    <n v="16"/>
    <n v="66"/>
    <n v="0.46"/>
    <n v="0.54"/>
  </r>
  <r>
    <x v="6"/>
    <x v="2"/>
    <n v="95"/>
    <n v="71967"/>
    <n v="114"/>
    <x v="177"/>
    <x v="2"/>
    <x v="2"/>
    <n v="21"/>
    <n v="54"/>
    <n v="0.69"/>
    <n v="0.31000000000000005"/>
  </r>
  <r>
    <x v="6"/>
    <x v="2"/>
    <n v="51"/>
    <n v="55945"/>
    <n v="131"/>
    <x v="43"/>
    <x v="3"/>
    <x v="2"/>
    <n v="13"/>
    <n v="5"/>
    <n v="0.87"/>
    <n v="0.13"/>
  </r>
  <r>
    <x v="6"/>
    <x v="3"/>
    <n v="214"/>
    <n v="5041"/>
    <n v="391"/>
    <x v="301"/>
    <x v="0"/>
    <x v="2"/>
    <n v="13"/>
    <n v="18"/>
    <n v="0.47"/>
    <n v="0.53"/>
  </r>
  <r>
    <x v="6"/>
    <x v="3"/>
    <n v="268"/>
    <n v="9746"/>
    <n v="404"/>
    <x v="224"/>
    <x v="1"/>
    <x v="2"/>
    <n v="13"/>
    <n v="41"/>
    <n v="0.33"/>
    <n v="0.66999999999999993"/>
  </r>
  <r>
    <x v="6"/>
    <x v="3"/>
    <n v="234"/>
    <n v="14565"/>
    <n v="601"/>
    <x v="302"/>
    <x v="2"/>
    <x v="2"/>
    <n v="4"/>
    <n v="8"/>
    <n v="0.32"/>
    <n v="0.67999999999999994"/>
  </r>
  <r>
    <x v="6"/>
    <x v="3"/>
    <n v="288"/>
    <n v="19270"/>
    <n v="614"/>
    <x v="18"/>
    <x v="3"/>
    <x v="2"/>
    <n v="21"/>
    <n v="56"/>
    <n v="0.35"/>
    <n v="0.65"/>
  </r>
  <r>
    <x v="6"/>
    <x v="4"/>
    <n v="41"/>
    <n v="10721"/>
    <n v="157"/>
    <x v="32"/>
    <x v="0"/>
    <x v="2"/>
    <n v="2"/>
    <n v="67"/>
    <n v="0.26"/>
    <n v="0.74"/>
  </r>
  <r>
    <x v="6"/>
    <x v="4"/>
    <n v="56"/>
    <n v="26254"/>
    <n v="146"/>
    <x v="303"/>
    <x v="1"/>
    <x v="2"/>
    <n v="15"/>
    <n v="39"/>
    <n v="0.23"/>
    <n v="0.77"/>
  </r>
  <r>
    <x v="6"/>
    <x v="4"/>
    <n v="168"/>
    <n v="26643"/>
    <n v="303"/>
    <x v="11"/>
    <x v="2"/>
    <x v="2"/>
    <n v="20"/>
    <n v="69"/>
    <n v="0.68"/>
    <n v="0.31999999999999995"/>
  </r>
  <r>
    <x v="6"/>
    <x v="4"/>
    <n v="183"/>
    <n v="42176"/>
    <n v="293"/>
    <x v="304"/>
    <x v="3"/>
    <x v="2"/>
    <n v="8"/>
    <n v="60"/>
    <n v="0.6"/>
    <n v="0.4"/>
  </r>
  <r>
    <x v="6"/>
    <x v="5"/>
    <n v="35"/>
    <n v="23638"/>
    <n v="14"/>
    <x v="135"/>
    <x v="0"/>
    <x v="2"/>
    <n v="2"/>
    <n v="28"/>
    <n v="0.16"/>
    <n v="0.84"/>
  </r>
  <r>
    <x v="6"/>
    <x v="5"/>
    <n v="37"/>
    <n v="14838"/>
    <n v="43"/>
    <x v="305"/>
    <x v="1"/>
    <x v="2"/>
    <n v="13"/>
    <n v="53"/>
    <n v="0.14000000000000001"/>
    <n v="0.86"/>
  </r>
  <r>
    <x v="6"/>
    <x v="5"/>
    <n v="17"/>
    <n v="16790"/>
    <n v="66"/>
    <x v="306"/>
    <x v="2"/>
    <x v="2"/>
    <n v="19"/>
    <n v="15"/>
    <n v="0.16"/>
    <n v="0.84"/>
  </r>
  <r>
    <x v="6"/>
    <x v="5"/>
    <n v="19"/>
    <n v="7990"/>
    <n v="95"/>
    <x v="307"/>
    <x v="3"/>
    <x v="2"/>
    <n v="13"/>
    <n v="58"/>
    <n v="0.19"/>
    <n v="0.81"/>
  </r>
  <r>
    <x v="7"/>
    <x v="0"/>
    <n v="623"/>
    <n v="50627"/>
    <n v="2140"/>
    <x v="308"/>
    <x v="0"/>
    <x v="0"/>
    <n v="2"/>
    <n v="59"/>
    <n v="0.8"/>
    <n v="0.19999999999999996"/>
  </r>
  <r>
    <x v="7"/>
    <x v="0"/>
    <n v="1337"/>
    <n v="38392"/>
    <n v="2210"/>
    <x v="309"/>
    <x v="1"/>
    <x v="0"/>
    <n v="12"/>
    <n v="43"/>
    <n v="0.21"/>
    <n v="0.79"/>
  </r>
  <r>
    <x v="7"/>
    <x v="0"/>
    <n v="561"/>
    <n v="34747"/>
    <n v="1587"/>
    <x v="95"/>
    <x v="2"/>
    <x v="0"/>
    <n v="20"/>
    <n v="59"/>
    <n v="0.64"/>
    <n v="0.36"/>
  </r>
  <r>
    <x v="7"/>
    <x v="0"/>
    <n v="1275"/>
    <n v="22512"/>
    <n v="1657"/>
    <x v="310"/>
    <x v="3"/>
    <x v="0"/>
    <n v="18"/>
    <n v="49"/>
    <n v="0.31"/>
    <n v="0.69"/>
  </r>
  <r>
    <x v="7"/>
    <x v="1"/>
    <n v="398"/>
    <n v="277194"/>
    <n v="1945"/>
    <x v="89"/>
    <x v="0"/>
    <x v="0"/>
    <n v="14"/>
    <n v="65"/>
    <n v="0.61"/>
    <n v="0.39"/>
  </r>
  <r>
    <x v="7"/>
    <x v="1"/>
    <n v="414"/>
    <n v="260284"/>
    <n v="2874"/>
    <x v="311"/>
    <x v="1"/>
    <x v="0"/>
    <n v="14"/>
    <n v="2"/>
    <n v="0.42"/>
    <n v="0.58000000000000007"/>
  </r>
  <r>
    <x v="7"/>
    <x v="1"/>
    <n v="1355"/>
    <n v="69641"/>
    <n v="665"/>
    <x v="312"/>
    <x v="2"/>
    <x v="0"/>
    <n v="17"/>
    <n v="10"/>
    <n v="0.4"/>
    <n v="0.6"/>
  </r>
  <r>
    <x v="7"/>
    <x v="1"/>
    <n v="1371"/>
    <n v="52731"/>
    <n v="1594"/>
    <x v="19"/>
    <x v="3"/>
    <x v="0"/>
    <n v="1"/>
    <n v="25"/>
    <n v="0.32"/>
    <n v="0.67999999999999994"/>
  </r>
  <r>
    <x v="7"/>
    <x v="2"/>
    <n v="41"/>
    <n v="19829"/>
    <n v="2484"/>
    <x v="31"/>
    <x v="0"/>
    <x v="0"/>
    <n v="20"/>
    <n v="1"/>
    <n v="0.55000000000000004"/>
    <n v="0.44999999999999996"/>
  </r>
  <r>
    <x v="7"/>
    <x v="2"/>
    <n v="870"/>
    <n v="11883"/>
    <n v="979"/>
    <x v="313"/>
    <x v="1"/>
    <x v="0"/>
    <n v="8"/>
    <n v="44"/>
    <n v="0.66"/>
    <n v="0.33999999999999997"/>
  </r>
  <r>
    <x v="7"/>
    <x v="2"/>
    <n v="508"/>
    <n v="22492"/>
    <n v="1778"/>
    <x v="314"/>
    <x v="2"/>
    <x v="0"/>
    <n v="9"/>
    <n v="70"/>
    <n v="0.56999999999999995"/>
    <n v="0.43000000000000005"/>
  </r>
  <r>
    <x v="7"/>
    <x v="2"/>
    <n v="1337"/>
    <n v="14546"/>
    <n v="274"/>
    <x v="302"/>
    <x v="3"/>
    <x v="0"/>
    <n v="16"/>
    <n v="77"/>
    <n v="0.28999999999999998"/>
    <n v="0.71"/>
  </r>
  <r>
    <x v="7"/>
    <x v="3"/>
    <n v="1143"/>
    <n v="33456"/>
    <n v="2783"/>
    <x v="315"/>
    <x v="0"/>
    <x v="0"/>
    <n v="12"/>
    <n v="15"/>
    <n v="0.59"/>
    <n v="0.41000000000000003"/>
  </r>
  <r>
    <x v="7"/>
    <x v="3"/>
    <n v="1634"/>
    <n v="31027"/>
    <n v="3916"/>
    <x v="269"/>
    <x v="1"/>
    <x v="0"/>
    <n v="20"/>
    <n v="45"/>
    <n v="0.48"/>
    <n v="0.52"/>
  </r>
  <r>
    <x v="7"/>
    <x v="3"/>
    <n v="619"/>
    <n v="37335"/>
    <n v="591"/>
    <x v="284"/>
    <x v="2"/>
    <x v="0"/>
    <n v="12"/>
    <n v="52"/>
    <n v="0.69"/>
    <n v="0.31000000000000005"/>
  </r>
  <r>
    <x v="7"/>
    <x v="3"/>
    <n v="1110"/>
    <n v="34906"/>
    <n v="1724"/>
    <x v="202"/>
    <x v="3"/>
    <x v="0"/>
    <n v="23"/>
    <n v="56"/>
    <n v="0.49"/>
    <n v="0.51"/>
  </r>
  <r>
    <x v="7"/>
    <x v="4"/>
    <n v="449"/>
    <n v="22209"/>
    <n v="1673"/>
    <x v="316"/>
    <x v="0"/>
    <x v="0"/>
    <n v="15"/>
    <n v="33"/>
    <n v="0.4"/>
    <n v="0.6"/>
  </r>
  <r>
    <x v="7"/>
    <x v="4"/>
    <n v="385"/>
    <n v="40731"/>
    <n v="1366"/>
    <x v="317"/>
    <x v="1"/>
    <x v="0"/>
    <n v="5"/>
    <n v="77"/>
    <n v="0.77"/>
    <n v="0.22999999999999998"/>
  </r>
  <r>
    <x v="7"/>
    <x v="4"/>
    <n v="572"/>
    <n v="29489"/>
    <n v="548"/>
    <x v="318"/>
    <x v="2"/>
    <x v="0"/>
    <n v="5"/>
    <n v="5"/>
    <n v="0.82"/>
    <n v="0.18000000000000005"/>
  </r>
  <r>
    <x v="7"/>
    <x v="4"/>
    <n v="507"/>
    <n v="48011"/>
    <n v="241"/>
    <x v="260"/>
    <x v="3"/>
    <x v="0"/>
    <n v="9"/>
    <n v="40"/>
    <n v="0.11"/>
    <n v="0.89"/>
  </r>
  <r>
    <x v="7"/>
    <x v="5"/>
    <n v="145"/>
    <n v="47739"/>
    <n v="720"/>
    <x v="319"/>
    <x v="0"/>
    <x v="0"/>
    <n v="17"/>
    <n v="66"/>
    <n v="0.84"/>
    <n v="0.16000000000000003"/>
  </r>
  <r>
    <x v="7"/>
    <x v="5"/>
    <n v="269"/>
    <n v="53011"/>
    <n v="143"/>
    <x v="320"/>
    <x v="1"/>
    <x v="0"/>
    <n v="17"/>
    <n v="73"/>
    <n v="0.62"/>
    <n v="0.38"/>
  </r>
  <r>
    <x v="7"/>
    <x v="5"/>
    <n v="186"/>
    <n v="10468"/>
    <n v="770"/>
    <x v="321"/>
    <x v="2"/>
    <x v="0"/>
    <n v="20"/>
    <n v="4"/>
    <n v="0.74"/>
    <n v="0.26"/>
  </r>
  <r>
    <x v="7"/>
    <x v="5"/>
    <n v="311"/>
    <n v="15740"/>
    <n v="193"/>
    <x v="197"/>
    <x v="3"/>
    <x v="0"/>
    <n v="10"/>
    <n v="75"/>
    <n v="0.15"/>
    <n v="0.85"/>
  </r>
  <r>
    <x v="7"/>
    <x v="0"/>
    <n v="1035"/>
    <n v="15230"/>
    <n v="989"/>
    <x v="273"/>
    <x v="0"/>
    <x v="1"/>
    <n v="10"/>
    <n v="33"/>
    <n v="0.65"/>
    <n v="0.35"/>
  </r>
  <r>
    <x v="7"/>
    <x v="0"/>
    <n v="1847"/>
    <n v="22531"/>
    <n v="3834"/>
    <x v="322"/>
    <x v="1"/>
    <x v="1"/>
    <n v="1"/>
    <n v="40"/>
    <n v="0.1"/>
    <n v="0.9"/>
  </r>
  <r>
    <x v="7"/>
    <x v="0"/>
    <n v="563"/>
    <n v="25657"/>
    <n v="987"/>
    <x v="323"/>
    <x v="2"/>
    <x v="1"/>
    <n v="12"/>
    <n v="29"/>
    <n v="0.82"/>
    <n v="0.18000000000000005"/>
  </r>
  <r>
    <x v="7"/>
    <x v="0"/>
    <n v="1375"/>
    <n v="32958"/>
    <n v="3832"/>
    <x v="324"/>
    <x v="3"/>
    <x v="1"/>
    <n v="11"/>
    <n v="45"/>
    <n v="0.22"/>
    <n v="0.78"/>
  </r>
  <r>
    <x v="7"/>
    <x v="1"/>
    <n v="850"/>
    <n v="102260"/>
    <n v="807"/>
    <x v="201"/>
    <x v="0"/>
    <x v="1"/>
    <n v="10"/>
    <n v="49"/>
    <n v="0.8"/>
    <n v="0.19999999999999996"/>
  </r>
  <r>
    <x v="7"/>
    <x v="1"/>
    <n v="546"/>
    <n v="134920"/>
    <n v="1521"/>
    <x v="35"/>
    <x v="1"/>
    <x v="1"/>
    <n v="13"/>
    <n v="1"/>
    <n v="0.89"/>
    <n v="0.10999999999999999"/>
  </r>
  <r>
    <x v="7"/>
    <x v="1"/>
    <n v="603"/>
    <n v="82455"/>
    <n v="779"/>
    <x v="254"/>
    <x v="2"/>
    <x v="1"/>
    <n v="12"/>
    <n v="39"/>
    <n v="0.23"/>
    <n v="0.77"/>
  </r>
  <r>
    <x v="7"/>
    <x v="1"/>
    <n v="299"/>
    <n v="115115"/>
    <n v="1493"/>
    <x v="112"/>
    <x v="3"/>
    <x v="1"/>
    <n v="5"/>
    <n v="43"/>
    <n v="0.14000000000000001"/>
    <n v="0.86"/>
  </r>
  <r>
    <x v="7"/>
    <x v="2"/>
    <n v="494"/>
    <n v="5930"/>
    <n v="245"/>
    <x v="325"/>
    <x v="0"/>
    <x v="1"/>
    <n v="16"/>
    <n v="26"/>
    <n v="0.16"/>
    <n v="0.84"/>
  </r>
  <r>
    <x v="7"/>
    <x v="2"/>
    <n v="290"/>
    <n v="14319"/>
    <n v="688"/>
    <x v="326"/>
    <x v="1"/>
    <x v="1"/>
    <n v="9"/>
    <n v="16"/>
    <n v="0.26"/>
    <n v="0.74"/>
  </r>
  <r>
    <x v="7"/>
    <x v="2"/>
    <n v="617"/>
    <n v="8329"/>
    <n v="1127"/>
    <x v="288"/>
    <x v="2"/>
    <x v="1"/>
    <n v="13"/>
    <n v="39"/>
    <n v="0.78"/>
    <n v="0.21999999999999997"/>
  </r>
  <r>
    <x v="7"/>
    <x v="2"/>
    <n v="413"/>
    <n v="16718"/>
    <n v="1571"/>
    <x v="52"/>
    <x v="3"/>
    <x v="1"/>
    <n v="1"/>
    <n v="13"/>
    <n v="0.35"/>
    <n v="0.65"/>
  </r>
  <r>
    <x v="7"/>
    <x v="3"/>
    <n v="651"/>
    <n v="35434"/>
    <n v="391"/>
    <x v="327"/>
    <x v="0"/>
    <x v="1"/>
    <n v="4"/>
    <n v="60"/>
    <n v="0.61"/>
    <n v="0.39"/>
  </r>
  <r>
    <x v="7"/>
    <x v="3"/>
    <n v="2407"/>
    <n v="30490"/>
    <n v="1318"/>
    <x v="328"/>
    <x v="1"/>
    <x v="1"/>
    <n v="1"/>
    <n v="18"/>
    <n v="0.38"/>
    <n v="0.62"/>
  </r>
  <r>
    <x v="7"/>
    <x v="3"/>
    <n v="607"/>
    <n v="14551"/>
    <n v="4711"/>
    <x v="329"/>
    <x v="2"/>
    <x v="1"/>
    <n v="18"/>
    <n v="65"/>
    <n v="0.66"/>
    <n v="0.33999999999999997"/>
  </r>
  <r>
    <x v="7"/>
    <x v="3"/>
    <n v="2363"/>
    <n v="9607"/>
    <n v="5638"/>
    <x v="330"/>
    <x v="3"/>
    <x v="1"/>
    <n v="23"/>
    <n v="60"/>
    <n v="0.87"/>
    <n v="0.13"/>
  </r>
  <r>
    <x v="7"/>
    <x v="4"/>
    <n v="290"/>
    <n v="5550"/>
    <n v="1036"/>
    <x v="331"/>
    <x v="0"/>
    <x v="1"/>
    <n v="8"/>
    <n v="10"/>
    <n v="0.33"/>
    <n v="0.66999999999999993"/>
  </r>
  <r>
    <x v="7"/>
    <x v="4"/>
    <n v="583"/>
    <n v="36646"/>
    <n v="365"/>
    <x v="75"/>
    <x v="1"/>
    <x v="1"/>
    <n v="9"/>
    <n v="27"/>
    <n v="0.3"/>
    <n v="0.7"/>
  </r>
  <r>
    <x v="7"/>
    <x v="4"/>
    <n v="208"/>
    <n v="9619"/>
    <n v="1218"/>
    <x v="332"/>
    <x v="2"/>
    <x v="1"/>
    <n v="17"/>
    <n v="19"/>
    <n v="0.6"/>
    <n v="0.4"/>
  </r>
  <r>
    <x v="7"/>
    <x v="4"/>
    <n v="501"/>
    <n v="40714"/>
    <n v="547"/>
    <x v="333"/>
    <x v="3"/>
    <x v="1"/>
    <n v="11"/>
    <n v="50"/>
    <n v="0.62"/>
    <n v="0.38"/>
  </r>
  <r>
    <x v="7"/>
    <x v="5"/>
    <n v="112"/>
    <n v="17707"/>
    <n v="378"/>
    <x v="24"/>
    <x v="0"/>
    <x v="1"/>
    <n v="15"/>
    <n v="6"/>
    <n v="0.47"/>
    <n v="0.53"/>
  </r>
  <r>
    <x v="7"/>
    <x v="5"/>
    <n v="241"/>
    <n v="23055"/>
    <n v="397"/>
    <x v="129"/>
    <x v="1"/>
    <x v="1"/>
    <n v="22"/>
    <n v="38"/>
    <n v="0.12"/>
    <n v="0.88"/>
  </r>
  <r>
    <x v="7"/>
    <x v="5"/>
    <n v="58"/>
    <n v="18769"/>
    <n v="204"/>
    <x v="334"/>
    <x v="2"/>
    <x v="1"/>
    <n v="6"/>
    <n v="47"/>
    <n v="0.14000000000000001"/>
    <n v="0.86"/>
  </r>
  <r>
    <x v="7"/>
    <x v="5"/>
    <n v="188"/>
    <n v="24117"/>
    <n v="223"/>
    <x v="335"/>
    <x v="3"/>
    <x v="1"/>
    <n v="22"/>
    <n v="12"/>
    <n v="0.35"/>
    <n v="0.65"/>
  </r>
  <r>
    <x v="7"/>
    <x v="0"/>
    <n v="704"/>
    <n v="15018"/>
    <n v="2181"/>
    <x v="297"/>
    <x v="0"/>
    <x v="2"/>
    <n v="7"/>
    <n v="14"/>
    <n v="0.39"/>
    <n v="0.61"/>
  </r>
  <r>
    <x v="7"/>
    <x v="0"/>
    <n v="1072"/>
    <n v="9632"/>
    <n v="2089"/>
    <x v="6"/>
    <x v="1"/>
    <x v="2"/>
    <n v="23"/>
    <n v="18"/>
    <n v="0.67"/>
    <n v="0.32999999999999996"/>
  </r>
  <r>
    <x v="7"/>
    <x v="0"/>
    <n v="623"/>
    <n v="28038"/>
    <n v="1303"/>
    <x v="336"/>
    <x v="2"/>
    <x v="2"/>
    <n v="5"/>
    <n v="35"/>
    <n v="0.56999999999999995"/>
    <n v="0.43000000000000005"/>
  </r>
  <r>
    <x v="7"/>
    <x v="0"/>
    <n v="992"/>
    <n v="22651"/>
    <n v="1211"/>
    <x v="97"/>
    <x v="3"/>
    <x v="2"/>
    <n v="12"/>
    <n v="42"/>
    <n v="0.1"/>
    <n v="0.9"/>
  </r>
  <r>
    <x v="7"/>
    <x v="1"/>
    <n v="249"/>
    <n v="13963"/>
    <n v="339"/>
    <x v="337"/>
    <x v="0"/>
    <x v="2"/>
    <n v="4"/>
    <n v="51"/>
    <n v="0.4"/>
    <n v="0.6"/>
  </r>
  <r>
    <x v="7"/>
    <x v="1"/>
    <n v="442"/>
    <n v="154101"/>
    <n v="1256"/>
    <x v="338"/>
    <x v="1"/>
    <x v="2"/>
    <n v="21"/>
    <n v="30"/>
    <n v="0.61"/>
    <n v="0.39"/>
  </r>
  <r>
    <x v="7"/>
    <x v="1"/>
    <n v="456"/>
    <n v="15827"/>
    <n v="541"/>
    <x v="339"/>
    <x v="2"/>
    <x v="2"/>
    <n v="2"/>
    <n v="21"/>
    <n v="0.34"/>
    <n v="0.65999999999999992"/>
  </r>
  <r>
    <x v="7"/>
    <x v="1"/>
    <n v="649"/>
    <n v="155965"/>
    <n v="1459"/>
    <x v="178"/>
    <x v="3"/>
    <x v="2"/>
    <n v="4"/>
    <n v="5"/>
    <n v="0.51"/>
    <n v="0.49"/>
  </r>
  <r>
    <x v="7"/>
    <x v="2"/>
    <n v="271"/>
    <n v="11356"/>
    <n v="1246"/>
    <x v="340"/>
    <x v="0"/>
    <x v="2"/>
    <n v="14"/>
    <n v="67"/>
    <n v="0.36"/>
    <n v="0.64"/>
  </r>
  <r>
    <x v="7"/>
    <x v="2"/>
    <n v="444"/>
    <n v="8176"/>
    <n v="612"/>
    <x v="341"/>
    <x v="1"/>
    <x v="2"/>
    <n v="16"/>
    <n v="48"/>
    <n v="0.56000000000000005"/>
    <n v="0.43999999999999995"/>
  </r>
  <r>
    <x v="7"/>
    <x v="2"/>
    <n v="265"/>
    <n v="9528"/>
    <n v="806"/>
    <x v="77"/>
    <x v="2"/>
    <x v="2"/>
    <n v="17"/>
    <n v="8"/>
    <n v="0.3"/>
    <n v="0.7"/>
  </r>
  <r>
    <x v="7"/>
    <x v="2"/>
    <n v="438"/>
    <n v="6348"/>
    <n v="172"/>
    <x v="23"/>
    <x v="3"/>
    <x v="2"/>
    <n v="15"/>
    <n v="7"/>
    <n v="0.34"/>
    <n v="0.65999999999999992"/>
  </r>
  <r>
    <x v="7"/>
    <x v="3"/>
    <n v="645"/>
    <n v="19656"/>
    <n v="547"/>
    <x v="105"/>
    <x v="0"/>
    <x v="2"/>
    <n v="20"/>
    <n v="54"/>
    <n v="0.53"/>
    <n v="0.47"/>
  </r>
  <r>
    <x v="7"/>
    <x v="3"/>
    <n v="860"/>
    <n v="10046"/>
    <n v="2104"/>
    <x v="342"/>
    <x v="1"/>
    <x v="2"/>
    <n v="14"/>
    <n v="54"/>
    <n v="0.8"/>
    <n v="0.19999999999999996"/>
  </r>
  <r>
    <x v="7"/>
    <x v="3"/>
    <n v="602"/>
    <n v="25163"/>
    <n v="820"/>
    <x v="343"/>
    <x v="2"/>
    <x v="2"/>
    <n v="6"/>
    <n v="37"/>
    <n v="0.63"/>
    <n v="0.37"/>
  </r>
  <r>
    <x v="7"/>
    <x v="3"/>
    <n v="817"/>
    <n v="15553"/>
    <n v="2377"/>
    <x v="85"/>
    <x v="3"/>
    <x v="2"/>
    <n v="4"/>
    <n v="73"/>
    <n v="0.87"/>
    <n v="0.13"/>
  </r>
  <r>
    <x v="7"/>
    <x v="4"/>
    <n v="159"/>
    <n v="15930"/>
    <n v="619"/>
    <x v="225"/>
    <x v="0"/>
    <x v="2"/>
    <n v="4"/>
    <n v="57"/>
    <n v="0.51"/>
    <n v="0.49"/>
  </r>
  <r>
    <x v="7"/>
    <x v="4"/>
    <n v="114"/>
    <n v="20925"/>
    <n v="226"/>
    <x v="344"/>
    <x v="1"/>
    <x v="2"/>
    <n v="22"/>
    <n v="58"/>
    <n v="0.25"/>
    <n v="0.75"/>
  </r>
  <r>
    <x v="7"/>
    <x v="4"/>
    <n v="431"/>
    <n v="15241"/>
    <n v="866"/>
    <x v="345"/>
    <x v="2"/>
    <x v="2"/>
    <n v="18"/>
    <n v="51"/>
    <n v="0.16"/>
    <n v="0.84"/>
  </r>
  <r>
    <x v="7"/>
    <x v="4"/>
    <n v="386"/>
    <n v="20236"/>
    <n v="474"/>
    <x v="4"/>
    <x v="3"/>
    <x v="2"/>
    <n v="7"/>
    <n v="64"/>
    <n v="0.6"/>
    <n v="0.4"/>
  </r>
  <r>
    <x v="7"/>
    <x v="5"/>
    <n v="149"/>
    <n v="30413"/>
    <n v="126"/>
    <x v="327"/>
    <x v="0"/>
    <x v="2"/>
    <n v="21"/>
    <n v="60"/>
    <n v="0.74"/>
    <n v="0.26"/>
  </r>
  <r>
    <x v="7"/>
    <x v="5"/>
    <n v="222"/>
    <n v="13000"/>
    <n v="350"/>
    <x v="346"/>
    <x v="1"/>
    <x v="2"/>
    <n v="22"/>
    <n v="61"/>
    <n v="0.36"/>
    <n v="0.64"/>
  </r>
  <r>
    <x v="7"/>
    <x v="5"/>
    <n v="129"/>
    <n v="19694"/>
    <n v="354"/>
    <x v="133"/>
    <x v="2"/>
    <x v="2"/>
    <n v="2"/>
    <n v="25"/>
    <n v="0.79"/>
    <n v="0.20999999999999996"/>
  </r>
  <r>
    <x v="7"/>
    <x v="5"/>
    <n v="202"/>
    <n v="2281"/>
    <n v="578"/>
    <x v="79"/>
    <x v="3"/>
    <x v="2"/>
    <n v="10"/>
    <n v="52"/>
    <n v="0.38"/>
    <n v="0.62"/>
  </r>
  <r>
    <x v="8"/>
    <x v="0"/>
    <n v="828"/>
    <n v="7162"/>
    <n v="3113"/>
    <x v="347"/>
    <x v="0"/>
    <x v="0"/>
    <n v="11"/>
    <n v="73"/>
    <n v="0.74"/>
    <n v="0.26"/>
  </r>
  <r>
    <x v="8"/>
    <x v="0"/>
    <n v="1549"/>
    <n v="21948"/>
    <n v="3493"/>
    <x v="282"/>
    <x v="1"/>
    <x v="0"/>
    <n v="9"/>
    <n v="58"/>
    <n v="0.18"/>
    <n v="0.82000000000000006"/>
  </r>
  <r>
    <x v="8"/>
    <x v="0"/>
    <n v="1089"/>
    <n v="4306"/>
    <n v="1783"/>
    <x v="348"/>
    <x v="2"/>
    <x v="0"/>
    <n v="20"/>
    <n v="22"/>
    <n v="0.33"/>
    <n v="0.66999999999999993"/>
  </r>
  <r>
    <x v="8"/>
    <x v="0"/>
    <n v="1810"/>
    <n v="19092"/>
    <n v="2163"/>
    <x v="236"/>
    <x v="3"/>
    <x v="0"/>
    <n v="22"/>
    <n v="57"/>
    <n v="0.33"/>
    <n v="0.66999999999999993"/>
  </r>
  <r>
    <x v="8"/>
    <x v="1"/>
    <n v="4884"/>
    <n v="23823"/>
    <n v="9613"/>
    <x v="41"/>
    <x v="0"/>
    <x v="0"/>
    <n v="22"/>
    <n v="61"/>
    <n v="0.41"/>
    <n v="0.59000000000000008"/>
  </r>
  <r>
    <x v="8"/>
    <x v="1"/>
    <n v="6934"/>
    <n v="21669"/>
    <n v="9430"/>
    <x v="349"/>
    <x v="1"/>
    <x v="0"/>
    <n v="20"/>
    <n v="36"/>
    <n v="0.76"/>
    <n v="0.24"/>
  </r>
  <r>
    <x v="8"/>
    <x v="1"/>
    <n v="3835"/>
    <n v="14988"/>
    <n v="12109"/>
    <x v="130"/>
    <x v="2"/>
    <x v="0"/>
    <n v="8"/>
    <n v="53"/>
    <n v="0.43"/>
    <n v="0.57000000000000006"/>
  </r>
  <r>
    <x v="8"/>
    <x v="1"/>
    <n v="5885"/>
    <n v="12834"/>
    <n v="11926"/>
    <x v="100"/>
    <x v="3"/>
    <x v="0"/>
    <n v="9"/>
    <n v="60"/>
    <n v="0.42"/>
    <n v="0.58000000000000007"/>
  </r>
  <r>
    <x v="8"/>
    <x v="2"/>
    <n v="407"/>
    <n v="1398"/>
    <n v="1005"/>
    <x v="350"/>
    <x v="0"/>
    <x v="0"/>
    <n v="20"/>
    <n v="12"/>
    <n v="0.73"/>
    <n v="0.27"/>
  </r>
  <r>
    <x v="8"/>
    <x v="2"/>
    <n v="350"/>
    <n v="7992"/>
    <n v="1612"/>
    <x v="351"/>
    <x v="1"/>
    <x v="0"/>
    <n v="1"/>
    <n v="72"/>
    <n v="0.56999999999999995"/>
    <n v="0.43000000000000005"/>
  </r>
  <r>
    <x v="8"/>
    <x v="2"/>
    <n v="830"/>
    <n v="25198"/>
    <n v="749"/>
    <x v="352"/>
    <x v="2"/>
    <x v="0"/>
    <n v="19"/>
    <n v="67"/>
    <n v="0.76"/>
    <n v="0.24"/>
  </r>
  <r>
    <x v="8"/>
    <x v="2"/>
    <n v="773"/>
    <n v="31791"/>
    <n v="1356"/>
    <x v="353"/>
    <x v="3"/>
    <x v="0"/>
    <n v="15"/>
    <n v="22"/>
    <n v="0.82"/>
    <n v="0.18000000000000005"/>
  </r>
  <r>
    <x v="8"/>
    <x v="3"/>
    <n v="4973"/>
    <n v="274642"/>
    <n v="3677"/>
    <x v="354"/>
    <x v="0"/>
    <x v="0"/>
    <n v="1"/>
    <n v="9"/>
    <n v="0.26"/>
    <n v="0.74"/>
  </r>
  <r>
    <x v="8"/>
    <x v="3"/>
    <n v="2523"/>
    <n v="59291"/>
    <n v="8014"/>
    <x v="355"/>
    <x v="1"/>
    <x v="0"/>
    <n v="4"/>
    <n v="34"/>
    <n v="0.56999999999999995"/>
    <n v="0.43000000000000005"/>
  </r>
  <r>
    <x v="8"/>
    <x v="3"/>
    <n v="3859"/>
    <n v="318333"/>
    <n v="4751"/>
    <x v="216"/>
    <x v="2"/>
    <x v="0"/>
    <n v="2"/>
    <n v="11"/>
    <n v="0.67"/>
    <n v="0.32999999999999996"/>
  </r>
  <r>
    <x v="8"/>
    <x v="3"/>
    <n v="1409"/>
    <n v="102982"/>
    <n v="9088"/>
    <x v="340"/>
    <x v="3"/>
    <x v="0"/>
    <n v="23"/>
    <n v="35"/>
    <n v="0.31"/>
    <n v="0.69"/>
  </r>
  <r>
    <x v="8"/>
    <x v="4"/>
    <n v="425"/>
    <n v="15340"/>
    <n v="2585"/>
    <x v="356"/>
    <x v="0"/>
    <x v="0"/>
    <n v="20"/>
    <n v="21"/>
    <n v="0.46"/>
    <n v="0.54"/>
  </r>
  <r>
    <x v="8"/>
    <x v="4"/>
    <n v="877"/>
    <n v="13957"/>
    <n v="1182"/>
    <x v="357"/>
    <x v="1"/>
    <x v="0"/>
    <n v="13"/>
    <n v="49"/>
    <n v="0.81"/>
    <n v="0.18999999999999995"/>
  </r>
  <r>
    <x v="8"/>
    <x v="4"/>
    <n v="1689"/>
    <n v="23302"/>
    <n v="3951"/>
    <x v="217"/>
    <x v="2"/>
    <x v="0"/>
    <n v="21"/>
    <n v="19"/>
    <n v="0.15"/>
    <n v="0.85"/>
  </r>
  <r>
    <x v="8"/>
    <x v="4"/>
    <n v="2141"/>
    <n v="21919"/>
    <n v="2548"/>
    <x v="217"/>
    <x v="3"/>
    <x v="0"/>
    <n v="5"/>
    <n v="59"/>
    <n v="0.87"/>
    <n v="0.13"/>
  </r>
  <r>
    <x v="8"/>
    <x v="5"/>
    <n v="516"/>
    <n v="83503"/>
    <n v="882"/>
    <x v="29"/>
    <x v="0"/>
    <x v="0"/>
    <n v="22"/>
    <n v="29"/>
    <n v="0.23"/>
    <n v="0.77"/>
  </r>
  <r>
    <x v="8"/>
    <x v="5"/>
    <n v="471"/>
    <n v="134025"/>
    <n v="783"/>
    <x v="358"/>
    <x v="1"/>
    <x v="0"/>
    <n v="2"/>
    <n v="73"/>
    <n v="0.85"/>
    <n v="0.15000000000000002"/>
  </r>
  <r>
    <x v="8"/>
    <x v="5"/>
    <n v="407"/>
    <n v="14324"/>
    <n v="975"/>
    <x v="359"/>
    <x v="2"/>
    <x v="0"/>
    <n v="1"/>
    <n v="16"/>
    <n v="0.55000000000000004"/>
    <n v="0.44999999999999996"/>
  </r>
  <r>
    <x v="8"/>
    <x v="5"/>
    <n v="362"/>
    <n v="64846"/>
    <n v="876"/>
    <x v="238"/>
    <x v="3"/>
    <x v="0"/>
    <n v="10"/>
    <n v="28"/>
    <n v="0.44"/>
    <n v="0.56000000000000005"/>
  </r>
  <r>
    <x v="8"/>
    <x v="0"/>
    <n v="939"/>
    <n v="8640"/>
    <n v="2390"/>
    <x v="360"/>
    <x v="0"/>
    <x v="1"/>
    <n v="22"/>
    <n v="73"/>
    <n v="0.63"/>
    <n v="0.37"/>
  </r>
  <r>
    <x v="8"/>
    <x v="0"/>
    <n v="2469"/>
    <n v="11683"/>
    <n v="2591"/>
    <x v="361"/>
    <x v="1"/>
    <x v="1"/>
    <n v="14"/>
    <n v="17"/>
    <n v="0.5"/>
    <n v="0.5"/>
  </r>
  <r>
    <x v="8"/>
    <x v="0"/>
    <n v="879"/>
    <n v="5614"/>
    <n v="4107"/>
    <x v="362"/>
    <x v="2"/>
    <x v="1"/>
    <n v="9"/>
    <n v="10"/>
    <n v="0.39"/>
    <n v="0.61"/>
  </r>
  <r>
    <x v="8"/>
    <x v="0"/>
    <n v="2409"/>
    <n v="8658"/>
    <n v="4307"/>
    <x v="240"/>
    <x v="3"/>
    <x v="1"/>
    <n v="4"/>
    <n v="25"/>
    <n v="0.86"/>
    <n v="0.14000000000000001"/>
  </r>
  <r>
    <x v="8"/>
    <x v="1"/>
    <n v="1976"/>
    <n v="15145"/>
    <n v="6090"/>
    <x v="65"/>
    <x v="0"/>
    <x v="1"/>
    <n v="10"/>
    <n v="49"/>
    <n v="0.63"/>
    <n v="0.37"/>
  </r>
  <r>
    <x v="8"/>
    <x v="1"/>
    <n v="1135"/>
    <n v="12890"/>
    <n v="7729"/>
    <x v="149"/>
    <x v="1"/>
    <x v="1"/>
    <n v="4"/>
    <n v="75"/>
    <n v="0.69"/>
    <n v="0.31000000000000005"/>
  </r>
  <r>
    <x v="8"/>
    <x v="1"/>
    <n v="3782"/>
    <n v="11262"/>
    <n v="2107"/>
    <x v="252"/>
    <x v="2"/>
    <x v="1"/>
    <n v="21"/>
    <n v="67"/>
    <n v="0.76"/>
    <n v="0.24"/>
  </r>
  <r>
    <x v="8"/>
    <x v="1"/>
    <n v="2941"/>
    <n v="9006"/>
    <n v="3746"/>
    <x v="363"/>
    <x v="3"/>
    <x v="1"/>
    <n v="15"/>
    <n v="38"/>
    <n v="0.1"/>
    <n v="0.9"/>
  </r>
  <r>
    <x v="8"/>
    <x v="2"/>
    <n v="375"/>
    <n v="6113"/>
    <n v="899"/>
    <x v="364"/>
    <x v="0"/>
    <x v="1"/>
    <n v="1"/>
    <n v="17"/>
    <n v="0.75"/>
    <n v="0.25"/>
  </r>
  <r>
    <x v="8"/>
    <x v="2"/>
    <n v="376"/>
    <n v="7065"/>
    <n v="936"/>
    <x v="358"/>
    <x v="1"/>
    <x v="1"/>
    <n v="3"/>
    <n v="27"/>
    <n v="0.11"/>
    <n v="0.89"/>
  </r>
  <r>
    <x v="8"/>
    <x v="2"/>
    <n v="402"/>
    <n v="14802"/>
    <n v="621"/>
    <x v="284"/>
    <x v="2"/>
    <x v="1"/>
    <n v="3"/>
    <n v="57"/>
    <n v="0.82"/>
    <n v="0.18000000000000005"/>
  </r>
  <r>
    <x v="8"/>
    <x v="2"/>
    <n v="403"/>
    <n v="15754"/>
    <n v="658"/>
    <x v="365"/>
    <x v="3"/>
    <x v="1"/>
    <n v="1"/>
    <n v="7"/>
    <n v="0.65"/>
    <n v="0.35"/>
  </r>
  <r>
    <x v="8"/>
    <x v="3"/>
    <n v="2769"/>
    <n v="178662"/>
    <n v="8093"/>
    <x v="278"/>
    <x v="0"/>
    <x v="1"/>
    <n v="14"/>
    <n v="22"/>
    <n v="0.5"/>
    <n v="0.5"/>
  </r>
  <r>
    <x v="8"/>
    <x v="3"/>
    <n v="4720"/>
    <n v="173085"/>
    <n v="9770"/>
    <x v="366"/>
    <x v="1"/>
    <x v="1"/>
    <n v="1"/>
    <n v="31"/>
    <n v="0.31"/>
    <n v="0.69"/>
  </r>
  <r>
    <x v="8"/>
    <x v="3"/>
    <n v="1228"/>
    <n v="75716"/>
    <n v="2126"/>
    <x v="367"/>
    <x v="2"/>
    <x v="1"/>
    <n v="13"/>
    <n v="15"/>
    <n v="0.7"/>
    <n v="0.30000000000000004"/>
  </r>
  <r>
    <x v="8"/>
    <x v="3"/>
    <n v="3179"/>
    <n v="70139"/>
    <n v="3803"/>
    <x v="364"/>
    <x v="3"/>
    <x v="1"/>
    <n v="16"/>
    <n v="14"/>
    <n v="0.41"/>
    <n v="0.59000000000000008"/>
  </r>
  <r>
    <x v="8"/>
    <x v="4"/>
    <n v="1381"/>
    <n v="6019"/>
    <n v="1536"/>
    <x v="166"/>
    <x v="0"/>
    <x v="1"/>
    <n v="16"/>
    <n v="10"/>
    <n v="0.78"/>
    <n v="0.21999999999999997"/>
  </r>
  <r>
    <x v="8"/>
    <x v="4"/>
    <n v="532"/>
    <n v="16461"/>
    <n v="2320"/>
    <x v="368"/>
    <x v="1"/>
    <x v="1"/>
    <n v="10"/>
    <n v="22"/>
    <n v="0.32"/>
    <n v="0.67999999999999994"/>
  </r>
  <r>
    <x v="8"/>
    <x v="4"/>
    <n v="1592"/>
    <n v="8087"/>
    <n v="1929"/>
    <x v="369"/>
    <x v="2"/>
    <x v="1"/>
    <n v="8"/>
    <n v="51"/>
    <n v="0.15"/>
    <n v="0.85"/>
  </r>
  <r>
    <x v="8"/>
    <x v="4"/>
    <n v="743"/>
    <n v="18529"/>
    <n v="2713"/>
    <x v="299"/>
    <x v="3"/>
    <x v="1"/>
    <n v="20"/>
    <n v="68"/>
    <n v="0.12"/>
    <n v="0.88"/>
  </r>
  <r>
    <x v="8"/>
    <x v="5"/>
    <n v="346"/>
    <n v="88223"/>
    <n v="775"/>
    <x v="370"/>
    <x v="0"/>
    <x v="1"/>
    <n v="22"/>
    <n v="59"/>
    <n v="0.44"/>
    <n v="0.56000000000000005"/>
  </r>
  <r>
    <x v="8"/>
    <x v="5"/>
    <n v="102"/>
    <n v="78091"/>
    <n v="1053"/>
    <x v="371"/>
    <x v="1"/>
    <x v="1"/>
    <n v="16"/>
    <n v="11"/>
    <n v="0.24"/>
    <n v="0.76"/>
  </r>
  <r>
    <x v="8"/>
    <x v="5"/>
    <n v="475"/>
    <n v="19650"/>
    <n v="101"/>
    <x v="372"/>
    <x v="2"/>
    <x v="1"/>
    <n v="13"/>
    <n v="57"/>
    <n v="0.43"/>
    <n v="0.57000000000000006"/>
  </r>
  <r>
    <x v="8"/>
    <x v="5"/>
    <n v="230"/>
    <n v="9518"/>
    <n v="380"/>
    <x v="373"/>
    <x v="3"/>
    <x v="1"/>
    <n v="13"/>
    <n v="57"/>
    <n v="0.78"/>
    <n v="0.21999999999999997"/>
  </r>
  <r>
    <x v="8"/>
    <x v="0"/>
    <n v="481"/>
    <n v="5553"/>
    <n v="1556"/>
    <x v="374"/>
    <x v="0"/>
    <x v="2"/>
    <n v="21"/>
    <n v="47"/>
    <n v="0.53"/>
    <n v="0.47"/>
  </r>
  <r>
    <x v="8"/>
    <x v="0"/>
    <n v="1467"/>
    <n v="1453"/>
    <n v="1177"/>
    <x v="112"/>
    <x v="1"/>
    <x v="2"/>
    <n v="7"/>
    <n v="43"/>
    <n v="0.62"/>
    <n v="0.38"/>
  </r>
  <r>
    <x v="8"/>
    <x v="0"/>
    <n v="887"/>
    <n v="12069"/>
    <n v="3532"/>
    <x v="375"/>
    <x v="2"/>
    <x v="2"/>
    <n v="18"/>
    <n v="77"/>
    <n v="0.62"/>
    <n v="0.38"/>
  </r>
  <r>
    <x v="8"/>
    <x v="0"/>
    <n v="1873"/>
    <n v="7968"/>
    <n v="3153"/>
    <x v="66"/>
    <x v="3"/>
    <x v="2"/>
    <n v="16"/>
    <n v="58"/>
    <n v="0.56000000000000005"/>
    <n v="0.43999999999999995"/>
  </r>
  <r>
    <x v="8"/>
    <x v="1"/>
    <n v="803"/>
    <n v="10790"/>
    <n v="3188"/>
    <x v="164"/>
    <x v="0"/>
    <x v="2"/>
    <n v="22"/>
    <n v="22"/>
    <n v="0.78"/>
    <n v="0.21999999999999997"/>
  </r>
  <r>
    <x v="8"/>
    <x v="1"/>
    <n v="1696"/>
    <n v="11477"/>
    <n v="5015"/>
    <x v="376"/>
    <x v="1"/>
    <x v="2"/>
    <n v="14"/>
    <n v="68"/>
    <n v="0.36"/>
    <n v="0.64"/>
  </r>
  <r>
    <x v="8"/>
    <x v="1"/>
    <n v="2147"/>
    <n v="7402"/>
    <n v="2673"/>
    <x v="377"/>
    <x v="2"/>
    <x v="2"/>
    <n v="21"/>
    <n v="46"/>
    <n v="0.35"/>
    <n v="0.65"/>
  </r>
  <r>
    <x v="8"/>
    <x v="1"/>
    <n v="3041"/>
    <n v="8089"/>
    <n v="4500"/>
    <x v="327"/>
    <x v="3"/>
    <x v="2"/>
    <n v="6"/>
    <n v="38"/>
    <n v="0.64"/>
    <n v="0.36"/>
  </r>
  <r>
    <x v="8"/>
    <x v="2"/>
    <n v="100"/>
    <n v="15177"/>
    <n v="978"/>
    <x v="378"/>
    <x v="0"/>
    <x v="2"/>
    <n v="12"/>
    <n v="3"/>
    <n v="0.23"/>
    <n v="0.77"/>
  </r>
  <r>
    <x v="8"/>
    <x v="2"/>
    <n v="266"/>
    <n v="3093"/>
    <n v="591"/>
    <x v="379"/>
    <x v="1"/>
    <x v="2"/>
    <n v="20"/>
    <n v="57"/>
    <n v="0.68"/>
    <n v="0.31999999999999995"/>
  </r>
  <r>
    <x v="8"/>
    <x v="2"/>
    <n v="339"/>
    <n v="14000"/>
    <n v="621"/>
    <x v="5"/>
    <x v="2"/>
    <x v="2"/>
    <n v="16"/>
    <n v="17"/>
    <n v="0.11"/>
    <n v="0.89"/>
  </r>
  <r>
    <x v="8"/>
    <x v="2"/>
    <n v="505"/>
    <n v="1916"/>
    <n v="234"/>
    <x v="163"/>
    <x v="3"/>
    <x v="2"/>
    <n v="1"/>
    <n v="41"/>
    <n v="0.89"/>
    <n v="0.10999999999999999"/>
  </r>
  <r>
    <x v="8"/>
    <x v="3"/>
    <n v="1211"/>
    <n v="133562"/>
    <n v="3910"/>
    <x v="170"/>
    <x v="0"/>
    <x v="2"/>
    <n v="18"/>
    <n v="5"/>
    <n v="0.1"/>
    <n v="0.9"/>
  </r>
  <r>
    <x v="8"/>
    <x v="3"/>
    <n v="1040"/>
    <n v="121648"/>
    <n v="1138"/>
    <x v="262"/>
    <x v="1"/>
    <x v="2"/>
    <n v="6"/>
    <n v="28"/>
    <n v="0.28999999999999998"/>
    <n v="0.71"/>
  </r>
  <r>
    <x v="8"/>
    <x v="3"/>
    <n v="1623"/>
    <n v="72847"/>
    <n v="4189"/>
    <x v="104"/>
    <x v="2"/>
    <x v="2"/>
    <n v="9"/>
    <n v="6"/>
    <n v="0.85"/>
    <n v="0.15000000000000002"/>
  </r>
  <r>
    <x v="8"/>
    <x v="3"/>
    <n v="1451"/>
    <n v="60932"/>
    <n v="1416"/>
    <x v="51"/>
    <x v="3"/>
    <x v="2"/>
    <n v="23"/>
    <n v="67"/>
    <n v="0.39"/>
    <n v="0.61"/>
  </r>
  <r>
    <x v="8"/>
    <x v="4"/>
    <n v="1134"/>
    <n v="13380"/>
    <n v="1350"/>
    <x v="380"/>
    <x v="0"/>
    <x v="2"/>
    <n v="22"/>
    <n v="20"/>
    <n v="0.46"/>
    <n v="0.54"/>
  </r>
  <r>
    <x v="8"/>
    <x v="4"/>
    <n v="593"/>
    <n v="17347"/>
    <n v="1440"/>
    <x v="381"/>
    <x v="1"/>
    <x v="2"/>
    <n v="17"/>
    <n v="77"/>
    <n v="0.69"/>
    <n v="0.31000000000000005"/>
  </r>
  <r>
    <x v="8"/>
    <x v="4"/>
    <n v="870"/>
    <n v="1843"/>
    <n v="1488"/>
    <x v="382"/>
    <x v="2"/>
    <x v="2"/>
    <n v="4"/>
    <n v="16"/>
    <n v="0.75"/>
    <n v="0.25"/>
  </r>
  <r>
    <x v="8"/>
    <x v="4"/>
    <n v="329"/>
    <n v="5809"/>
    <n v="1578"/>
    <x v="111"/>
    <x v="3"/>
    <x v="2"/>
    <n v="16"/>
    <n v="11"/>
    <n v="0.74"/>
    <n v="0.26"/>
  </r>
  <r>
    <x v="8"/>
    <x v="5"/>
    <n v="305"/>
    <n v="46585"/>
    <n v="614"/>
    <x v="96"/>
    <x v="0"/>
    <x v="2"/>
    <n v="8"/>
    <n v="2"/>
    <n v="0.28999999999999998"/>
    <n v="0.71"/>
  </r>
  <r>
    <x v="8"/>
    <x v="5"/>
    <n v="92"/>
    <n v="51128"/>
    <n v="544"/>
    <x v="85"/>
    <x v="1"/>
    <x v="2"/>
    <n v="4"/>
    <n v="67"/>
    <n v="0.81"/>
    <n v="0.18999999999999995"/>
  </r>
  <r>
    <x v="8"/>
    <x v="5"/>
    <n v="586"/>
    <n v="25278"/>
    <n v="812"/>
    <x v="383"/>
    <x v="2"/>
    <x v="2"/>
    <n v="23"/>
    <n v="24"/>
    <n v="0.5"/>
    <n v="0.5"/>
  </r>
  <r>
    <x v="8"/>
    <x v="5"/>
    <n v="372"/>
    <n v="29821"/>
    <n v="742"/>
    <x v="384"/>
    <x v="3"/>
    <x v="2"/>
    <n v="14"/>
    <n v="15"/>
    <n v="0.27"/>
    <n v="0.73"/>
  </r>
  <r>
    <x v="9"/>
    <x v="0"/>
    <n v="1925"/>
    <n v="29122"/>
    <n v="4480"/>
    <x v="385"/>
    <x v="0"/>
    <x v="0"/>
    <n v="16"/>
    <n v="60"/>
    <n v="0.42"/>
    <n v="0.58000000000000007"/>
  </r>
  <r>
    <x v="9"/>
    <x v="0"/>
    <n v="1805"/>
    <n v="25363"/>
    <n v="4107"/>
    <x v="308"/>
    <x v="1"/>
    <x v="0"/>
    <n v="10"/>
    <n v="54"/>
    <n v="0.84"/>
    <n v="0.16000000000000003"/>
  </r>
  <r>
    <x v="9"/>
    <x v="0"/>
    <n v="1587"/>
    <n v="60903"/>
    <n v="2679"/>
    <x v="234"/>
    <x v="2"/>
    <x v="0"/>
    <n v="8"/>
    <n v="63"/>
    <n v="0.24"/>
    <n v="0.76"/>
  </r>
  <r>
    <x v="9"/>
    <x v="0"/>
    <n v="1467"/>
    <n v="57145"/>
    <n v="2305"/>
    <x v="212"/>
    <x v="3"/>
    <x v="0"/>
    <n v="5"/>
    <n v="52"/>
    <n v="0.28999999999999998"/>
    <n v="0.71"/>
  </r>
  <r>
    <x v="9"/>
    <x v="1"/>
    <n v="3011"/>
    <n v="37308"/>
    <n v="7211"/>
    <x v="147"/>
    <x v="0"/>
    <x v="0"/>
    <n v="7"/>
    <n v="36"/>
    <n v="0.69"/>
    <n v="0.31000000000000005"/>
  </r>
  <r>
    <x v="9"/>
    <x v="1"/>
    <n v="3202"/>
    <n v="48887"/>
    <n v="4686"/>
    <x v="123"/>
    <x v="1"/>
    <x v="0"/>
    <n v="19"/>
    <n v="21"/>
    <n v="0.78"/>
    <n v="0.21999999999999997"/>
  </r>
  <r>
    <x v="9"/>
    <x v="1"/>
    <n v="1407"/>
    <n v="53232"/>
    <n v="4534"/>
    <x v="69"/>
    <x v="2"/>
    <x v="0"/>
    <n v="17"/>
    <n v="52"/>
    <n v="0.72"/>
    <n v="0.28000000000000003"/>
  </r>
  <r>
    <x v="9"/>
    <x v="1"/>
    <n v="1598"/>
    <n v="64811"/>
    <n v="2008"/>
    <x v="130"/>
    <x v="3"/>
    <x v="0"/>
    <n v="15"/>
    <n v="77"/>
    <n v="0.3"/>
    <n v="0.7"/>
  </r>
  <r>
    <x v="9"/>
    <x v="2"/>
    <n v="1921"/>
    <n v="97315"/>
    <n v="2892"/>
    <x v="241"/>
    <x v="0"/>
    <x v="0"/>
    <n v="2"/>
    <n v="41"/>
    <n v="0.74"/>
    <n v="0.26"/>
  </r>
  <r>
    <x v="9"/>
    <x v="2"/>
    <n v="2079"/>
    <n v="116593"/>
    <n v="2346"/>
    <x v="91"/>
    <x v="1"/>
    <x v="0"/>
    <n v="4"/>
    <n v="16"/>
    <n v="0.86"/>
    <n v="0.14000000000000001"/>
  </r>
  <r>
    <x v="9"/>
    <x v="2"/>
    <n v="160"/>
    <n v="158415"/>
    <n v="2135"/>
    <x v="386"/>
    <x v="2"/>
    <x v="0"/>
    <n v="15"/>
    <n v="9"/>
    <n v="0.4"/>
    <n v="0.6"/>
  </r>
  <r>
    <x v="9"/>
    <x v="2"/>
    <n v="319"/>
    <n v="177693"/>
    <n v="1588"/>
    <x v="235"/>
    <x v="3"/>
    <x v="0"/>
    <n v="9"/>
    <n v="67"/>
    <n v="0.67"/>
    <n v="0.32999999999999996"/>
  </r>
  <r>
    <x v="9"/>
    <x v="3"/>
    <n v="4890"/>
    <n v="52782"/>
    <n v="4310"/>
    <x v="30"/>
    <x v="0"/>
    <x v="0"/>
    <n v="21"/>
    <n v="69"/>
    <n v="0.18"/>
    <n v="0.82000000000000006"/>
  </r>
  <r>
    <x v="9"/>
    <x v="3"/>
    <n v="4143"/>
    <n v="20749"/>
    <n v="18696"/>
    <x v="259"/>
    <x v="1"/>
    <x v="0"/>
    <n v="2"/>
    <n v="50"/>
    <n v="0.55000000000000004"/>
    <n v="0.44999999999999996"/>
  </r>
  <r>
    <x v="9"/>
    <x v="3"/>
    <n v="8230"/>
    <n v="41102"/>
    <n v="6050"/>
    <x v="110"/>
    <x v="2"/>
    <x v="0"/>
    <n v="3"/>
    <n v="12"/>
    <n v="0.72"/>
    <n v="0.28000000000000003"/>
  </r>
  <r>
    <x v="9"/>
    <x v="3"/>
    <n v="7482"/>
    <n v="9069"/>
    <n v="20436"/>
    <x v="73"/>
    <x v="3"/>
    <x v="0"/>
    <n v="21"/>
    <n v="17"/>
    <n v="0.73"/>
    <n v="0.27"/>
  </r>
  <r>
    <x v="9"/>
    <x v="4"/>
    <n v="1290"/>
    <n v="10725"/>
    <n v="3704"/>
    <x v="20"/>
    <x v="0"/>
    <x v="0"/>
    <n v="21"/>
    <n v="1"/>
    <n v="0.49"/>
    <n v="0.51"/>
  </r>
  <r>
    <x v="9"/>
    <x v="4"/>
    <n v="653"/>
    <n v="7527"/>
    <n v="2541"/>
    <x v="247"/>
    <x v="1"/>
    <x v="0"/>
    <n v="11"/>
    <n v="61"/>
    <n v="0.18"/>
    <n v="0.82000000000000006"/>
  </r>
  <r>
    <x v="9"/>
    <x v="4"/>
    <n v="1891"/>
    <n v="12535"/>
    <n v="2549"/>
    <x v="41"/>
    <x v="2"/>
    <x v="0"/>
    <n v="22"/>
    <n v="47"/>
    <n v="0.33"/>
    <n v="0.66999999999999993"/>
  </r>
  <r>
    <x v="9"/>
    <x v="4"/>
    <n v="1255"/>
    <n v="9337"/>
    <n v="1387"/>
    <x v="8"/>
    <x v="3"/>
    <x v="0"/>
    <n v="18"/>
    <n v="40"/>
    <n v="0.38"/>
    <n v="0.62"/>
  </r>
  <r>
    <x v="9"/>
    <x v="5"/>
    <n v="860"/>
    <n v="12675"/>
    <n v="1207"/>
    <x v="84"/>
    <x v="0"/>
    <x v="0"/>
    <n v="19"/>
    <n v="37"/>
    <n v="0.79"/>
    <n v="0.20999999999999996"/>
  </r>
  <r>
    <x v="9"/>
    <x v="5"/>
    <n v="885"/>
    <n v="10583"/>
    <n v="1203"/>
    <x v="387"/>
    <x v="1"/>
    <x v="0"/>
    <n v="20"/>
    <n v="75"/>
    <n v="0.4"/>
    <n v="0.6"/>
  </r>
  <r>
    <x v="9"/>
    <x v="5"/>
    <n v="703"/>
    <n v="15636"/>
    <n v="1975"/>
    <x v="161"/>
    <x v="2"/>
    <x v="0"/>
    <n v="17"/>
    <n v="40"/>
    <n v="0.73"/>
    <n v="0.27"/>
  </r>
  <r>
    <x v="9"/>
    <x v="5"/>
    <n v="728"/>
    <n v="13544"/>
    <n v="1971"/>
    <x v="209"/>
    <x v="3"/>
    <x v="0"/>
    <n v="6"/>
    <n v="73"/>
    <n v="0.27"/>
    <n v="0.73"/>
  </r>
  <r>
    <x v="9"/>
    <x v="0"/>
    <n v="3249"/>
    <n v="30068"/>
    <n v="3893"/>
    <x v="185"/>
    <x v="0"/>
    <x v="1"/>
    <n v="3"/>
    <n v="58"/>
    <n v="0.68"/>
    <n v="0.31999999999999995"/>
  </r>
  <r>
    <x v="9"/>
    <x v="0"/>
    <n v="2993"/>
    <n v="21413"/>
    <n v="1104"/>
    <x v="87"/>
    <x v="1"/>
    <x v="1"/>
    <n v="10"/>
    <n v="63"/>
    <n v="0.47"/>
    <n v="0.53"/>
  </r>
  <r>
    <x v="9"/>
    <x v="0"/>
    <n v="1315"/>
    <n v="35424"/>
    <n v="7512"/>
    <x v="96"/>
    <x v="2"/>
    <x v="1"/>
    <n v="4"/>
    <n v="62"/>
    <n v="0.63"/>
    <n v="0.37"/>
  </r>
  <r>
    <x v="9"/>
    <x v="0"/>
    <n v="1058"/>
    <n v="26770"/>
    <n v="4723"/>
    <x v="172"/>
    <x v="3"/>
    <x v="1"/>
    <n v="1"/>
    <n v="54"/>
    <n v="0.41"/>
    <n v="0.59000000000000008"/>
  </r>
  <r>
    <x v="9"/>
    <x v="1"/>
    <n v="1094"/>
    <n v="35034"/>
    <n v="3695"/>
    <x v="172"/>
    <x v="0"/>
    <x v="1"/>
    <n v="17"/>
    <n v="33"/>
    <n v="0.76"/>
    <n v="0.24"/>
  </r>
  <r>
    <x v="9"/>
    <x v="1"/>
    <n v="902"/>
    <n v="33193"/>
    <n v="2240"/>
    <x v="126"/>
    <x v="1"/>
    <x v="1"/>
    <n v="21"/>
    <n v="15"/>
    <n v="0.4"/>
    <n v="0.6"/>
  </r>
  <r>
    <x v="9"/>
    <x v="1"/>
    <n v="1202"/>
    <n v="34089"/>
    <n v="1969"/>
    <x v="323"/>
    <x v="2"/>
    <x v="1"/>
    <n v="10"/>
    <n v="29"/>
    <n v="0.27"/>
    <n v="0.73"/>
  </r>
  <r>
    <x v="9"/>
    <x v="1"/>
    <n v="1010"/>
    <n v="32248"/>
    <n v="514"/>
    <x v="27"/>
    <x v="3"/>
    <x v="1"/>
    <n v="17"/>
    <n v="56"/>
    <n v="0.62"/>
    <n v="0.38"/>
  </r>
  <r>
    <x v="9"/>
    <x v="2"/>
    <n v="216"/>
    <n v="63850"/>
    <n v="1342"/>
    <x v="8"/>
    <x v="0"/>
    <x v="1"/>
    <n v="13"/>
    <n v="63"/>
    <n v="0.2"/>
    <n v="0.8"/>
  </r>
  <r>
    <x v="9"/>
    <x v="2"/>
    <n v="661"/>
    <n v="83249"/>
    <n v="1381"/>
    <x v="219"/>
    <x v="1"/>
    <x v="1"/>
    <n v="16"/>
    <n v="66"/>
    <n v="0.2"/>
    <n v="0.8"/>
  </r>
  <r>
    <x v="9"/>
    <x v="2"/>
    <n v="812"/>
    <n v="97943"/>
    <n v="1567"/>
    <x v="388"/>
    <x v="2"/>
    <x v="1"/>
    <n v="21"/>
    <n v="54"/>
    <n v="0.69"/>
    <n v="0.31000000000000005"/>
  </r>
  <r>
    <x v="9"/>
    <x v="2"/>
    <n v="1258"/>
    <n v="117342"/>
    <n v="1606"/>
    <x v="56"/>
    <x v="3"/>
    <x v="1"/>
    <n v="13"/>
    <n v="5"/>
    <n v="0.19"/>
    <n v="0.81"/>
  </r>
  <r>
    <x v="9"/>
    <x v="3"/>
    <n v="8532"/>
    <n v="29470"/>
    <n v="17187"/>
    <x v="81"/>
    <x v="0"/>
    <x v="1"/>
    <n v="13"/>
    <n v="18"/>
    <n v="0.33"/>
    <n v="0.66999999999999993"/>
  </r>
  <r>
    <x v="9"/>
    <x v="3"/>
    <n v="7363"/>
    <n v="33025"/>
    <n v="3240"/>
    <x v="362"/>
    <x v="1"/>
    <x v="1"/>
    <n v="13"/>
    <n v="41"/>
    <n v="0.67"/>
    <n v="0.32999999999999996"/>
  </r>
  <r>
    <x v="9"/>
    <x v="3"/>
    <n v="4165"/>
    <n v="7726"/>
    <n v="19818"/>
    <x v="72"/>
    <x v="2"/>
    <x v="1"/>
    <n v="4"/>
    <n v="8"/>
    <n v="0.16"/>
    <n v="0.84"/>
  </r>
  <r>
    <x v="9"/>
    <x v="3"/>
    <n v="2996"/>
    <n v="11281"/>
    <n v="5870"/>
    <x v="132"/>
    <x v="3"/>
    <x v="1"/>
    <n v="21"/>
    <n v="56"/>
    <n v="0.57999999999999996"/>
    <n v="0.42000000000000004"/>
  </r>
  <r>
    <x v="9"/>
    <x v="4"/>
    <n v="1362"/>
    <n v="5456"/>
    <n v="3116"/>
    <x v="233"/>
    <x v="0"/>
    <x v="1"/>
    <n v="2"/>
    <n v="67"/>
    <n v="0.12"/>
    <n v="0.88"/>
  </r>
  <r>
    <x v="9"/>
    <x v="4"/>
    <n v="783"/>
    <n v="5550"/>
    <n v="1864"/>
    <x v="301"/>
    <x v="1"/>
    <x v="1"/>
    <n v="15"/>
    <n v="39"/>
    <n v="0.25"/>
    <n v="0.75"/>
  </r>
  <r>
    <x v="9"/>
    <x v="4"/>
    <n v="1321"/>
    <n v="7667"/>
    <n v="2345"/>
    <x v="44"/>
    <x v="2"/>
    <x v="1"/>
    <n v="20"/>
    <n v="69"/>
    <n v="0.72"/>
    <n v="0.28000000000000003"/>
  </r>
  <r>
    <x v="9"/>
    <x v="4"/>
    <n v="742"/>
    <n v="7762"/>
    <n v="1093"/>
    <x v="171"/>
    <x v="3"/>
    <x v="1"/>
    <n v="8"/>
    <n v="60"/>
    <n v="0.43"/>
    <n v="0.57000000000000006"/>
  </r>
  <r>
    <x v="9"/>
    <x v="5"/>
    <n v="975"/>
    <n v="10456"/>
    <n v="983"/>
    <x v="389"/>
    <x v="0"/>
    <x v="1"/>
    <n v="2"/>
    <n v="28"/>
    <n v="0.32"/>
    <n v="0.67999999999999994"/>
  </r>
  <r>
    <x v="9"/>
    <x v="5"/>
    <n v="792"/>
    <n v="8458"/>
    <n v="840"/>
    <x v="234"/>
    <x v="1"/>
    <x v="1"/>
    <n v="13"/>
    <n v="53"/>
    <n v="0.85"/>
    <n v="0.15000000000000002"/>
  </r>
  <r>
    <x v="9"/>
    <x v="5"/>
    <n v="255"/>
    <n v="8816"/>
    <n v="1254"/>
    <x v="303"/>
    <x v="2"/>
    <x v="1"/>
    <n v="19"/>
    <n v="15"/>
    <n v="0.35"/>
    <n v="0.65"/>
  </r>
  <r>
    <x v="9"/>
    <x v="5"/>
    <n v="71"/>
    <n v="6818"/>
    <n v="1111"/>
    <x v="240"/>
    <x v="3"/>
    <x v="1"/>
    <n v="13"/>
    <n v="58"/>
    <n v="0.73"/>
    <n v="0.27"/>
  </r>
  <r>
    <x v="9"/>
    <x v="0"/>
    <n v="1933"/>
    <n v="19843"/>
    <n v="4647"/>
    <x v="80"/>
    <x v="0"/>
    <x v="2"/>
    <n v="2"/>
    <n v="59"/>
    <n v="0.23"/>
    <n v="0.77"/>
  </r>
  <r>
    <x v="9"/>
    <x v="0"/>
    <n v="2610"/>
    <n v="22546"/>
    <n v="4386"/>
    <x v="184"/>
    <x v="1"/>
    <x v="2"/>
    <n v="12"/>
    <n v="43"/>
    <n v="0.47"/>
    <n v="0.53"/>
  </r>
  <r>
    <x v="9"/>
    <x v="0"/>
    <n v="420"/>
    <n v="21885"/>
    <n v="1674"/>
    <x v="390"/>
    <x v="2"/>
    <x v="2"/>
    <n v="20"/>
    <n v="59"/>
    <n v="0.73"/>
    <n v="0.27"/>
  </r>
  <r>
    <x v="9"/>
    <x v="0"/>
    <n v="1096"/>
    <n v="24588"/>
    <n v="1413"/>
    <x v="187"/>
    <x v="3"/>
    <x v="2"/>
    <n v="18"/>
    <n v="49"/>
    <n v="0.4"/>
    <n v="0.6"/>
  </r>
  <r>
    <x v="9"/>
    <x v="1"/>
    <n v="711"/>
    <n v="36211"/>
    <n v="2454"/>
    <x v="161"/>
    <x v="0"/>
    <x v="2"/>
    <n v="14"/>
    <n v="65"/>
    <n v="0.53"/>
    <n v="0.47"/>
  </r>
  <r>
    <x v="9"/>
    <x v="1"/>
    <n v="445"/>
    <n v="1480"/>
    <n v="1558"/>
    <x v="293"/>
    <x v="1"/>
    <x v="2"/>
    <n v="14"/>
    <n v="2"/>
    <n v="0.69"/>
    <n v="0.31000000000000005"/>
  </r>
  <r>
    <x v="9"/>
    <x v="1"/>
    <n v="1198"/>
    <n v="51115"/>
    <n v="1729"/>
    <x v="126"/>
    <x v="2"/>
    <x v="2"/>
    <n v="17"/>
    <n v="10"/>
    <n v="0.77"/>
    <n v="0.22999999999999998"/>
  </r>
  <r>
    <x v="9"/>
    <x v="1"/>
    <n v="932"/>
    <n v="16384"/>
    <n v="833"/>
    <x v="73"/>
    <x v="3"/>
    <x v="2"/>
    <n v="1"/>
    <n v="25"/>
    <n v="0.63"/>
    <n v="0.37"/>
  </r>
  <r>
    <x v="9"/>
    <x v="2"/>
    <n v="368"/>
    <n v="39128"/>
    <n v="919"/>
    <x v="265"/>
    <x v="0"/>
    <x v="2"/>
    <n v="20"/>
    <n v="1"/>
    <n v="0.78"/>
    <n v="0.21999999999999997"/>
  </r>
  <r>
    <x v="9"/>
    <x v="2"/>
    <n v="501"/>
    <n v="92776"/>
    <n v="1479"/>
    <x v="107"/>
    <x v="1"/>
    <x v="2"/>
    <n v="8"/>
    <n v="44"/>
    <n v="0.37"/>
    <n v="0.63"/>
  </r>
  <r>
    <x v="9"/>
    <x v="2"/>
    <n v="651"/>
    <n v="48866"/>
    <n v="825"/>
    <x v="289"/>
    <x v="2"/>
    <x v="2"/>
    <n v="9"/>
    <n v="70"/>
    <n v="0.22"/>
    <n v="0.78"/>
  </r>
  <r>
    <x v="9"/>
    <x v="2"/>
    <n v="783"/>
    <n v="102515"/>
    <n v="1385"/>
    <x v="144"/>
    <x v="3"/>
    <x v="2"/>
    <n v="16"/>
    <n v="77"/>
    <n v="0.22"/>
    <n v="0.78"/>
  </r>
  <r>
    <x v="9"/>
    <x v="3"/>
    <n v="2890"/>
    <n v="9699"/>
    <n v="6154"/>
    <x v="28"/>
    <x v="0"/>
    <x v="2"/>
    <n v="12"/>
    <n v="15"/>
    <n v="0.11"/>
    <n v="0.89"/>
  </r>
  <r>
    <x v="9"/>
    <x v="3"/>
    <n v="1739"/>
    <n v="5348"/>
    <n v="8499"/>
    <x v="391"/>
    <x v="1"/>
    <x v="2"/>
    <n v="20"/>
    <n v="45"/>
    <n v="0.17"/>
    <n v="0.83"/>
  </r>
  <r>
    <x v="9"/>
    <x v="3"/>
    <n v="3426"/>
    <n v="26508"/>
    <n v="1833"/>
    <x v="184"/>
    <x v="2"/>
    <x v="2"/>
    <n v="12"/>
    <n v="52"/>
    <n v="0.27"/>
    <n v="0.73"/>
  </r>
  <r>
    <x v="9"/>
    <x v="3"/>
    <n v="2275"/>
    <n v="22157"/>
    <n v="4178"/>
    <x v="39"/>
    <x v="3"/>
    <x v="2"/>
    <n v="23"/>
    <n v="56"/>
    <n v="0.1"/>
    <n v="0.9"/>
  </r>
  <r>
    <x v="9"/>
    <x v="4"/>
    <n v="991"/>
    <n v="3885"/>
    <n v="1932"/>
    <x v="123"/>
    <x v="0"/>
    <x v="2"/>
    <n v="15"/>
    <n v="33"/>
    <n v="0.43"/>
    <n v="0.57000000000000006"/>
  </r>
  <r>
    <x v="9"/>
    <x v="4"/>
    <n v="536"/>
    <n v="3543"/>
    <n v="1452"/>
    <x v="79"/>
    <x v="1"/>
    <x v="2"/>
    <n v="5"/>
    <n v="77"/>
    <n v="0.64"/>
    <n v="0.36"/>
  </r>
  <r>
    <x v="9"/>
    <x v="4"/>
    <n v="917"/>
    <n v="6789"/>
    <n v="1456"/>
    <x v="132"/>
    <x v="2"/>
    <x v="2"/>
    <n v="5"/>
    <n v="5"/>
    <n v="0.27"/>
    <n v="0.73"/>
  </r>
  <r>
    <x v="9"/>
    <x v="4"/>
    <n v="462"/>
    <n v="6447"/>
    <n v="975"/>
    <x v="209"/>
    <x v="3"/>
    <x v="2"/>
    <n v="9"/>
    <n v="40"/>
    <n v="0.56999999999999995"/>
    <n v="0.43000000000000005"/>
  </r>
  <r>
    <x v="9"/>
    <x v="5"/>
    <n v="801"/>
    <n v="6230"/>
    <n v="42"/>
    <x v="392"/>
    <x v="0"/>
    <x v="2"/>
    <n v="17"/>
    <n v="66"/>
    <n v="0.2"/>
    <n v="0.8"/>
  </r>
  <r>
    <x v="9"/>
    <x v="5"/>
    <n v="440"/>
    <n v="6931"/>
    <n v="1223"/>
    <x v="393"/>
    <x v="1"/>
    <x v="2"/>
    <n v="17"/>
    <n v="73"/>
    <n v="0.88"/>
    <n v="0.12"/>
  </r>
  <r>
    <x v="9"/>
    <x v="5"/>
    <n v="786"/>
    <n v="6572"/>
    <n v="1230"/>
    <x v="257"/>
    <x v="2"/>
    <x v="2"/>
    <n v="20"/>
    <n v="4"/>
    <n v="0.43"/>
    <n v="0.57000000000000006"/>
  </r>
  <r>
    <x v="9"/>
    <x v="5"/>
    <n v="425"/>
    <n v="7274"/>
    <n v="2411"/>
    <x v="394"/>
    <x v="3"/>
    <x v="2"/>
    <n v="10"/>
    <n v="75"/>
    <n v="0.28000000000000003"/>
    <n v="0.72"/>
  </r>
  <r>
    <x v="10"/>
    <x v="0"/>
    <n v="1877"/>
    <n v="13272"/>
    <n v="3314"/>
    <x v="342"/>
    <x v="0"/>
    <x v="0"/>
    <n v="10"/>
    <n v="33"/>
    <n v="0.49"/>
    <n v="0.51"/>
  </r>
  <r>
    <x v="10"/>
    <x v="0"/>
    <n v="1544"/>
    <n v="12263"/>
    <n v="1801"/>
    <x v="238"/>
    <x v="1"/>
    <x v="0"/>
    <n v="1"/>
    <n v="40"/>
    <n v="0.88"/>
    <n v="0.12"/>
  </r>
  <r>
    <x v="10"/>
    <x v="0"/>
    <n v="1304"/>
    <n v="14929"/>
    <n v="3897"/>
    <x v="395"/>
    <x v="2"/>
    <x v="0"/>
    <n v="12"/>
    <n v="29"/>
    <n v="0.16"/>
    <n v="0.84"/>
  </r>
  <r>
    <x v="10"/>
    <x v="0"/>
    <n v="971"/>
    <n v="13920"/>
    <n v="2384"/>
    <x v="109"/>
    <x v="3"/>
    <x v="0"/>
    <n v="11"/>
    <n v="45"/>
    <n v="0.76"/>
    <n v="0.24"/>
  </r>
  <r>
    <x v="10"/>
    <x v="1"/>
    <n v="3995"/>
    <n v="143487"/>
    <n v="13357"/>
    <x v="34"/>
    <x v="0"/>
    <x v="0"/>
    <n v="10"/>
    <n v="49"/>
    <n v="0.6"/>
    <n v="0.4"/>
  </r>
  <r>
    <x v="10"/>
    <x v="1"/>
    <n v="4604"/>
    <n v="128970"/>
    <n v="3701"/>
    <x v="396"/>
    <x v="1"/>
    <x v="0"/>
    <n v="13"/>
    <n v="1"/>
    <n v="0.12"/>
    <n v="0.88"/>
  </r>
  <r>
    <x v="10"/>
    <x v="1"/>
    <n v="7027"/>
    <n v="174770"/>
    <n v="19561"/>
    <x v="397"/>
    <x v="2"/>
    <x v="0"/>
    <n v="12"/>
    <n v="39"/>
    <n v="0.24"/>
    <n v="0.76"/>
  </r>
  <r>
    <x v="10"/>
    <x v="1"/>
    <n v="7635"/>
    <n v="160253"/>
    <n v="9905"/>
    <x v="351"/>
    <x v="3"/>
    <x v="0"/>
    <n v="5"/>
    <n v="43"/>
    <n v="0.48"/>
    <n v="0.52"/>
  </r>
  <r>
    <x v="10"/>
    <x v="2"/>
    <n v="564"/>
    <n v="27157"/>
    <n v="1898"/>
    <x v="398"/>
    <x v="0"/>
    <x v="0"/>
    <n v="16"/>
    <n v="26"/>
    <n v="0.52"/>
    <n v="0.48"/>
  </r>
  <r>
    <x v="10"/>
    <x v="2"/>
    <n v="807"/>
    <n v="27369"/>
    <n v="1371"/>
    <x v="66"/>
    <x v="1"/>
    <x v="0"/>
    <n v="9"/>
    <n v="16"/>
    <n v="0.47"/>
    <n v="0.53"/>
  </r>
  <r>
    <x v="10"/>
    <x v="2"/>
    <n v="467"/>
    <n v="17674"/>
    <n v="1178"/>
    <x v="254"/>
    <x v="2"/>
    <x v="0"/>
    <n v="13"/>
    <n v="39"/>
    <n v="0.17"/>
    <n v="0.83"/>
  </r>
  <r>
    <x v="10"/>
    <x v="2"/>
    <n v="710"/>
    <n v="17887"/>
    <n v="651"/>
    <x v="317"/>
    <x v="3"/>
    <x v="0"/>
    <n v="1"/>
    <n v="13"/>
    <n v="0.73"/>
    <n v="0.27"/>
  </r>
  <r>
    <x v="10"/>
    <x v="3"/>
    <n v="2528"/>
    <n v="66692"/>
    <n v="6415"/>
    <x v="360"/>
    <x v="0"/>
    <x v="0"/>
    <n v="4"/>
    <n v="60"/>
    <n v="0.36"/>
    <n v="0.64"/>
  </r>
  <r>
    <x v="10"/>
    <x v="3"/>
    <n v="4391"/>
    <n v="148068"/>
    <n v="9945"/>
    <x v="399"/>
    <x v="1"/>
    <x v="0"/>
    <n v="1"/>
    <n v="18"/>
    <n v="0.39"/>
    <n v="0.61"/>
  </r>
  <r>
    <x v="10"/>
    <x v="3"/>
    <n v="2502"/>
    <n v="262109"/>
    <n v="3841"/>
    <x v="382"/>
    <x v="2"/>
    <x v="0"/>
    <n v="18"/>
    <n v="65"/>
    <n v="0.52"/>
    <n v="0.48"/>
  </r>
  <r>
    <x v="10"/>
    <x v="3"/>
    <n v="4364"/>
    <n v="343485"/>
    <n v="7371"/>
    <x v="123"/>
    <x v="3"/>
    <x v="0"/>
    <n v="23"/>
    <n v="60"/>
    <n v="0.69"/>
    <n v="0.31000000000000005"/>
  </r>
  <r>
    <x v="10"/>
    <x v="4"/>
    <n v="968"/>
    <n v="27181"/>
    <n v="2893"/>
    <x v="33"/>
    <x v="0"/>
    <x v="0"/>
    <n v="8"/>
    <n v="10"/>
    <n v="0.82"/>
    <n v="0.18000000000000005"/>
  </r>
  <r>
    <x v="10"/>
    <x v="4"/>
    <n v="1386"/>
    <n v="9164"/>
    <n v="3221"/>
    <x v="400"/>
    <x v="1"/>
    <x v="0"/>
    <n v="9"/>
    <n v="27"/>
    <n v="0.81"/>
    <n v="0.18999999999999995"/>
  </r>
  <r>
    <x v="10"/>
    <x v="4"/>
    <n v="1385"/>
    <n v="33349"/>
    <n v="2322"/>
    <x v="220"/>
    <x v="2"/>
    <x v="0"/>
    <n v="17"/>
    <n v="19"/>
    <n v="0.85"/>
    <n v="0.15000000000000002"/>
  </r>
  <r>
    <x v="10"/>
    <x v="4"/>
    <n v="1803"/>
    <n v="15333"/>
    <n v="2650"/>
    <x v="401"/>
    <x v="3"/>
    <x v="0"/>
    <n v="11"/>
    <n v="50"/>
    <n v="0.73"/>
    <n v="0.27"/>
  </r>
  <r>
    <x v="10"/>
    <x v="5"/>
    <n v="743"/>
    <n v="102145"/>
    <n v="420"/>
    <x v="386"/>
    <x v="0"/>
    <x v="0"/>
    <n v="15"/>
    <n v="6"/>
    <n v="0.72"/>
    <n v="0.28000000000000003"/>
  </r>
  <r>
    <x v="10"/>
    <x v="5"/>
    <n v="749"/>
    <n v="113080"/>
    <n v="1432"/>
    <x v="214"/>
    <x v="1"/>
    <x v="0"/>
    <n v="22"/>
    <n v="38"/>
    <n v="0.34"/>
    <n v="0.65999999999999992"/>
  </r>
  <r>
    <x v="10"/>
    <x v="5"/>
    <n v="200"/>
    <n v="60799"/>
    <n v="467"/>
    <x v="402"/>
    <x v="2"/>
    <x v="0"/>
    <n v="6"/>
    <n v="47"/>
    <n v="0.21"/>
    <n v="0.79"/>
  </r>
  <r>
    <x v="10"/>
    <x v="5"/>
    <n v="206"/>
    <n v="71734"/>
    <n v="1479"/>
    <x v="403"/>
    <x v="3"/>
    <x v="0"/>
    <n v="22"/>
    <n v="12"/>
    <n v="0.68"/>
    <n v="0.31999999999999995"/>
  </r>
  <r>
    <x v="10"/>
    <x v="0"/>
    <n v="2199"/>
    <n v="8381"/>
    <n v="4286"/>
    <x v="352"/>
    <x v="0"/>
    <x v="1"/>
    <n v="7"/>
    <n v="14"/>
    <n v="0.24"/>
    <n v="0.76"/>
  </r>
  <r>
    <x v="10"/>
    <x v="0"/>
    <n v="3164"/>
    <n v="14185"/>
    <n v="3952"/>
    <x v="394"/>
    <x v="1"/>
    <x v="1"/>
    <n v="23"/>
    <n v="18"/>
    <n v="0.53"/>
    <n v="0.47"/>
  </r>
  <r>
    <x v="10"/>
    <x v="0"/>
    <n v="452"/>
    <n v="3730"/>
    <n v="3281"/>
    <x v="404"/>
    <x v="2"/>
    <x v="1"/>
    <n v="5"/>
    <n v="35"/>
    <n v="0.47"/>
    <n v="0.53"/>
  </r>
  <r>
    <x v="10"/>
    <x v="0"/>
    <n v="1417"/>
    <n v="9535"/>
    <n v="2947"/>
    <x v="405"/>
    <x v="3"/>
    <x v="1"/>
    <n v="12"/>
    <n v="42"/>
    <n v="0.55000000000000004"/>
    <n v="0.44999999999999996"/>
  </r>
  <r>
    <x v="10"/>
    <x v="1"/>
    <n v="3190"/>
    <n v="33171"/>
    <n v="7520"/>
    <x v="399"/>
    <x v="0"/>
    <x v="1"/>
    <n v="4"/>
    <n v="51"/>
    <n v="0.25"/>
    <n v="0.75"/>
  </r>
  <r>
    <x v="10"/>
    <x v="1"/>
    <n v="4514"/>
    <n v="79087"/>
    <n v="5494"/>
    <x v="12"/>
    <x v="1"/>
    <x v="1"/>
    <n v="21"/>
    <n v="30"/>
    <n v="0.81"/>
    <n v="0.18999999999999995"/>
  </r>
  <r>
    <x v="10"/>
    <x v="1"/>
    <n v="796"/>
    <n v="121036"/>
    <n v="5128"/>
    <x v="387"/>
    <x v="2"/>
    <x v="1"/>
    <n v="2"/>
    <n v="21"/>
    <n v="0.64"/>
    <n v="0.36"/>
  </r>
  <r>
    <x v="10"/>
    <x v="1"/>
    <n v="2120"/>
    <n v="166952"/>
    <n v="3102"/>
    <x v="339"/>
    <x v="3"/>
    <x v="1"/>
    <n v="4"/>
    <n v="5"/>
    <n v="0.53"/>
    <n v="0.47"/>
  </r>
  <r>
    <x v="10"/>
    <x v="2"/>
    <n v="528"/>
    <n v="20425"/>
    <n v="884"/>
    <x v="210"/>
    <x v="0"/>
    <x v="1"/>
    <n v="14"/>
    <n v="67"/>
    <n v="0.22"/>
    <n v="0.78"/>
  </r>
  <r>
    <x v="10"/>
    <x v="2"/>
    <n v="323"/>
    <n v="15564"/>
    <n v="1591"/>
    <x v="129"/>
    <x v="1"/>
    <x v="1"/>
    <n v="16"/>
    <n v="48"/>
    <n v="0.86"/>
    <n v="0.14000000000000001"/>
  </r>
  <r>
    <x v="10"/>
    <x v="2"/>
    <n v="517"/>
    <n v="14113"/>
    <n v="91"/>
    <x v="406"/>
    <x v="2"/>
    <x v="1"/>
    <n v="17"/>
    <n v="8"/>
    <n v="0.75"/>
    <n v="0.25"/>
  </r>
  <r>
    <x v="10"/>
    <x v="2"/>
    <n v="312"/>
    <n v="9252"/>
    <n v="798"/>
    <x v="327"/>
    <x v="3"/>
    <x v="1"/>
    <n v="15"/>
    <n v="7"/>
    <n v="0.53"/>
    <n v="0.47"/>
  </r>
  <r>
    <x v="10"/>
    <x v="3"/>
    <n v="2915"/>
    <n v="96024"/>
    <n v="7454"/>
    <x v="244"/>
    <x v="0"/>
    <x v="1"/>
    <n v="20"/>
    <n v="54"/>
    <n v="0.27"/>
    <n v="0.73"/>
  </r>
  <r>
    <x v="10"/>
    <x v="3"/>
    <n v="4767"/>
    <n v="164860"/>
    <n v="3646"/>
    <x v="20"/>
    <x v="1"/>
    <x v="1"/>
    <n v="14"/>
    <n v="54"/>
    <n v="0.67"/>
    <n v="0.32999999999999996"/>
  </r>
  <r>
    <x v="10"/>
    <x v="3"/>
    <n v="1656"/>
    <n v="105390"/>
    <n v="9201"/>
    <x v="288"/>
    <x v="2"/>
    <x v="1"/>
    <n v="6"/>
    <n v="37"/>
    <n v="0.62"/>
    <n v="0.38"/>
  </r>
  <r>
    <x v="10"/>
    <x v="3"/>
    <n v="3508"/>
    <n v="174226"/>
    <n v="5394"/>
    <x v="271"/>
    <x v="3"/>
    <x v="1"/>
    <n v="4"/>
    <n v="73"/>
    <n v="0.24"/>
    <n v="0.76"/>
  </r>
  <r>
    <x v="10"/>
    <x v="4"/>
    <n v="579"/>
    <n v="2516"/>
    <n v="1693"/>
    <x v="399"/>
    <x v="0"/>
    <x v="1"/>
    <n v="4"/>
    <n v="57"/>
    <n v="0.16"/>
    <n v="0.84"/>
  </r>
  <r>
    <x v="10"/>
    <x v="4"/>
    <n v="224"/>
    <n v="15016"/>
    <n v="2457"/>
    <x v="209"/>
    <x v="1"/>
    <x v="1"/>
    <n v="22"/>
    <n v="58"/>
    <n v="0.6"/>
    <n v="0.4"/>
  </r>
  <r>
    <x v="10"/>
    <x v="4"/>
    <n v="2070"/>
    <n v="12994"/>
    <n v="2133"/>
    <x v="239"/>
    <x v="2"/>
    <x v="1"/>
    <n v="18"/>
    <n v="51"/>
    <n v="0.72"/>
    <n v="0.28000000000000003"/>
  </r>
  <r>
    <x v="10"/>
    <x v="4"/>
    <n v="1715"/>
    <n v="25494"/>
    <n v="2896"/>
    <x v="388"/>
    <x v="3"/>
    <x v="1"/>
    <n v="7"/>
    <n v="64"/>
    <n v="0.71"/>
    <n v="0.29000000000000004"/>
  </r>
  <r>
    <x v="10"/>
    <x v="5"/>
    <n v="293"/>
    <n v="25184"/>
    <n v="874"/>
    <x v="82"/>
    <x v="0"/>
    <x v="1"/>
    <n v="21"/>
    <n v="60"/>
    <n v="0.52"/>
    <n v="0.48"/>
  </r>
  <r>
    <x v="10"/>
    <x v="5"/>
    <n v="128"/>
    <n v="41647"/>
    <n v="704"/>
    <x v="407"/>
    <x v="1"/>
    <x v="1"/>
    <n v="22"/>
    <n v="61"/>
    <n v="0.71"/>
    <n v="0.29000000000000004"/>
  </r>
  <r>
    <x v="10"/>
    <x v="5"/>
    <n v="494"/>
    <n v="72915"/>
    <n v="543"/>
    <x v="62"/>
    <x v="2"/>
    <x v="1"/>
    <n v="2"/>
    <n v="25"/>
    <n v="0.75"/>
    <n v="0.25"/>
  </r>
  <r>
    <x v="10"/>
    <x v="5"/>
    <n v="329"/>
    <n v="89378"/>
    <n v="372"/>
    <x v="0"/>
    <x v="3"/>
    <x v="1"/>
    <n v="10"/>
    <n v="52"/>
    <n v="0.11"/>
    <n v="0.89"/>
  </r>
  <r>
    <x v="10"/>
    <x v="0"/>
    <n v="453"/>
    <n v="6893"/>
    <n v="2797"/>
    <x v="232"/>
    <x v="0"/>
    <x v="2"/>
    <n v="11"/>
    <n v="73"/>
    <n v="0.5"/>
    <n v="0.5"/>
  </r>
  <r>
    <x v="10"/>
    <x v="0"/>
    <n v="1492"/>
    <n v="4988"/>
    <n v="2420"/>
    <x v="90"/>
    <x v="1"/>
    <x v="2"/>
    <n v="9"/>
    <n v="58"/>
    <n v="0.18"/>
    <n v="0.82000000000000006"/>
  </r>
  <r>
    <x v="10"/>
    <x v="0"/>
    <n v="1050"/>
    <n v="9017"/>
    <n v="2666"/>
    <x v="184"/>
    <x v="2"/>
    <x v="2"/>
    <n v="20"/>
    <n v="22"/>
    <n v="0.28000000000000003"/>
    <n v="0.72"/>
  </r>
  <r>
    <x v="10"/>
    <x v="0"/>
    <n v="2089"/>
    <n v="7112"/>
    <n v="2288"/>
    <x v="408"/>
    <x v="3"/>
    <x v="2"/>
    <n v="22"/>
    <n v="57"/>
    <n v="0.86"/>
    <n v="0.14000000000000001"/>
  </r>
  <r>
    <x v="10"/>
    <x v="1"/>
    <n v="1693"/>
    <n v="100393"/>
    <n v="3620"/>
    <x v="143"/>
    <x v="0"/>
    <x v="2"/>
    <n v="22"/>
    <n v="61"/>
    <n v="0.65"/>
    <n v="0.35"/>
  </r>
  <r>
    <x v="10"/>
    <x v="1"/>
    <n v="2818"/>
    <n v="113174"/>
    <n v="1682"/>
    <x v="409"/>
    <x v="1"/>
    <x v="2"/>
    <n v="20"/>
    <n v="36"/>
    <n v="0.6"/>
    <n v="0.4"/>
  </r>
  <r>
    <x v="10"/>
    <x v="1"/>
    <n v="1333"/>
    <n v="43267"/>
    <n v="6622"/>
    <x v="410"/>
    <x v="2"/>
    <x v="2"/>
    <n v="8"/>
    <n v="53"/>
    <n v="0.3"/>
    <n v="0.7"/>
  </r>
  <r>
    <x v="10"/>
    <x v="1"/>
    <n v="2458"/>
    <n v="56048"/>
    <n v="4684"/>
    <x v="411"/>
    <x v="3"/>
    <x v="2"/>
    <n v="9"/>
    <n v="60"/>
    <n v="0.74"/>
    <n v="0.26"/>
  </r>
  <r>
    <x v="10"/>
    <x v="2"/>
    <n v="165"/>
    <n v="11693"/>
    <n v="307"/>
    <x v="144"/>
    <x v="0"/>
    <x v="2"/>
    <n v="20"/>
    <n v="12"/>
    <n v="0.42"/>
    <n v="0.58000000000000007"/>
  </r>
  <r>
    <x v="10"/>
    <x v="2"/>
    <n v="630"/>
    <n v="281"/>
    <n v="640"/>
    <x v="341"/>
    <x v="1"/>
    <x v="2"/>
    <n v="1"/>
    <n v="72"/>
    <n v="0.83"/>
    <n v="0.17000000000000004"/>
  </r>
  <r>
    <x v="10"/>
    <x v="2"/>
    <n v="24"/>
    <n v="22918"/>
    <n v="669"/>
    <x v="30"/>
    <x v="2"/>
    <x v="2"/>
    <n v="19"/>
    <n v="67"/>
    <n v="0.72"/>
    <n v="0.28000000000000003"/>
  </r>
  <r>
    <x v="10"/>
    <x v="2"/>
    <n v="489"/>
    <n v="11506"/>
    <n v="1002"/>
    <x v="412"/>
    <x v="3"/>
    <x v="2"/>
    <n v="15"/>
    <n v="22"/>
    <n v="0.89"/>
    <n v="0.10999999999999999"/>
  </r>
  <r>
    <x v="10"/>
    <x v="3"/>
    <n v="1472"/>
    <n v="135834"/>
    <n v="997"/>
    <x v="413"/>
    <x v="0"/>
    <x v="2"/>
    <n v="1"/>
    <n v="9"/>
    <n v="0.4"/>
    <n v="0.6"/>
  </r>
  <r>
    <x v="10"/>
    <x v="3"/>
    <n v="1771"/>
    <n v="69595"/>
    <n v="201"/>
    <x v="99"/>
    <x v="1"/>
    <x v="2"/>
    <n v="4"/>
    <n v="34"/>
    <n v="0.66"/>
    <n v="0.33999999999999997"/>
  </r>
  <r>
    <x v="10"/>
    <x v="3"/>
    <n v="1105"/>
    <n v="141667"/>
    <n v="5551"/>
    <x v="185"/>
    <x v="2"/>
    <x v="2"/>
    <n v="2"/>
    <n v="11"/>
    <n v="0.18"/>
    <n v="0.82000000000000006"/>
  </r>
  <r>
    <x v="10"/>
    <x v="3"/>
    <n v="1403"/>
    <n v="75428"/>
    <n v="4756"/>
    <x v="414"/>
    <x v="3"/>
    <x v="2"/>
    <n v="23"/>
    <n v="35"/>
    <n v="0.7"/>
    <n v="0.30000000000000004"/>
  </r>
  <r>
    <x v="10"/>
    <x v="4"/>
    <n v="799"/>
    <n v="11692"/>
    <n v="1971"/>
    <x v="358"/>
    <x v="0"/>
    <x v="2"/>
    <n v="20"/>
    <n v="21"/>
    <n v="0.51"/>
    <n v="0.49"/>
  </r>
  <r>
    <x v="10"/>
    <x v="4"/>
    <n v="430"/>
    <n v="7057"/>
    <n v="1078"/>
    <x v="18"/>
    <x v="1"/>
    <x v="2"/>
    <n v="13"/>
    <n v="49"/>
    <n v="0.55000000000000004"/>
    <n v="0.44999999999999996"/>
  </r>
  <r>
    <x v="10"/>
    <x v="4"/>
    <n v="1150"/>
    <n v="14839"/>
    <n v="2084"/>
    <x v="114"/>
    <x v="2"/>
    <x v="2"/>
    <n v="21"/>
    <n v="19"/>
    <n v="0.18"/>
    <n v="0.82000000000000006"/>
  </r>
  <r>
    <x v="10"/>
    <x v="4"/>
    <n v="782"/>
    <n v="10204"/>
    <n v="1191"/>
    <x v="415"/>
    <x v="3"/>
    <x v="2"/>
    <n v="5"/>
    <n v="59"/>
    <n v="0.44"/>
    <n v="0.56000000000000005"/>
  </r>
  <r>
    <x v="10"/>
    <x v="5"/>
    <n v="218"/>
    <n v="33295"/>
    <n v="360"/>
    <x v="148"/>
    <x v="0"/>
    <x v="2"/>
    <n v="22"/>
    <n v="29"/>
    <n v="0.48"/>
    <n v="0.52"/>
  </r>
  <r>
    <x v="10"/>
    <x v="5"/>
    <n v="329"/>
    <n v="46938"/>
    <n v="1152"/>
    <x v="19"/>
    <x v="1"/>
    <x v="2"/>
    <n v="2"/>
    <n v="73"/>
    <n v="0.42"/>
    <n v="0.58000000000000007"/>
  </r>
  <r>
    <x v="10"/>
    <x v="5"/>
    <n v="403"/>
    <n v="42618"/>
    <n v="313"/>
    <x v="257"/>
    <x v="2"/>
    <x v="2"/>
    <n v="1"/>
    <n v="16"/>
    <n v="0.76"/>
    <n v="0.24"/>
  </r>
  <r>
    <x v="10"/>
    <x v="5"/>
    <n v="514"/>
    <n v="56260"/>
    <n v="1105"/>
    <x v="416"/>
    <x v="3"/>
    <x v="2"/>
    <n v="10"/>
    <n v="28"/>
    <n v="0.42"/>
    <n v="0.58000000000000007"/>
  </r>
  <r>
    <x v="11"/>
    <x v="0"/>
    <n v="830"/>
    <n v="23219"/>
    <n v="2427"/>
    <x v="417"/>
    <x v="0"/>
    <x v="0"/>
    <n v="22"/>
    <n v="73"/>
    <n v="0.68"/>
    <n v="0.31999999999999995"/>
  </r>
  <r>
    <x v="11"/>
    <x v="0"/>
    <n v="578"/>
    <n v="23854"/>
    <n v="3215"/>
    <x v="418"/>
    <x v="1"/>
    <x v="0"/>
    <n v="14"/>
    <n v="17"/>
    <n v="0.51"/>
    <n v="0.49"/>
  </r>
  <r>
    <x v="11"/>
    <x v="0"/>
    <n v="1933"/>
    <n v="30531"/>
    <n v="1809"/>
    <x v="7"/>
    <x v="2"/>
    <x v="0"/>
    <n v="9"/>
    <n v="10"/>
    <n v="0.75"/>
    <n v="0.25"/>
  </r>
  <r>
    <x v="11"/>
    <x v="0"/>
    <n v="1681"/>
    <n v="31166"/>
    <n v="2598"/>
    <x v="97"/>
    <x v="3"/>
    <x v="0"/>
    <n v="4"/>
    <n v="25"/>
    <n v="0.56999999999999995"/>
    <n v="0.43000000000000005"/>
  </r>
  <r>
    <x v="11"/>
    <x v="1"/>
    <n v="2707"/>
    <n v="67885"/>
    <n v="2238"/>
    <x v="117"/>
    <x v="0"/>
    <x v="0"/>
    <n v="10"/>
    <n v="49"/>
    <n v="0.48"/>
    <n v="0.52"/>
  </r>
  <r>
    <x v="11"/>
    <x v="1"/>
    <n v="1253"/>
    <n v="77334"/>
    <n v="5792"/>
    <x v="419"/>
    <x v="1"/>
    <x v="0"/>
    <n v="4"/>
    <n v="75"/>
    <n v="0.14000000000000001"/>
    <n v="0.86"/>
  </r>
  <r>
    <x v="11"/>
    <x v="1"/>
    <n v="3076"/>
    <n v="43114"/>
    <n v="2868"/>
    <x v="420"/>
    <x v="2"/>
    <x v="0"/>
    <n v="21"/>
    <n v="67"/>
    <n v="0.64"/>
    <n v="0.36"/>
  </r>
  <r>
    <x v="11"/>
    <x v="1"/>
    <n v="1622"/>
    <n v="52563"/>
    <n v="6423"/>
    <x v="179"/>
    <x v="3"/>
    <x v="0"/>
    <n v="15"/>
    <n v="38"/>
    <n v="0.2"/>
    <n v="0.8"/>
  </r>
  <r>
    <x v="11"/>
    <x v="2"/>
    <n v="241"/>
    <n v="62487"/>
    <n v="770"/>
    <x v="305"/>
    <x v="0"/>
    <x v="0"/>
    <n v="1"/>
    <n v="17"/>
    <n v="0.78"/>
    <n v="0.21999999999999997"/>
  </r>
  <r>
    <x v="11"/>
    <x v="2"/>
    <n v="988"/>
    <n v="63018"/>
    <n v="2067"/>
    <x v="147"/>
    <x v="1"/>
    <x v="0"/>
    <n v="3"/>
    <n v="27"/>
    <n v="0.83"/>
    <n v="0.17000000000000004"/>
  </r>
  <r>
    <x v="11"/>
    <x v="2"/>
    <n v="491"/>
    <n v="111232"/>
    <n v="893"/>
    <x v="80"/>
    <x v="2"/>
    <x v="0"/>
    <n v="3"/>
    <n v="57"/>
    <n v="0.51"/>
    <n v="0.49"/>
  </r>
  <r>
    <x v="11"/>
    <x v="2"/>
    <n v="1238"/>
    <n v="111763"/>
    <n v="2189"/>
    <x v="349"/>
    <x v="3"/>
    <x v="0"/>
    <n v="1"/>
    <n v="7"/>
    <n v="0.68"/>
    <n v="0.31999999999999995"/>
  </r>
  <r>
    <x v="11"/>
    <x v="3"/>
    <n v="2175"/>
    <n v="184805"/>
    <n v="3728"/>
    <x v="421"/>
    <x v="0"/>
    <x v="0"/>
    <n v="14"/>
    <n v="22"/>
    <n v="0.42"/>
    <n v="0.58000000000000007"/>
  </r>
  <r>
    <x v="11"/>
    <x v="3"/>
    <n v="901"/>
    <n v="224352"/>
    <n v="5205"/>
    <x v="159"/>
    <x v="1"/>
    <x v="0"/>
    <n v="1"/>
    <n v="31"/>
    <n v="0.37"/>
    <n v="0.63"/>
  </r>
  <r>
    <x v="11"/>
    <x v="3"/>
    <n v="2816"/>
    <n v="14917"/>
    <n v="2229"/>
    <x v="244"/>
    <x v="2"/>
    <x v="0"/>
    <n v="13"/>
    <n v="15"/>
    <n v="0.63"/>
    <n v="0.37"/>
  </r>
  <r>
    <x v="11"/>
    <x v="3"/>
    <n v="1541"/>
    <n v="54464"/>
    <n v="3706"/>
    <x v="422"/>
    <x v="3"/>
    <x v="0"/>
    <n v="16"/>
    <n v="14"/>
    <n v="0.65"/>
    <n v="0.35"/>
  </r>
  <r>
    <x v="11"/>
    <x v="4"/>
    <n v="2004"/>
    <n v="56106"/>
    <n v="2254"/>
    <x v="423"/>
    <x v="0"/>
    <x v="0"/>
    <n v="16"/>
    <n v="10"/>
    <n v="0.88"/>
    <n v="0.12"/>
  </r>
  <r>
    <x v="11"/>
    <x v="4"/>
    <n v="1433"/>
    <n v="59895"/>
    <n v="5336"/>
    <x v="424"/>
    <x v="1"/>
    <x v="0"/>
    <n v="10"/>
    <n v="22"/>
    <n v="0.86"/>
    <n v="0.14000000000000001"/>
  </r>
  <r>
    <x v="11"/>
    <x v="4"/>
    <n v="1557"/>
    <n v="60482"/>
    <n v="646"/>
    <x v="425"/>
    <x v="2"/>
    <x v="0"/>
    <n v="8"/>
    <n v="51"/>
    <n v="0.71"/>
    <n v="0.29000000000000004"/>
  </r>
  <r>
    <x v="11"/>
    <x v="4"/>
    <n v="986"/>
    <n v="64272"/>
    <n v="3728"/>
    <x v="178"/>
    <x v="3"/>
    <x v="0"/>
    <n v="20"/>
    <n v="68"/>
    <n v="0.36"/>
    <n v="0.64"/>
  </r>
  <r>
    <x v="11"/>
    <x v="5"/>
    <n v="238"/>
    <n v="33546"/>
    <n v="329"/>
    <x v="7"/>
    <x v="0"/>
    <x v="0"/>
    <n v="22"/>
    <n v="59"/>
    <n v="0.25"/>
    <n v="0.75"/>
  </r>
  <r>
    <x v="11"/>
    <x v="5"/>
    <n v="76"/>
    <n v="22974"/>
    <n v="77"/>
    <x v="264"/>
    <x v="1"/>
    <x v="0"/>
    <n v="16"/>
    <n v="11"/>
    <n v="0.41"/>
    <n v="0.59000000000000008"/>
  </r>
  <r>
    <x v="11"/>
    <x v="5"/>
    <n v="248"/>
    <n v="30845"/>
    <n v="572"/>
    <x v="426"/>
    <x v="2"/>
    <x v="0"/>
    <n v="13"/>
    <n v="57"/>
    <n v="0.42"/>
    <n v="0.58000000000000007"/>
  </r>
  <r>
    <x v="11"/>
    <x v="5"/>
    <n v="86"/>
    <n v="20273"/>
    <n v="319"/>
    <x v="23"/>
    <x v="3"/>
    <x v="0"/>
    <n v="13"/>
    <n v="57"/>
    <n v="0.21"/>
    <n v="0.79"/>
  </r>
  <r>
    <x v="11"/>
    <x v="0"/>
    <n v="2764"/>
    <n v="11543"/>
    <n v="3489"/>
    <x v="232"/>
    <x v="0"/>
    <x v="1"/>
    <n v="21"/>
    <n v="47"/>
    <n v="0.35"/>
    <n v="0.65"/>
  </r>
  <r>
    <x v="11"/>
    <x v="0"/>
    <n v="881"/>
    <n v="18712"/>
    <n v="445"/>
    <x v="427"/>
    <x v="1"/>
    <x v="1"/>
    <n v="7"/>
    <n v="43"/>
    <n v="0.74"/>
    <n v="0.26"/>
  </r>
  <r>
    <x v="11"/>
    <x v="0"/>
    <n v="2624"/>
    <n v="17120"/>
    <n v="6565"/>
    <x v="301"/>
    <x v="2"/>
    <x v="1"/>
    <n v="18"/>
    <n v="77"/>
    <n v="0.87"/>
    <n v="0.13"/>
  </r>
  <r>
    <x v="11"/>
    <x v="0"/>
    <n v="740"/>
    <n v="24289"/>
    <n v="3522"/>
    <x v="428"/>
    <x v="3"/>
    <x v="1"/>
    <n v="16"/>
    <n v="58"/>
    <n v="0.21"/>
    <n v="0.79"/>
  </r>
  <r>
    <x v="11"/>
    <x v="1"/>
    <n v="547"/>
    <n v="29336"/>
    <n v="2920"/>
    <x v="53"/>
    <x v="0"/>
    <x v="1"/>
    <n v="22"/>
    <n v="22"/>
    <n v="0.62"/>
    <n v="0.38"/>
  </r>
  <r>
    <x v="11"/>
    <x v="1"/>
    <n v="750"/>
    <n v="38762"/>
    <n v="1994"/>
    <x v="384"/>
    <x v="1"/>
    <x v="1"/>
    <n v="14"/>
    <n v="68"/>
    <n v="0.81"/>
    <n v="0.18999999999999995"/>
  </r>
  <r>
    <x v="11"/>
    <x v="1"/>
    <n v="1455"/>
    <n v="40596"/>
    <n v="2418"/>
    <x v="173"/>
    <x v="2"/>
    <x v="1"/>
    <n v="21"/>
    <n v="46"/>
    <n v="0.65"/>
    <n v="0.35"/>
  </r>
  <r>
    <x v="11"/>
    <x v="1"/>
    <n v="1658"/>
    <n v="50022"/>
    <n v="1492"/>
    <x v="32"/>
    <x v="3"/>
    <x v="1"/>
    <n v="6"/>
    <n v="38"/>
    <n v="0.55000000000000004"/>
    <n v="0.44999999999999996"/>
  </r>
  <r>
    <x v="11"/>
    <x v="2"/>
    <n v="260"/>
    <n v="82550"/>
    <n v="901"/>
    <x v="349"/>
    <x v="0"/>
    <x v="1"/>
    <n v="12"/>
    <n v="3"/>
    <n v="0.69"/>
    <n v="0.31000000000000005"/>
  </r>
  <r>
    <x v="11"/>
    <x v="2"/>
    <n v="380"/>
    <n v="90725"/>
    <n v="1207"/>
    <x v="387"/>
    <x v="1"/>
    <x v="1"/>
    <n v="20"/>
    <n v="57"/>
    <n v="0.43"/>
    <n v="0.57000000000000006"/>
  </r>
  <r>
    <x v="11"/>
    <x v="2"/>
    <n v="594"/>
    <n v="24082"/>
    <n v="741"/>
    <x v="106"/>
    <x v="2"/>
    <x v="1"/>
    <n v="16"/>
    <n v="17"/>
    <n v="0.54"/>
    <n v="0.45999999999999996"/>
  </r>
  <r>
    <x v="11"/>
    <x v="2"/>
    <n v="714"/>
    <n v="32257"/>
    <n v="1047"/>
    <x v="279"/>
    <x v="3"/>
    <x v="1"/>
    <n v="1"/>
    <n v="41"/>
    <n v="0.53"/>
    <n v="0.47"/>
  </r>
  <r>
    <x v="11"/>
    <x v="3"/>
    <n v="1431"/>
    <n v="109089"/>
    <n v="1668"/>
    <x v="205"/>
    <x v="0"/>
    <x v="1"/>
    <n v="18"/>
    <n v="5"/>
    <n v="0.56000000000000005"/>
    <n v="0.43999999999999995"/>
  </r>
  <r>
    <x v="11"/>
    <x v="3"/>
    <n v="913"/>
    <n v="123158"/>
    <n v="3407"/>
    <x v="144"/>
    <x v="1"/>
    <x v="1"/>
    <n v="6"/>
    <n v="28"/>
    <n v="0.7"/>
    <n v="0.30000000000000004"/>
  </r>
  <r>
    <x v="11"/>
    <x v="3"/>
    <n v="2549"/>
    <n v="34487"/>
    <n v="3519"/>
    <x v="8"/>
    <x v="2"/>
    <x v="1"/>
    <n v="9"/>
    <n v="6"/>
    <n v="0.83"/>
    <n v="0.17000000000000004"/>
  </r>
  <r>
    <x v="11"/>
    <x v="3"/>
    <n v="2031"/>
    <n v="48556"/>
    <n v="5258"/>
    <x v="231"/>
    <x v="3"/>
    <x v="1"/>
    <n v="23"/>
    <n v="67"/>
    <n v="0.16"/>
    <n v="0.84"/>
  </r>
  <r>
    <x v="11"/>
    <x v="4"/>
    <n v="1080"/>
    <n v="32510"/>
    <n v="2070"/>
    <x v="38"/>
    <x v="0"/>
    <x v="1"/>
    <n v="22"/>
    <n v="20"/>
    <n v="0.69"/>
    <n v="0.31000000000000005"/>
  </r>
  <r>
    <x v="11"/>
    <x v="4"/>
    <n v="183"/>
    <n v="50011"/>
    <n v="3311"/>
    <x v="135"/>
    <x v="1"/>
    <x v="1"/>
    <n v="17"/>
    <n v="77"/>
    <n v="0.66"/>
    <n v="0.33999999999999997"/>
  </r>
  <r>
    <x v="11"/>
    <x v="4"/>
    <n v="2291"/>
    <n v="29301"/>
    <n v="1637"/>
    <x v="429"/>
    <x v="2"/>
    <x v="1"/>
    <n v="4"/>
    <n v="16"/>
    <n v="0.87"/>
    <n v="0.13"/>
  </r>
  <r>
    <x v="11"/>
    <x v="4"/>
    <n v="1394"/>
    <n v="46801"/>
    <n v="2878"/>
    <x v="81"/>
    <x v="3"/>
    <x v="1"/>
    <n v="16"/>
    <n v="11"/>
    <n v="0.69"/>
    <n v="0.31000000000000005"/>
  </r>
  <r>
    <x v="11"/>
    <x v="5"/>
    <n v="103"/>
    <n v="15544"/>
    <n v="21"/>
    <x v="423"/>
    <x v="0"/>
    <x v="1"/>
    <n v="8"/>
    <n v="2"/>
    <n v="0.38"/>
    <n v="0.62"/>
  </r>
  <r>
    <x v="11"/>
    <x v="5"/>
    <n v="148"/>
    <n v="16002"/>
    <n v="334"/>
    <x v="430"/>
    <x v="1"/>
    <x v="1"/>
    <n v="4"/>
    <n v="67"/>
    <n v="0.49"/>
    <n v="0.51"/>
  </r>
  <r>
    <x v="11"/>
    <x v="5"/>
    <n v="62"/>
    <n v="19457"/>
    <n v="89"/>
    <x v="268"/>
    <x v="2"/>
    <x v="1"/>
    <n v="23"/>
    <n v="24"/>
    <n v="0.84"/>
    <n v="0.16000000000000003"/>
  </r>
  <r>
    <x v="11"/>
    <x v="5"/>
    <n v="107"/>
    <n v="19915"/>
    <n v="401"/>
    <x v="431"/>
    <x v="3"/>
    <x v="1"/>
    <n v="14"/>
    <n v="15"/>
    <n v="0.9"/>
    <n v="9.9999999999999978E-2"/>
  </r>
  <r>
    <x v="11"/>
    <x v="0"/>
    <n v="1188"/>
    <n v="18928"/>
    <n v="2152"/>
    <x v="432"/>
    <x v="0"/>
    <x v="2"/>
    <n v="16"/>
    <n v="60"/>
    <n v="0.19"/>
    <n v="0.81"/>
  </r>
  <r>
    <x v="11"/>
    <x v="0"/>
    <n v="1680"/>
    <n v="8845"/>
    <n v="1999"/>
    <x v="185"/>
    <x v="1"/>
    <x v="2"/>
    <n v="10"/>
    <n v="54"/>
    <n v="0.46"/>
    <n v="0.54"/>
  </r>
  <r>
    <x v="11"/>
    <x v="0"/>
    <n v="785"/>
    <n v="19166"/>
    <n v="2932"/>
    <x v="433"/>
    <x v="2"/>
    <x v="2"/>
    <n v="8"/>
    <n v="63"/>
    <n v="0.68"/>
    <n v="0.31999999999999995"/>
  </r>
  <r>
    <x v="11"/>
    <x v="0"/>
    <n v="1277"/>
    <n v="9082"/>
    <n v="2779"/>
    <x v="430"/>
    <x v="3"/>
    <x v="2"/>
    <n v="5"/>
    <n v="52"/>
    <n v="0.85"/>
    <n v="0.15000000000000002"/>
  </r>
  <r>
    <x v="11"/>
    <x v="1"/>
    <n v="711"/>
    <n v="33191"/>
    <n v="2420"/>
    <x v="434"/>
    <x v="0"/>
    <x v="2"/>
    <n v="7"/>
    <n v="36"/>
    <n v="0.62"/>
    <n v="0.38"/>
  </r>
  <r>
    <x v="11"/>
    <x v="1"/>
    <n v="1089"/>
    <n v="6703"/>
    <n v="3314"/>
    <x v="201"/>
    <x v="1"/>
    <x v="2"/>
    <n v="19"/>
    <n v="21"/>
    <n v="0.78"/>
    <n v="0.21999999999999997"/>
  </r>
  <r>
    <x v="11"/>
    <x v="1"/>
    <n v="633"/>
    <n v="55333"/>
    <n v="131"/>
    <x v="138"/>
    <x v="2"/>
    <x v="2"/>
    <n v="17"/>
    <n v="52"/>
    <n v="0.35"/>
    <n v="0.65"/>
  </r>
  <r>
    <x v="11"/>
    <x v="1"/>
    <n v="1011"/>
    <n v="28845"/>
    <n v="1025"/>
    <x v="272"/>
    <x v="3"/>
    <x v="2"/>
    <n v="15"/>
    <n v="77"/>
    <n v="0.75"/>
    <n v="0.25"/>
  </r>
  <r>
    <x v="11"/>
    <x v="2"/>
    <n v="135"/>
    <n v="43978"/>
    <n v="175"/>
    <x v="294"/>
    <x v="0"/>
    <x v="2"/>
    <n v="2"/>
    <n v="41"/>
    <n v="0.66"/>
    <n v="0.33999999999999997"/>
  </r>
  <r>
    <x v="11"/>
    <x v="2"/>
    <n v="205"/>
    <n v="53258"/>
    <n v="1149"/>
    <x v="435"/>
    <x v="1"/>
    <x v="2"/>
    <n v="4"/>
    <n v="16"/>
    <n v="0.28000000000000003"/>
    <n v="0.72"/>
  </r>
  <r>
    <x v="11"/>
    <x v="2"/>
    <n v="556"/>
    <n v="36489"/>
    <n v="375"/>
    <x v="427"/>
    <x v="2"/>
    <x v="2"/>
    <n v="15"/>
    <n v="9"/>
    <n v="0.61"/>
    <n v="0.39"/>
  </r>
  <r>
    <x v="11"/>
    <x v="2"/>
    <n v="627"/>
    <n v="45769"/>
    <n v="1350"/>
    <x v="67"/>
    <x v="3"/>
    <x v="2"/>
    <n v="9"/>
    <n v="67"/>
    <n v="0.21"/>
    <n v="0.79"/>
  </r>
  <r>
    <x v="11"/>
    <x v="3"/>
    <n v="692"/>
    <n v="101841"/>
    <n v="706"/>
    <x v="151"/>
    <x v="0"/>
    <x v="2"/>
    <n v="21"/>
    <n v="69"/>
    <n v="0.23"/>
    <n v="0.77"/>
  </r>
  <r>
    <x v="11"/>
    <x v="3"/>
    <n v="854"/>
    <n v="47123"/>
    <n v="2072"/>
    <x v="436"/>
    <x v="1"/>
    <x v="2"/>
    <n v="2"/>
    <n v="50"/>
    <n v="0.63"/>
    <n v="0.37"/>
  </r>
  <r>
    <x v="11"/>
    <x v="3"/>
    <n v="696"/>
    <n v="76112"/>
    <n v="1028"/>
    <x v="416"/>
    <x v="2"/>
    <x v="2"/>
    <n v="3"/>
    <n v="12"/>
    <n v="0.31"/>
    <n v="0.69"/>
  </r>
  <r>
    <x v="11"/>
    <x v="3"/>
    <n v="857"/>
    <n v="21394"/>
    <n v="2395"/>
    <x v="59"/>
    <x v="3"/>
    <x v="2"/>
    <n v="21"/>
    <n v="17"/>
    <n v="0.6"/>
    <n v="0.4"/>
  </r>
  <r>
    <x v="11"/>
    <x v="4"/>
    <n v="1133"/>
    <n v="16198"/>
    <n v="2626"/>
    <x v="291"/>
    <x v="0"/>
    <x v="2"/>
    <n v="21"/>
    <n v="1"/>
    <n v="0.87"/>
    <n v="0.13"/>
  </r>
  <r>
    <x v="11"/>
    <x v="4"/>
    <n v="954"/>
    <n v="56582"/>
    <n v="2047"/>
    <x v="28"/>
    <x v="1"/>
    <x v="2"/>
    <n v="11"/>
    <n v="61"/>
    <n v="0.19"/>
    <n v="0.81"/>
  </r>
  <r>
    <x v="11"/>
    <x v="4"/>
    <n v="751"/>
    <n v="5417"/>
    <n v="1364"/>
    <x v="195"/>
    <x v="2"/>
    <x v="2"/>
    <n v="22"/>
    <n v="47"/>
    <n v="0.56999999999999995"/>
    <n v="0.43000000000000005"/>
  </r>
  <r>
    <x v="11"/>
    <x v="4"/>
    <n v="572"/>
    <n v="45802"/>
    <n v="786"/>
    <x v="22"/>
    <x v="3"/>
    <x v="2"/>
    <n v="18"/>
    <n v="40"/>
    <n v="0.46"/>
    <n v="0.54"/>
  </r>
  <r>
    <x v="11"/>
    <x v="5"/>
    <n v="155"/>
    <n v="17443"/>
    <n v="226"/>
    <x v="437"/>
    <x v="0"/>
    <x v="2"/>
    <n v="19"/>
    <n v="37"/>
    <n v="0.59"/>
    <n v="0.41000000000000003"/>
  </r>
  <r>
    <x v="11"/>
    <x v="5"/>
    <n v="116"/>
    <n v="16542"/>
    <n v="287"/>
    <x v="65"/>
    <x v="1"/>
    <x v="2"/>
    <n v="20"/>
    <n v="75"/>
    <n v="0.67"/>
    <n v="0.32999999999999996"/>
  </r>
  <r>
    <x v="11"/>
    <x v="5"/>
    <n v="132"/>
    <n v="11177"/>
    <n v="209"/>
    <x v="438"/>
    <x v="2"/>
    <x v="2"/>
    <n v="17"/>
    <n v="40"/>
    <n v="0.24"/>
    <n v="0.76"/>
  </r>
  <r>
    <x v="11"/>
    <x v="5"/>
    <n v="92"/>
    <n v="10276"/>
    <n v="270"/>
    <x v="439"/>
    <x v="3"/>
    <x v="2"/>
    <n v="6"/>
    <n v="73"/>
    <n v="0.47"/>
    <n v="0.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63D62-499F-4ADD-9F8B-712EB04E616D}" name="Сводная таблица6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11:A123" firstHeaderRow="1" firstDataRow="1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8" showAll="0"/>
    <pivotField numFmtId="164" showAll="0"/>
    <pivotField numFmtId="168" showAll="0"/>
    <pivotField numFmtId="45" showAll="0"/>
    <pivotField showAll="0"/>
    <pivotField showAll="0"/>
    <pivotField showAll="0"/>
    <pivotField showAll="0"/>
    <pivotField numFmtId="9" showAll="0"/>
    <pivotField numFmtId="9" showAll="0"/>
    <pivotField showAll="0" defaultSubtotal="0"/>
    <pivotField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8F6D3-2B2E-4702-9BDE-9B081BAD0ED8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3:B29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dataField="1"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3024C-4471-4735-B2E7-956D05A92323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7:D20" firstHeaderRow="1" firstDataRow="2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dataField="1"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36B5E-9D32-4E3B-BC55-57A061EEA32C}" name="Сводная таблица7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1">
  <location ref="A50:G63" firstHeaderRow="1" firstDataRow="2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dataField="1" numFmtId="164" showAll="0"/>
    <pivotField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Сумма по полю Traffic 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385FC-83DF-4CD2-8A2F-6A6A1C95059F}" name="Сводная таблица10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8:D93" firstHeaderRow="1" firstDataRow="2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dataField="1"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6"/>
  </rowFields>
  <rowItems count="4">
    <i>
      <x/>
    </i>
    <i>
      <x v="1"/>
    </i>
    <i>
      <x v="2"/>
    </i>
    <i>
      <x v="3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5C39E-2E1F-4D8B-AB54-8C0D24E62611}" name="Сводная таблица8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66:B79" firstHeaderRow="1" firstDataRow="1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numFmtId="168" showAll="0"/>
    <pivotField dataField="1"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Среднее по полю Time Calls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EE868-0689-40DF-9CC9-F70B824E876A}" name="Сводная таблица5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41:B48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dataField="1" numFmtId="164" showAll="0"/>
    <pivotField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Сумма по полю Traffic 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69466-F706-47B7-A363-0763CB60C471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2:B39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7">
        <item x="3"/>
        <item x="0"/>
        <item x="2"/>
        <item x="5"/>
        <item x="4"/>
        <item x="1"/>
        <item t="default"/>
      </items>
    </pivotField>
    <pivotField dataField="1" numFmtId="168" showAll="0"/>
    <pivotField numFmtId="164" showAll="0"/>
    <pivotField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Сумма по полю Cost A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7CDBB-F3E5-42CB-987A-D8678F588CBC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:B5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dataField="1"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8F3E4-27D3-4A1B-96FE-B1DE640590EA}" name="Сводная таблица11" cacheId="0" applyNumberFormats="0" applyBorderFormats="0" applyFontFormats="0" applyPatternFormats="0" applyAlignmentFormats="0" applyWidthHeightFormats="1" dataCaption="Значения" updatedVersion="8" minRefreshableVersion="3" useAutoFormatting="1" colGrandTotals="0" itemPrintTitles="1" createdVersion="8" indent="0" outline="1" outlineData="1" multipleFieldFilters="0">
  <location ref="A96:B109" firstHeaderRow="1" firstDataRow="1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dataField="1"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FFE26-D23D-425B-9265-413D0353F820}" name="Сводная таблица1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30:B131" firstHeaderRow="0" firstDataRow="1" firstDataCol="0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numFmtId="168" showAll="0"/>
    <pivotField numFmtId="45" showAll="0"/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9" showAll="0"/>
    <pivotField dataField="1" numFmtId="9" showAll="0"/>
    <pivotField showAll="0" defaultSubtotal="0"/>
    <pivotField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реднее по полю Marketing Power" fld="10" subtotal="average" baseField="0" baseItem="1"/>
    <dataField name="Среднее по полю Selling Power" fld="11" subtotal="average" baseField="0" baseItem="1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B96BF-FCF5-4CE8-A405-471A7395A3BD}" name="Сводная таблица12" cacheId="0" dataOnRows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26:B128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numFmtId="168" showAll="0"/>
    <pivotField numFmtId="45" showAll="0"/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  <pivotField dataField="1" showAll="0"/>
    <pivotField numFmtId="9" showAll="0"/>
    <pivotField numFmtId="9" showAl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Сумма по полю successful calls" fld="8" baseField="0" baseItem="0"/>
    <dataField name="Сумма по полю unsuccessful call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D7E32-8329-4A39-80E3-EC328E90666A}" name="Сводная таблица9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81:B86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3"/>
        <item x="0"/>
        <item x="2"/>
        <item x="5"/>
        <item x="4"/>
        <item x="1"/>
        <item t="default"/>
      </items>
    </pivotField>
    <pivotField numFmtId="168" showAll="0"/>
    <pivotField numFmtId="164" showAll="0"/>
    <pivotField dataField="1" numFmtId="168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ducts" xr10:uid="{243A3317-0AFB-41A5-A3C6-DB78B8454E27}" sourceName="Products">
  <pivotTables>
    <pivotTable tabId="8" name="Сводная таблица1"/>
    <pivotTable tabId="8" name="Сводная таблица10"/>
    <pivotTable tabId="8" name="Сводная таблица11"/>
    <pivotTable tabId="8" name="Сводная таблица2"/>
    <pivotTable tabId="8" name="Сводная таблица3"/>
    <pivotTable tabId="8" name="Сводная таблица4"/>
    <pivotTable tabId="8" name="Сводная таблица5"/>
    <pivotTable tabId="8" name="Сводная таблица7"/>
    <pivotTable tabId="8" name="Сводная таблица8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674CF8A1-939F-4DEF-A024-EE003D7413F9}" sourceName="Month">
  <pivotTables>
    <pivotTable tabId="8" name="Сводная таблица1"/>
    <pivotTable tabId="8" name="Сводная таблица10"/>
    <pivotTable tabId="8" name="Сводная таблица3"/>
    <pivotTable tabId="8" name="Сводная таблица4"/>
    <pivotTable tabId="8" name="Сводная таблица5"/>
    <pivotTable tabId="8" name="Сводная таблица6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Teams" xr10:uid="{87AA4273-D2C0-45A0-8DAB-1C209A532F2E}" sourceName="Teams">
  <pivotTables>
    <pivotTable tabId="8" name="Сводная таблица1"/>
    <pivotTable tabId="8" name="Сводная таблица10"/>
    <pivotTable tabId="8" name="Сводная таблица11"/>
    <pivotTable tabId="8" name="Сводная таблица2"/>
    <pivotTable tabId="8" name="Сводная таблица3"/>
    <pivotTable tabId="8" name="Сводная таблица4"/>
    <pivotTable tabId="8" name="Сводная таблица5"/>
    <pivotTable tabId="8" name="Сводная таблица7"/>
    <pivotTable tabId="8" name="Сводная таблица8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4">
        <i x="1" s="1"/>
        <i x="0" s="1"/>
        <i x="2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Сhannels" xr10:uid="{B345C053-D59F-418D-B95E-2EF1AE97C8DB}" sourceName="Сhannels">
  <pivotTables>
    <pivotTable tabId="8" name="Сводная таблица1"/>
    <pivotTable tabId="8" name="Сводная таблица10"/>
    <pivotTable tabId="8" name="Сводная таблица11"/>
    <pivotTable tabId="8" name="Сводная таблица2"/>
    <pivotTable tabId="8" name="Сводная таблица3"/>
    <pivotTable tabId="8" name="Сводная таблица4"/>
    <pivotTable tabId="8" name="Сводная таблица5"/>
    <pivotTable tabId="8" name="Сводная таблица7"/>
    <pivotTable tabId="8" name="Сводная таблица8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6">
        <i x="3" s="1"/>
        <i x="0" s="1"/>
        <i x="2" s="1"/>
        <i x="5" s="1"/>
        <i x="4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s" xr10:uid="{F39A3E4C-6ABC-4B35-94FB-A7159E481754}" cache="Срез_Products" columnCount="3" style="menu" rowHeight="1080000"/>
  <slicer name="Month" xr10:uid="{ED389A8D-024A-4D38-A2F6-6BA69710F43B}" cache="Срез_Month" caption="Month" columnCount="2" style="SlicerStyleLight1 2" rowHeight="180000"/>
  <slicer name="Teams" xr10:uid="{AE0CAB92-1D03-42BD-AF77-E97F2EAE9569}" cache="Срез_Teams" caption="Teams" style="SlicerStyleLight1 2" rowHeight="234950"/>
  <slicer name="Сhannels" xr10:uid="{3A45BAED-0104-4350-A2B5-2743D2ECD2E9}" cache="Срез_Сhannels" caption="Сhannels" style="SlicerStyleLight1 2" rowHeight="1764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s 1" xr10:uid="{7FF52358-D778-4F13-A8CF-ACC37D07501A}" cache="Срез_Products" columnCount="3" style="menu 3" rowHeight="1080000"/>
  <slicer name="Month 1" xr10:uid="{1DA6E3E1-1E45-43FB-9B54-92F5AA2753D6}" cache="Срез_Month" caption="Month" columnCount="2" style="SlicerStyleLight1 2 2" rowHeight="180000"/>
  <slicer name="Teams 1" xr10:uid="{556CFD3E-F2E8-4FA9-A57A-5ECC84CE6F21}" cache="Срез_Teams" caption="Teams" style="SlicerStyleLight1 2 2" rowHeight="234950"/>
  <slicer name="Сhannels 1" xr10:uid="{4D57EEBE-C962-4E1B-B3DA-946CCD96EB5F}" cache="Срез_Сhannels" caption="Сhannels" style="SlicerStyleLight1 2 2" rowHeight="1764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exceltable.com/en/templates/learning-courses-excel-dashboard-download" TargetMode="External"/><Relationship Id="rId6" Type="http://schemas.microsoft.com/office/2007/relationships/slicer" Target="../slicers/slicer1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exceltable.com/en/templates/learning-courses-excel-dashboard-download" TargetMode="External"/><Relationship Id="rId6" Type="http://schemas.microsoft.com/office/2007/relationships/slicer" Target="../slicers/slicer2.xm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exceltable.com/en/templates/learning-courses-excel-dashboard-downloa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exceltable.com/en/templates/learning-courses-excel-dashboard-download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xceltable.com/en/templates/learning-courses-excel-dashboard-download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hyperlink" Target="http://exceltable.com/en/templates/learning-courses-excel-dashboard-download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exceltable.com/en/templates/learning-courses-excel-dashboard-down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648D-55FD-44F5-99D5-505C46057678}">
  <sheetPr codeName="Лист1"/>
  <dimension ref="B1:S54"/>
  <sheetViews>
    <sheetView showGridLines="0" showRowColHeaders="0" tabSelected="1" zoomScale="85" zoomScaleNormal="85" workbookViewId="0">
      <selection activeCell="B5" sqref="B5"/>
    </sheetView>
  </sheetViews>
  <sheetFormatPr defaultRowHeight="14.4" x14ac:dyDescent="0.3"/>
  <cols>
    <col min="1" max="16384" width="8.88671875" style="18"/>
  </cols>
  <sheetData>
    <row r="1" spans="13:13" ht="78.599999999999994" customHeight="1" x14ac:dyDescent="0.3">
      <c r="M1" s="29"/>
    </row>
    <row r="38" spans="2:19" x14ac:dyDescent="0.3">
      <c r="S38" s="19"/>
    </row>
    <row r="44" spans="2:19" ht="21" x14ac:dyDescent="0.4">
      <c r="B44" s="54" t="s">
        <v>147</v>
      </c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</row>
    <row r="48" spans="2:19" x14ac:dyDescent="0.3">
      <c r="N48" s="20"/>
    </row>
    <row r="49" spans="14:14" x14ac:dyDescent="0.3">
      <c r="N49" s="20"/>
    </row>
    <row r="50" spans="14:14" x14ac:dyDescent="0.3">
      <c r="N50" s="20"/>
    </row>
    <row r="51" spans="14:14" x14ac:dyDescent="0.3">
      <c r="N51" s="20"/>
    </row>
    <row r="52" spans="14:14" x14ac:dyDescent="0.3">
      <c r="N52" s="20"/>
    </row>
    <row r="53" spans="14:14" x14ac:dyDescent="0.3">
      <c r="N53" s="20"/>
    </row>
    <row r="54" spans="14:14" x14ac:dyDescent="0.3">
      <c r="N54" s="20"/>
    </row>
  </sheetData>
  <mergeCells count="1">
    <mergeCell ref="B44:M44"/>
  </mergeCells>
  <hyperlinks>
    <hyperlink ref="B44" r:id="rId1" xr:uid="{626B7716-E4B3-4BC5-BB76-B16C3BE4634E}"/>
  </hyperlinks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Check Box 1">
              <controlPr defaultSize="0" autoFill="0" autoLine="0" autoPict="0">
                <anchor moveWithCells="1">
                  <from>
                    <xdr:col>0</xdr:col>
                    <xdr:colOff>266700</xdr:colOff>
                    <xdr:row>38</xdr:row>
                    <xdr:rowOff>83820</xdr:rowOff>
                  </from>
                  <to>
                    <xdr:col>1</xdr:col>
                    <xdr:colOff>144780</xdr:colOff>
                    <xdr:row>39</xdr:row>
                    <xdr:rowOff>114300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2AFE5-A0F6-47A5-BF80-7DF702945D18}">
  <dimension ref="B1:S54"/>
  <sheetViews>
    <sheetView showGridLines="0" showRowColHeaders="0" zoomScale="85" zoomScaleNormal="85" workbookViewId="0">
      <selection activeCell="B5" sqref="B5"/>
    </sheetView>
  </sheetViews>
  <sheetFormatPr defaultRowHeight="14.4" x14ac:dyDescent="0.3"/>
  <cols>
    <col min="1" max="16384" width="8.88671875" style="45"/>
  </cols>
  <sheetData>
    <row r="1" spans="13:13" ht="78.599999999999994" customHeight="1" x14ac:dyDescent="0.3">
      <c r="M1" s="44"/>
    </row>
    <row r="38" spans="2:19" x14ac:dyDescent="0.3">
      <c r="S38" s="46"/>
    </row>
    <row r="46" spans="2:19" ht="21" x14ac:dyDescent="0.4">
      <c r="B46" s="54" t="s">
        <v>147</v>
      </c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</row>
    <row r="48" spans="2:19" x14ac:dyDescent="0.3">
      <c r="N48" s="47"/>
    </row>
    <row r="49" spans="14:14" x14ac:dyDescent="0.3">
      <c r="N49" s="47"/>
    </row>
    <row r="50" spans="14:14" x14ac:dyDescent="0.3">
      <c r="N50" s="47"/>
    </row>
    <row r="51" spans="14:14" x14ac:dyDescent="0.3">
      <c r="N51" s="47"/>
    </row>
    <row r="52" spans="14:14" x14ac:dyDescent="0.3">
      <c r="N52" s="47"/>
    </row>
    <row r="53" spans="14:14" x14ac:dyDescent="0.3">
      <c r="N53" s="47"/>
    </row>
    <row r="54" spans="14:14" x14ac:dyDescent="0.3">
      <c r="N54" s="47"/>
    </row>
  </sheetData>
  <mergeCells count="1">
    <mergeCell ref="B46:M46"/>
  </mergeCells>
  <hyperlinks>
    <hyperlink ref="B46" r:id="rId1" xr:uid="{378CE702-91C0-43A6-942E-B9C5BD277B49}"/>
  </hyperlinks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5" name="Check Box 1">
              <controlPr defaultSize="0" autoFill="0" autoLine="0" autoPict="0">
                <anchor moveWithCells="1">
                  <from>
                    <xdr:col>0</xdr:col>
                    <xdr:colOff>266700</xdr:colOff>
                    <xdr:row>38</xdr:row>
                    <xdr:rowOff>91440</xdr:rowOff>
                  </from>
                  <to>
                    <xdr:col>1</xdr:col>
                    <xdr:colOff>144780</xdr:colOff>
                    <xdr:row>39</xdr:row>
                    <xdr:rowOff>121920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34994-BEF0-46F9-8E3F-59CF9A10BA2C}">
  <sheetPr codeName="Лист2"/>
  <dimension ref="A1:AA56"/>
  <sheetViews>
    <sheetView zoomScaleNormal="100" workbookViewId="0">
      <selection activeCell="N26" sqref="N26:Y26"/>
    </sheetView>
  </sheetViews>
  <sheetFormatPr defaultRowHeight="14.4" x14ac:dyDescent="0.3"/>
  <cols>
    <col min="2" max="2" width="10.6640625" customWidth="1"/>
    <col min="3" max="3" width="10.21875" bestFit="1" customWidth="1"/>
    <col min="4" max="4" width="9" customWidth="1"/>
    <col min="8" max="8" width="12.5546875" customWidth="1"/>
    <col min="9" max="9" width="9.88671875" bestFit="1" customWidth="1"/>
    <col min="10" max="10" width="10.21875" bestFit="1" customWidth="1"/>
    <col min="11" max="11" width="11.21875" bestFit="1" customWidth="1"/>
    <col min="15" max="15" width="11.21875" bestFit="1" customWidth="1"/>
    <col min="16" max="16" width="10.5546875" bestFit="1" customWidth="1"/>
    <col min="24" max="24" width="12" bestFit="1" customWidth="1"/>
  </cols>
  <sheetData>
    <row r="1" spans="1:23" x14ac:dyDescent="0.3">
      <c r="A1" t="s">
        <v>17</v>
      </c>
      <c r="B1" t="e">
        <f>IF(COUNTA(Control!A112:A123)&gt;1,NA(),MATCH(Control!A112,Control!B112:B123,0))</f>
        <v>#N/A</v>
      </c>
      <c r="D1" s="24" t="s">
        <v>90</v>
      </c>
      <c r="E1" s="24" t="s">
        <v>89</v>
      </c>
      <c r="F1" s="3" t="s">
        <v>91</v>
      </c>
      <c r="H1" s="35" t="s">
        <v>133</v>
      </c>
      <c r="I1" s="35" t="s">
        <v>134</v>
      </c>
      <c r="J1" s="35" t="s">
        <v>135</v>
      </c>
      <c r="K1" s="35" t="s">
        <v>136</v>
      </c>
      <c r="O1" s="3" t="s">
        <v>0</v>
      </c>
      <c r="P1" s="3" t="s">
        <v>1</v>
      </c>
      <c r="Q1" s="3" t="s">
        <v>2</v>
      </c>
      <c r="R1" s="3" t="s">
        <v>3</v>
      </c>
      <c r="T1">
        <v>1</v>
      </c>
      <c r="U1" t="s">
        <v>34</v>
      </c>
      <c r="V1" t="s">
        <v>104</v>
      </c>
    </row>
    <row r="2" spans="1:23" x14ac:dyDescent="0.3">
      <c r="B2" t="e" cm="1">
        <f t="array" ref="B2">INDEX(U1:U12,B1)</f>
        <v>#N/A</v>
      </c>
      <c r="D2" t="b" cm="1">
        <f t="array" ref="D2">OR(Control!$A$2:$A$4=D1)</f>
        <v>1</v>
      </c>
      <c r="E2" t="b" cm="1">
        <f t="array" ref="E2">OR(Control!$A$2:$A$4=E1)</f>
        <v>1</v>
      </c>
      <c r="F2" t="b" cm="1">
        <f t="array" ref="F2">OR(Control!$A$2:$A$4=F1)</f>
        <v>1</v>
      </c>
      <c r="H2" s="43">
        <f>GETPIVOTDATA("Revenue",Control!$A$96)</f>
        <v>1298984</v>
      </c>
      <c r="I2" s="7">
        <f>J6+K6</f>
        <v>45199</v>
      </c>
      <c r="J2" s="43">
        <f>GETPIVOTDATA("Cost Ad",Control!$A$32)</f>
        <v>649223</v>
      </c>
      <c r="K2" s="7">
        <f>GETPIVOTDATA("Traffic ",Control!$A$41)</f>
        <v>35199463</v>
      </c>
      <c r="O2" t="b" cm="1">
        <f t="array" ref="O2">OR(Control!$A$82:$A$85=O1)</f>
        <v>1</v>
      </c>
      <c r="P2" t="b" cm="1">
        <f t="array" ref="P2">OR(Control!$A$82:$A$85=P1)</f>
        <v>1</v>
      </c>
      <c r="Q2" t="b" cm="1">
        <f t="array" ref="Q2">OR(Control!$A$82:$A$85=Q1)</f>
        <v>1</v>
      </c>
      <c r="R2" t="b" cm="1">
        <f t="array" ref="R2">OR(Control!$A$82:$A$85=R1)</f>
        <v>1</v>
      </c>
      <c r="T2">
        <v>2</v>
      </c>
      <c r="U2" t="s">
        <v>35</v>
      </c>
      <c r="V2" t="s">
        <v>105</v>
      </c>
    </row>
    <row r="3" spans="1:23" x14ac:dyDescent="0.3">
      <c r="B3" t="e" cm="1">
        <f t="array" ref="B3">INDEX(V1:V12,B1)</f>
        <v>#N/A</v>
      </c>
      <c r="T3">
        <v>3</v>
      </c>
      <c r="U3" t="s">
        <v>36</v>
      </c>
      <c r="V3" t="s">
        <v>106</v>
      </c>
    </row>
    <row r="4" spans="1:23" x14ac:dyDescent="0.3">
      <c r="A4" t="str">
        <f>"Total Sales by:"&amp;CHAR(10)&amp;"Sales Team"</f>
        <v>Total Sales by:
Sales Team</v>
      </c>
      <c r="D4" t="s">
        <v>4</v>
      </c>
      <c r="G4" t="s">
        <v>8</v>
      </c>
      <c r="J4" t="s">
        <v>10</v>
      </c>
      <c r="K4" t="s">
        <v>9</v>
      </c>
      <c r="M4" t="s">
        <v>98</v>
      </c>
      <c r="O4" t="s">
        <v>13</v>
      </c>
      <c r="T4">
        <v>4</v>
      </c>
      <c r="U4" t="s">
        <v>37</v>
      </c>
      <c r="V4" t="s">
        <v>107</v>
      </c>
    </row>
    <row r="5" spans="1:23" x14ac:dyDescent="0.3">
      <c r="A5" s="3" t="s">
        <v>0</v>
      </c>
      <c r="B5" s="4">
        <f>C5/SUM($C$5:$C$8)</f>
        <v>0.25327174749807546</v>
      </c>
      <c r="C5" s="5">
        <f>ROUND(GETPIVOTDATA("Revenue",Control!$A$81,"Teams","North")/1000,0)</f>
        <v>329</v>
      </c>
      <c r="D5" s="3">
        <v>0</v>
      </c>
      <c r="G5" s="52" t="str">
        <f>A5</f>
        <v>North</v>
      </c>
      <c r="H5" s="24" t="s">
        <v>7</v>
      </c>
      <c r="I5" s="3">
        <f>GETPIVOTDATA("Revenue",Control!$A$88,"Teams","North","Products"," 🌎")</f>
        <v>135632</v>
      </c>
      <c r="J5" s="4">
        <f>1-K5</f>
        <v>0.76258324299210156</v>
      </c>
      <c r="K5" s="4">
        <f>K6/SUM(J6:K6)</f>
        <v>0.23741675700789841</v>
      </c>
      <c r="M5" s="3">
        <v>1</v>
      </c>
      <c r="N5" s="3">
        <f>ROUND(Control!B97/1000,0)</f>
        <v>42</v>
      </c>
      <c r="O5" s="7">
        <f>MAX(N5:N16)*1000</f>
        <v>252000</v>
      </c>
      <c r="T5">
        <v>5</v>
      </c>
      <c r="U5" t="s">
        <v>38</v>
      </c>
      <c r="V5" t="s">
        <v>108</v>
      </c>
    </row>
    <row r="6" spans="1:23" x14ac:dyDescent="0.3">
      <c r="A6" s="3" t="s">
        <v>1</v>
      </c>
      <c r="B6" s="4">
        <f t="shared" ref="B6:B8" si="0">C6/SUM($C$5:$C$8)</f>
        <v>0.2540415704387991</v>
      </c>
      <c r="C6" s="5">
        <f>ROUND(GETPIVOTDATA("Revenue",Control!$A$81,"Teams","East")/1000,0)</f>
        <v>330</v>
      </c>
      <c r="D6" s="3">
        <v>0</v>
      </c>
      <c r="G6" s="52"/>
      <c r="H6" s="24" t="s">
        <v>5</v>
      </c>
      <c r="I6" s="3">
        <f>GETPIVOTDATA("Revenue",Control!$A$88,"Teams","North","Products"," 🎥")</f>
        <v>120216</v>
      </c>
      <c r="J6" s="42">
        <f>Control!B128</f>
        <v>34468</v>
      </c>
      <c r="K6" s="42">
        <f>Control!B127</f>
        <v>10731</v>
      </c>
      <c r="M6" s="3">
        <v>2</v>
      </c>
      <c r="N6" s="3">
        <f>ROUND(Control!B98/1000,0)</f>
        <v>58</v>
      </c>
      <c r="O6" t="s">
        <v>11</v>
      </c>
      <c r="T6">
        <v>6</v>
      </c>
      <c r="U6" t="s">
        <v>39</v>
      </c>
      <c r="V6" t="s">
        <v>109</v>
      </c>
    </row>
    <row r="7" spans="1:23" x14ac:dyDescent="0.3">
      <c r="A7" s="3" t="s">
        <v>2</v>
      </c>
      <c r="B7" s="4">
        <f t="shared" si="0"/>
        <v>0.2455735180908391</v>
      </c>
      <c r="C7" s="5">
        <f>ROUND(GETPIVOTDATA("Revenue",Control!$A$81,"Teams","South")/1000,0)</f>
        <v>319</v>
      </c>
      <c r="D7" s="3">
        <v>0</v>
      </c>
      <c r="G7" s="52"/>
      <c r="H7" s="3" t="s">
        <v>6</v>
      </c>
      <c r="I7" s="3">
        <f>GETPIVOTDATA("Revenue",Control!$A$88,"Teams","North","Products"," 📖")</f>
        <v>72843</v>
      </c>
      <c r="M7" s="3">
        <v>3</v>
      </c>
      <c r="N7" s="3">
        <f>ROUND(Control!B99/1000,0)</f>
        <v>28</v>
      </c>
      <c r="O7" s="7">
        <f>ROUND(AVERAGE(N5:N16),0)*1000</f>
        <v>108000</v>
      </c>
      <c r="T7">
        <v>7</v>
      </c>
      <c r="U7" t="s">
        <v>40</v>
      </c>
      <c r="V7" t="s">
        <v>110</v>
      </c>
    </row>
    <row r="8" spans="1:23" x14ac:dyDescent="0.3">
      <c r="A8" s="3" t="s">
        <v>3</v>
      </c>
      <c r="B8" s="4">
        <f t="shared" si="0"/>
        <v>0.24711316397228639</v>
      </c>
      <c r="C8" s="5">
        <f>ROUND(GETPIVOTDATA("Revenue",Control!$A$81,"Teams","West")/1000,0)</f>
        <v>321</v>
      </c>
      <c r="D8" s="3">
        <v>0</v>
      </c>
      <c r="G8" s="52" t="str">
        <f>A6</f>
        <v>East</v>
      </c>
      <c r="H8" s="24" t="s">
        <v>7</v>
      </c>
      <c r="I8" s="3">
        <f>GETPIVOTDATA("Revenue",Control!$A$88,"Teams","East","Products"," 🌎")</f>
        <v>153606</v>
      </c>
      <c r="M8" s="3">
        <v>4</v>
      </c>
      <c r="N8" s="3">
        <f>ROUND(Control!B100/1000,0)</f>
        <v>89</v>
      </c>
      <c r="O8" t="s">
        <v>14</v>
      </c>
      <c r="T8">
        <v>8</v>
      </c>
      <c r="U8" t="s">
        <v>41</v>
      </c>
      <c r="V8" t="s">
        <v>111</v>
      </c>
    </row>
    <row r="9" spans="1:23" x14ac:dyDescent="0.3">
      <c r="A9" s="1"/>
      <c r="B9" s="1"/>
      <c r="C9" s="2"/>
      <c r="G9" s="52"/>
      <c r="H9" s="24" t="s">
        <v>5</v>
      </c>
      <c r="I9" s="3">
        <f>GETPIVOTDATA("Revenue",Control!$A$88,"Teams","East","Products"," 🎥")</f>
        <v>105508</v>
      </c>
      <c r="M9" s="3">
        <v>5</v>
      </c>
      <c r="N9" s="3">
        <f>ROUND(Control!B101/1000,0)</f>
        <v>78</v>
      </c>
      <c r="O9" s="7">
        <f>MIN(N5:N16)*1000</f>
        <v>28000</v>
      </c>
      <c r="T9">
        <v>9</v>
      </c>
      <c r="U9" t="s">
        <v>42</v>
      </c>
      <c r="V9" t="s">
        <v>112</v>
      </c>
    </row>
    <row r="10" spans="1:23" ht="15" customHeight="1" x14ac:dyDescent="0.3">
      <c r="A10" s="40" t="s">
        <v>15</v>
      </c>
      <c r="C10" s="1" t="s">
        <v>4</v>
      </c>
      <c r="G10" s="52"/>
      <c r="H10" s="3" t="s">
        <v>6</v>
      </c>
      <c r="I10" s="3">
        <f>GETPIVOTDATA("Revenue",Control!$A$88,"Teams","East","Products"," 📖")</f>
        <v>71099</v>
      </c>
      <c r="M10" s="3">
        <v>6</v>
      </c>
      <c r="N10" s="3">
        <f>ROUND(Control!B102/1000,0)</f>
        <v>38</v>
      </c>
      <c r="O10" s="6" t="str">
        <f>O4&amp;REPT(" ",O12)&amp;O6&amp;REPT(" ",O12)&amp;O8</f>
        <v>↑Highest                      Average                      ↓Lowest</v>
      </c>
      <c r="T10">
        <v>10</v>
      </c>
      <c r="U10" t="s">
        <v>43</v>
      </c>
      <c r="V10" t="s">
        <v>113</v>
      </c>
    </row>
    <row r="11" spans="1:23" x14ac:dyDescent="0.3">
      <c r="A11" s="24" t="s">
        <v>7</v>
      </c>
      <c r="B11" s="3">
        <f>IFERROR(ROUND(GETPIVOTDATA("Revenue",Control!$A$1,"Products"," 🌎")/1000,0),0)</f>
        <v>561</v>
      </c>
      <c r="C11" s="3">
        <f>CHOOSE((B11=0)*1+1,B11,"")</f>
        <v>561</v>
      </c>
      <c r="G11" s="52" t="str">
        <f>A7</f>
        <v>South</v>
      </c>
      <c r="H11" s="24" t="s">
        <v>7</v>
      </c>
      <c r="I11" s="3">
        <f>GETPIVOTDATA("Revenue",Control!$A$88,"Teams","South","Products"," 🌎")</f>
        <v>126713</v>
      </c>
      <c r="M11" s="3">
        <v>7</v>
      </c>
      <c r="N11" s="3">
        <f>ROUND(Control!B103/1000,0)</f>
        <v>29</v>
      </c>
      <c r="O11" t="s">
        <v>12</v>
      </c>
      <c r="T11">
        <v>11</v>
      </c>
      <c r="U11" t="s">
        <v>44</v>
      </c>
      <c r="V11" t="s">
        <v>114</v>
      </c>
    </row>
    <row r="12" spans="1:23" x14ac:dyDescent="0.3">
      <c r="A12" s="24" t="s">
        <v>5</v>
      </c>
      <c r="B12" s="3">
        <f>IFERROR(ROUND(GETPIVOTDATA("Revenue",Control!$A$1,"Products"," 🎥")/1000,0),0)</f>
        <v>451</v>
      </c>
      <c r="C12" s="3">
        <f t="shared" ref="C12:C13" si="1">CHOOSE((B12=0)*1+1,B12,"")</f>
        <v>451</v>
      </c>
      <c r="G12" s="52"/>
      <c r="H12" s="24" t="s">
        <v>5</v>
      </c>
      <c r="I12" s="3">
        <f>GETPIVOTDATA("Revenue",Control!$A$88,"Teams","South","Products"," 🎥")</f>
        <v>120167</v>
      </c>
      <c r="M12" s="3">
        <v>8</v>
      </c>
      <c r="N12" s="3">
        <f>ROUND(Control!B104/1000,0)</f>
        <v>92</v>
      </c>
      <c r="O12">
        <v>22</v>
      </c>
      <c r="T12">
        <v>12</v>
      </c>
      <c r="U12" t="s">
        <v>45</v>
      </c>
      <c r="V12" t="s">
        <v>115</v>
      </c>
    </row>
    <row r="13" spans="1:23" x14ac:dyDescent="0.3">
      <c r="A13" s="3" t="s">
        <v>6</v>
      </c>
      <c r="B13" s="3">
        <f>IFERROR(ROUND(GETPIVOTDATA("Revenue",Control!$A$1,"Products"," 📖")/1000,0),0)</f>
        <v>287</v>
      </c>
      <c r="C13" s="3">
        <f t="shared" si="1"/>
        <v>287</v>
      </c>
      <c r="G13" s="52"/>
      <c r="H13" s="3" t="s">
        <v>6</v>
      </c>
      <c r="I13" s="3">
        <f>GETPIVOTDATA("Revenue",Control!$A$88,"Teams","South","Products"," 📖")</f>
        <v>72394</v>
      </c>
      <c r="M13" s="3">
        <v>9</v>
      </c>
      <c r="N13" s="3">
        <f>ROUND(Control!B105/1000,0)</f>
        <v>215</v>
      </c>
      <c r="O13" s="1" t="s">
        <v>32</v>
      </c>
    </row>
    <row r="14" spans="1:23" x14ac:dyDescent="0.3">
      <c r="G14" s="52" t="str">
        <f>A8</f>
        <v>West</v>
      </c>
      <c r="H14" s="24" t="s">
        <v>7</v>
      </c>
      <c r="I14" s="3">
        <f>GETPIVOTDATA("Revenue",Control!$A$88,"Teams","West","Products"," 🌎")</f>
        <v>144691</v>
      </c>
      <c r="M14" s="3">
        <v>10</v>
      </c>
      <c r="N14" s="3">
        <f>ROUND(Control!B106/1000,0)</f>
        <v>252</v>
      </c>
      <c r="O14" t="e" cm="1">
        <f t="array" ref="O14">INDEX(N5:N16,B1)</f>
        <v>#N/A</v>
      </c>
    </row>
    <row r="15" spans="1:23" x14ac:dyDescent="0.3">
      <c r="A15" t="s">
        <v>18</v>
      </c>
      <c r="B15" t="s">
        <v>16</v>
      </c>
      <c r="C15" s="24" t="s">
        <v>7</v>
      </c>
      <c r="D15" s="24" t="s">
        <v>5</v>
      </c>
      <c r="E15" s="3" t="s">
        <v>6</v>
      </c>
      <c r="G15" s="52"/>
      <c r="H15" s="24" t="s">
        <v>5</v>
      </c>
      <c r="I15" s="3">
        <f>GETPIVOTDATA("Revenue",Control!$A$88,"Teams","West","Products"," 🎥")</f>
        <v>105460</v>
      </c>
      <c r="M15" s="3">
        <v>11</v>
      </c>
      <c r="N15" s="3">
        <f>ROUND(Control!B107/1000,0)</f>
        <v>232</v>
      </c>
      <c r="T15" s="13"/>
      <c r="U15" s="13"/>
    </row>
    <row r="16" spans="1:23" x14ac:dyDescent="0.3">
      <c r="A16" s="3">
        <v>1</v>
      </c>
      <c r="B16" s="3">
        <f>SUM(C16:E16)</f>
        <v>42</v>
      </c>
      <c r="C16" s="3">
        <f>ROUND(Control!B9/1000,0)</f>
        <v>19</v>
      </c>
      <c r="D16" s="3">
        <f>ROUND(Control!C9/1000,0)</f>
        <v>13</v>
      </c>
      <c r="E16" s="3">
        <f>ROUND(Control!D9/1000,0)</f>
        <v>10</v>
      </c>
      <c r="G16" s="52"/>
      <c r="H16" s="3" t="s">
        <v>6</v>
      </c>
      <c r="I16" s="3">
        <f>GETPIVOTDATA("Revenue",Control!$A$88,"Teams","West","Products"," 📖")</f>
        <v>70655</v>
      </c>
      <c r="M16" s="3">
        <v>12</v>
      </c>
      <c r="N16" s="3">
        <f>ROUND(Control!B108/1000,0)</f>
        <v>147</v>
      </c>
      <c r="S16" s="50" t="s">
        <v>137</v>
      </c>
      <c r="T16" s="50"/>
      <c r="U16" s="50"/>
      <c r="V16" s="50"/>
      <c r="W16" s="50"/>
    </row>
    <row r="17" spans="1:25" x14ac:dyDescent="0.3">
      <c r="A17" s="3">
        <v>2</v>
      </c>
      <c r="B17" s="3">
        <f t="shared" ref="B17:B27" si="2">SUM(C17:E17)</f>
        <v>58</v>
      </c>
      <c r="C17" s="3">
        <f>ROUND(Control!B10/1000,0)</f>
        <v>26</v>
      </c>
      <c r="D17" s="3">
        <f>ROUND(Control!C10/1000,0)</f>
        <v>19</v>
      </c>
      <c r="E17" s="3">
        <f>ROUND(Control!D10/1000,0)</f>
        <v>13</v>
      </c>
      <c r="T17" s="1" t="s">
        <v>95</v>
      </c>
    </row>
    <row r="18" spans="1:25" x14ac:dyDescent="0.3">
      <c r="A18" s="3">
        <v>3</v>
      </c>
      <c r="B18" s="3">
        <f t="shared" si="2"/>
        <v>28</v>
      </c>
      <c r="C18" s="3">
        <f>ROUND(Control!B11/1000,0)</f>
        <v>13</v>
      </c>
      <c r="D18" s="3">
        <f>ROUND(Control!C11/1000,0)</f>
        <v>9</v>
      </c>
      <c r="E18" s="3">
        <f>ROUND(Control!D11/1000,0)</f>
        <v>6</v>
      </c>
      <c r="F18" t="s">
        <v>142</v>
      </c>
      <c r="H18" s="34" t="s">
        <v>101</v>
      </c>
      <c r="I18" s="1" t="s">
        <v>100</v>
      </c>
      <c r="J18" s="1" t="s">
        <v>27</v>
      </c>
      <c r="K18" s="1" t="s">
        <v>99</v>
      </c>
      <c r="L18" s="1" t="s">
        <v>97</v>
      </c>
      <c r="N18" s="1" t="s">
        <v>29</v>
      </c>
      <c r="O18" s="13">
        <v>0.2</v>
      </c>
      <c r="P18" s="1" t="s">
        <v>31</v>
      </c>
      <c r="Q18" s="1"/>
      <c r="S18" s="31">
        <f>Control!A131</f>
        <v>0.5013310185185188</v>
      </c>
      <c r="T18" s="48" t="s">
        <v>92</v>
      </c>
      <c r="U18" s="25" t="s">
        <v>33</v>
      </c>
      <c r="V18" s="32" t="s">
        <v>93</v>
      </c>
      <c r="W18" s="32" t="s">
        <v>94</v>
      </c>
    </row>
    <row r="19" spans="1:25" x14ac:dyDescent="0.3">
      <c r="A19" s="3">
        <v>4</v>
      </c>
      <c r="B19" s="3">
        <f t="shared" si="2"/>
        <v>89</v>
      </c>
      <c r="C19" s="3">
        <f>ROUND(Control!B12/1000,0)</f>
        <v>35</v>
      </c>
      <c r="D19" s="3">
        <f>ROUND(Control!C12/1000,0)</f>
        <v>36</v>
      </c>
      <c r="E19" s="3">
        <f>ROUND(Control!D12/1000,0)</f>
        <v>18</v>
      </c>
      <c r="F19">
        <f>MAX($K$19:$K$24)-K19</f>
        <v>0</v>
      </c>
      <c r="G19" s="3">
        <v>1</v>
      </c>
      <c r="H19" s="3" t="s">
        <v>21</v>
      </c>
      <c r="I19" s="3">
        <f>IFERROR(ROUND(GETPIVOTDATA("Revenue",Control!$A$23,"Сhannels",H19)/1000,0),0)</f>
        <v>375</v>
      </c>
      <c r="J19" s="3" t="str">
        <f>IF(K26=0,"",INDEX($H$19:$H$24,MATCH(K19,$I$19:$I$24,0)))</f>
        <v>Facebook</v>
      </c>
      <c r="K19" s="3">
        <f t="shared" ref="K19:K24" si="3">LARGE($I$19:$I$24,G19)</f>
        <v>375</v>
      </c>
      <c r="L19">
        <f>ROUND(INDEX(Control!$B$42:$B$47,MATCH(H19,Control!$A$42:$A$47,0))/1000000,1)</f>
        <v>9.1999999999999993</v>
      </c>
      <c r="M19">
        <f t="shared" ref="M19:M24" si="4">$N$19-L19</f>
        <v>1.8399999999999999</v>
      </c>
      <c r="N19">
        <f>_xlfn.AGGREGATE(4,6,L19:L24)*(1+O18)</f>
        <v>11.04</v>
      </c>
      <c r="P19">
        <f>IF(ISNA(L19),NA(),CHOOSE(SUM($Q$19:Q19),6,5,4,3,2,1))</f>
        <v>6</v>
      </c>
      <c r="Q19">
        <f>NOT(ISNA(L19))*1</f>
        <v>1</v>
      </c>
      <c r="S19" s="31">
        <f>S21</f>
        <v>0.4986689814814812</v>
      </c>
      <c r="T19" s="49"/>
      <c r="U19" s="28">
        <f>S19</f>
        <v>0.4986689814814812</v>
      </c>
      <c r="V19" s="27">
        <f>V20*-1</f>
        <v>-1.0999903832129831</v>
      </c>
      <c r="W19" s="27">
        <f>W20*-1</f>
        <v>4.5996563952637346E-3</v>
      </c>
    </row>
    <row r="20" spans="1:25" x14ac:dyDescent="0.3">
      <c r="A20" s="3">
        <v>5</v>
      </c>
      <c r="B20" s="3">
        <f t="shared" si="2"/>
        <v>78</v>
      </c>
      <c r="C20" s="3">
        <f>ROUND(Control!B13/1000,0)</f>
        <v>39</v>
      </c>
      <c r="D20" s="3">
        <f>ROUND(Control!C13/1000,0)</f>
        <v>26</v>
      </c>
      <c r="E20" s="3">
        <f>ROUND(Control!D13/1000,0)</f>
        <v>13</v>
      </c>
      <c r="F20">
        <f t="shared" ref="F20:F24" si="5">MAX($K$19:$K$24)-K20</f>
        <v>20</v>
      </c>
      <c r="G20" s="3">
        <v>2</v>
      </c>
      <c r="H20" s="3" t="s">
        <v>20</v>
      </c>
      <c r="I20" s="3">
        <f>IFERROR(ROUND(GETPIVOTDATA("Revenue",Control!$A$23,"Сhannels",H20)/1000,0),0)</f>
        <v>355</v>
      </c>
      <c r="J20" s="3" t="str">
        <f t="shared" ref="J20:J24" si="6">IF(K27=0,"",INDEX($H$19:$H$24,MATCH(K20,$I$19:$I$24,0)))</f>
        <v>Youtube</v>
      </c>
      <c r="K20" s="3">
        <f t="shared" si="3"/>
        <v>355</v>
      </c>
      <c r="L20">
        <f>ROUND(INDEX(Control!$B$42:$B$47,MATCH(H20,Control!$A$42:$A$47,0))/1000000,1)</f>
        <v>7.4</v>
      </c>
      <c r="M20">
        <f t="shared" si="4"/>
        <v>3.6399999999999988</v>
      </c>
      <c r="N20" s="1" t="s">
        <v>16</v>
      </c>
      <c r="P20">
        <f>IF(ISNA(L20),NA(),CHOOSE(SUM($Q$19:Q20),6,5,4,3,2,1))</f>
        <v>5</v>
      </c>
      <c r="Q20">
        <f t="shared" ref="Q20:Q24" si="7">NOT(ISNA(L20))*1</f>
        <v>1</v>
      </c>
      <c r="S20" s="31">
        <f>S18</f>
        <v>0.5013310185185188</v>
      </c>
      <c r="T20" s="30">
        <f>S18/2</f>
        <v>0.2506655092592594</v>
      </c>
      <c r="U20" s="26">
        <f>S18</f>
        <v>0.5013310185185188</v>
      </c>
      <c r="V20" s="27">
        <f>SIN(T20*2*PI())*(1+V21)</f>
        <v>1.0999903832129831</v>
      </c>
      <c r="W20" s="27">
        <f>COS(T20*2*PI())*(1+V21)</f>
        <v>-4.5996563952637346E-3</v>
      </c>
    </row>
    <row r="21" spans="1:25" x14ac:dyDescent="0.3">
      <c r="A21" s="3">
        <v>6</v>
      </c>
      <c r="B21" s="3">
        <f t="shared" si="2"/>
        <v>38</v>
      </c>
      <c r="C21" s="3">
        <f>ROUND(Control!B14/1000,0)</f>
        <v>15</v>
      </c>
      <c r="D21" s="3">
        <f>ROUND(Control!C14/1000,0)</f>
        <v>13</v>
      </c>
      <c r="E21" s="3">
        <f>ROUND(Control!D14/1000,0)</f>
        <v>10</v>
      </c>
      <c r="F21">
        <f t="shared" si="5"/>
        <v>103</v>
      </c>
      <c r="G21" s="3">
        <v>3</v>
      </c>
      <c r="H21" s="3" t="s">
        <v>22</v>
      </c>
      <c r="I21" s="3">
        <f>IFERROR(ROUND(GETPIVOTDATA("Revenue",Control!$A$23,"Сhannels",H21)/1000,0),0)</f>
        <v>100</v>
      </c>
      <c r="J21" s="3" t="str">
        <f t="shared" si="6"/>
        <v>Google Ad</v>
      </c>
      <c r="K21" s="3">
        <f t="shared" si="3"/>
        <v>272</v>
      </c>
      <c r="L21">
        <f>ROUND(INDEX(Control!$B$42:$B$47,MATCH(H21,Control!$A$42:$A$47,0))/1000000,1)</f>
        <v>6.7</v>
      </c>
      <c r="M21">
        <f t="shared" si="4"/>
        <v>4.339999999999999</v>
      </c>
      <c r="N21" t="str">
        <f>IF(O42&gt;100000,ROUND(O42/1000000,1)&amp;"m",ROUND(O42/1000000,2)&amp;"m")</f>
        <v>35,2m</v>
      </c>
      <c r="P21">
        <f>IF(ISNA(L21),NA(),CHOOSE(SUM($Q$19:Q21),6,5,4,3,2,1))</f>
        <v>4</v>
      </c>
      <c r="Q21">
        <f t="shared" si="7"/>
        <v>1</v>
      </c>
      <c r="S21" s="31">
        <f>1-S18</f>
        <v>0.4986689814814812</v>
      </c>
      <c r="T21" s="13"/>
      <c r="U21" s="33" t="s">
        <v>96</v>
      </c>
      <c r="V21" s="13">
        <v>0.1</v>
      </c>
    </row>
    <row r="22" spans="1:25" x14ac:dyDescent="0.3">
      <c r="A22" s="3">
        <v>7</v>
      </c>
      <c r="B22" s="3">
        <f t="shared" si="2"/>
        <v>29</v>
      </c>
      <c r="C22" s="3">
        <f>ROUND(Control!B15/1000,0)</f>
        <v>7</v>
      </c>
      <c r="D22" s="3">
        <f>ROUND(Control!C15/1000,0)</f>
        <v>13</v>
      </c>
      <c r="E22" s="3">
        <f>ROUND(Control!D15/1000,0)</f>
        <v>9</v>
      </c>
      <c r="F22">
        <f t="shared" si="5"/>
        <v>235</v>
      </c>
      <c r="G22" s="3">
        <v>4</v>
      </c>
      <c r="H22" s="3" t="s">
        <v>19</v>
      </c>
      <c r="I22" s="3">
        <f>IFERROR(ROUND(GETPIVOTDATA("Revenue",Control!$A$23,"Сhannels",H22)/1000,0),0)</f>
        <v>272</v>
      </c>
      <c r="J22" s="3" t="str">
        <f t="shared" si="6"/>
        <v>Twitter</v>
      </c>
      <c r="K22" s="3">
        <f t="shared" si="3"/>
        <v>140</v>
      </c>
      <c r="L22">
        <f>ROUND(INDEX(Control!$B$42:$B$47,MATCH(H22,Control!$A$42:$A$47,0))/1000000,1)</f>
        <v>5.3</v>
      </c>
      <c r="M22">
        <f t="shared" si="4"/>
        <v>5.7399999999999993</v>
      </c>
      <c r="N22" s="1" t="s">
        <v>30</v>
      </c>
      <c r="O22" s="1"/>
      <c r="P22">
        <f>IF(ISNA(L22),NA(),CHOOSE(SUM($Q$19:Q22),6,5,4,3,2,1))</f>
        <v>3</v>
      </c>
      <c r="Q22">
        <f t="shared" si="7"/>
        <v>1</v>
      </c>
    </row>
    <row r="23" spans="1:25" x14ac:dyDescent="0.3">
      <c r="A23" s="3">
        <v>8</v>
      </c>
      <c r="B23" s="3">
        <f t="shared" si="2"/>
        <v>92</v>
      </c>
      <c r="C23" s="3">
        <f>ROUND(Control!B16/1000,0)</f>
        <v>35</v>
      </c>
      <c r="D23" s="3">
        <f>ROUND(Control!C16/1000,0)</f>
        <v>34</v>
      </c>
      <c r="E23" s="3">
        <f>ROUND(Control!D16/1000,0)</f>
        <v>23</v>
      </c>
      <c r="F23">
        <f t="shared" si="5"/>
        <v>275</v>
      </c>
      <c r="G23" s="3">
        <v>5</v>
      </c>
      <c r="H23" s="3" t="s">
        <v>24</v>
      </c>
      <c r="I23" s="3">
        <f>IFERROR(ROUND(GETPIVOTDATA("Revenue",Control!$A$23,"Сhannels",H23)/1000,0),0)</f>
        <v>57</v>
      </c>
      <c r="J23" s="3" t="str">
        <f t="shared" si="6"/>
        <v>Instagram</v>
      </c>
      <c r="K23" s="3">
        <f t="shared" si="3"/>
        <v>100</v>
      </c>
      <c r="L23">
        <f>ROUND(INDEX(Control!$B$42:$B$47,MATCH(H23,Control!$A$42:$A$47,0))/1000000,1)</f>
        <v>3.9</v>
      </c>
      <c r="M23">
        <f t="shared" si="4"/>
        <v>7.1399999999999988</v>
      </c>
      <c r="N23" t="str">
        <f>IFERROR(L19&amp;"m"&amp;REPT(" ",O24)&amp;H19&amp;CHAR(10),"")&amp;
IFERROR(L20&amp;"m"&amp;REPT(" ",O24)&amp;H20&amp;CHAR(10),"")&amp;
IFERROR(L21&amp;"m"&amp;REPT(" ",O24)&amp;H21&amp;CHAR(10),"")&amp;
IFERROR(L22&amp;"m"&amp;REPT(" ",O24)&amp;H22&amp;CHAR(10),"")&amp;
IFERROR(L23&amp;"m"&amp;REPT(" ",O24)&amp;H23&amp;CHAR(10),"")&amp;
IFERROR(L24&amp;"m"&amp;REPT(" ",O24)&amp;H24,"")</f>
        <v>9,2m  Facebook
7,4m  Youtube
6,7m  Instagram
5,3m  Google Ad
3,9m  Tiktok
2,7m  Twitter</v>
      </c>
      <c r="P23">
        <f>IF(ISNA(L23),NA(),CHOOSE(SUM($Q$19:Q23),6,5,4,3,2,1))</f>
        <v>2</v>
      </c>
      <c r="Q23">
        <f t="shared" si="7"/>
        <v>1</v>
      </c>
    </row>
    <row r="24" spans="1:25" x14ac:dyDescent="0.3">
      <c r="A24" s="3">
        <v>9</v>
      </c>
      <c r="B24" s="3">
        <f t="shared" si="2"/>
        <v>215</v>
      </c>
      <c r="C24" s="3">
        <f>ROUND(Control!B17/1000,0)</f>
        <v>98</v>
      </c>
      <c r="D24" s="3">
        <f>ROUND(Control!C17/1000,0)</f>
        <v>71</v>
      </c>
      <c r="E24" s="3">
        <f>ROUND(Control!D17/1000,0)</f>
        <v>46</v>
      </c>
      <c r="F24">
        <f t="shared" si="5"/>
        <v>318</v>
      </c>
      <c r="G24" s="3">
        <v>6</v>
      </c>
      <c r="H24" s="3" t="s">
        <v>23</v>
      </c>
      <c r="I24" s="3">
        <f>IFERROR(ROUND(GETPIVOTDATA("Revenue",Control!$A$23,"Сhannels",H24)/1000,0),0)</f>
        <v>140</v>
      </c>
      <c r="J24" s="3" t="str">
        <f t="shared" si="6"/>
        <v>Tiktok</v>
      </c>
      <c r="K24" s="3">
        <f t="shared" si="3"/>
        <v>57</v>
      </c>
      <c r="L24">
        <f>ROUND(INDEX(Control!$B$42:$B$47,MATCH(H24,Control!$A$42:$A$47,0))/1000000,1)</f>
        <v>2.7</v>
      </c>
      <c r="M24">
        <f t="shared" si="4"/>
        <v>8.34</v>
      </c>
      <c r="N24" t="s">
        <v>12</v>
      </c>
      <c r="O24">
        <v>2</v>
      </c>
      <c r="P24">
        <f>IF(ISNA(L24),NA(),CHOOSE(SUM($Q$19:Q24),6,5,4,3,2,1))</f>
        <v>1</v>
      </c>
      <c r="Q24">
        <f t="shared" si="7"/>
        <v>1</v>
      </c>
    </row>
    <row r="25" spans="1:25" x14ac:dyDescent="0.3">
      <c r="A25" s="3">
        <v>10</v>
      </c>
      <c r="B25" s="3">
        <f t="shared" si="2"/>
        <v>252</v>
      </c>
      <c r="C25" s="3">
        <f>ROUND(Control!B18/1000,0)</f>
        <v>107</v>
      </c>
      <c r="D25" s="3">
        <f>ROUND(Control!C18/1000,0)</f>
        <v>90</v>
      </c>
      <c r="E25" s="3">
        <f>ROUND(Control!D18/1000,0)</f>
        <v>55</v>
      </c>
      <c r="H25" s="1" t="s">
        <v>25</v>
      </c>
      <c r="I25" s="1"/>
      <c r="J25" s="1" t="s">
        <v>26</v>
      </c>
      <c r="K25" s="1"/>
      <c r="L25" t="s">
        <v>28</v>
      </c>
    </row>
    <row r="26" spans="1:25" ht="21" x14ac:dyDescent="0.4">
      <c r="A26" s="3">
        <v>11</v>
      </c>
      <c r="B26" s="3">
        <f t="shared" si="2"/>
        <v>231</v>
      </c>
      <c r="C26" s="3">
        <f>ROUND(Control!B19/1000,0)</f>
        <v>105</v>
      </c>
      <c r="D26" s="3">
        <f>ROUND(Control!C19/1000,0)</f>
        <v>76</v>
      </c>
      <c r="E26" s="3">
        <f>ROUND(Control!D19/1000,0)</f>
        <v>50</v>
      </c>
      <c r="G26" s="3">
        <v>1</v>
      </c>
      <c r="H26" t="s">
        <v>21</v>
      </c>
      <c r="I26">
        <f>IFERROR(ROUND(GETPIVOTDATA("Cost Ad",Control!$A$32,"Сhannels",H26)/1000,0),0)</f>
        <v>187</v>
      </c>
      <c r="J26" t="str">
        <f>IF(K26=0,"",INDEX($H$26:$H$31,MATCH(K26,$I$26:$I$31,0)))</f>
        <v>Facebook</v>
      </c>
      <c r="K26">
        <f>LARGE($I$26:$I$31,G26)</f>
        <v>187</v>
      </c>
      <c r="L26">
        <f>IF(K26=0,NA(),K26)</f>
        <v>187</v>
      </c>
      <c r="N26" s="54" t="s">
        <v>147</v>
      </c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</row>
    <row r="27" spans="1:25" x14ac:dyDescent="0.3">
      <c r="A27" s="3">
        <v>12</v>
      </c>
      <c r="B27" s="3">
        <f t="shared" si="2"/>
        <v>146</v>
      </c>
      <c r="C27" s="3">
        <f>ROUND(Control!B20/1000,0)</f>
        <v>61</v>
      </c>
      <c r="D27" s="3">
        <f>ROUND(Control!C20/1000,0)</f>
        <v>51</v>
      </c>
      <c r="E27" s="3">
        <f>ROUND(Control!D20/1000,0)</f>
        <v>34</v>
      </c>
      <c r="G27" s="3">
        <v>2</v>
      </c>
      <c r="H27" t="s">
        <v>19</v>
      </c>
      <c r="I27">
        <f>IFERROR(ROUND(GETPIVOTDATA("Cost Ad",Control!$A$32,"Сhannels",H27)/1000,0),0)</f>
        <v>136</v>
      </c>
      <c r="J27" t="str">
        <f t="shared" ref="J27:J31" si="8">IF(K27=0,"",INDEX($H$26:$H$31,MATCH(K27,$I$26:$I$31,0)))</f>
        <v>Youtube</v>
      </c>
      <c r="K27">
        <f t="shared" ref="K27:K31" si="9">LARGE($I$26:$I$31,G27)</f>
        <v>177</v>
      </c>
      <c r="L27">
        <f t="shared" ref="L27:L31" si="10">IF(K27=0,NA(),K27)</f>
        <v>177</v>
      </c>
    </row>
    <row r="28" spans="1:25" x14ac:dyDescent="0.3">
      <c r="A28" t="b">
        <v>1</v>
      </c>
      <c r="B28" t="s">
        <v>16</v>
      </c>
      <c r="C28" s="24" t="s">
        <v>7</v>
      </c>
      <c r="D28" s="24" t="s">
        <v>5</v>
      </c>
      <c r="E28" t="s">
        <v>6</v>
      </c>
      <c r="G28" s="3">
        <v>3</v>
      </c>
      <c r="H28" t="s">
        <v>22</v>
      </c>
      <c r="I28">
        <f>IFERROR(ROUND(GETPIVOTDATA("Cost Ad",Control!$A$32,"Сhannels",H28)/1000,0),0)</f>
        <v>50</v>
      </c>
      <c r="J28" t="str">
        <f t="shared" si="8"/>
        <v>Google Ad</v>
      </c>
      <c r="K28">
        <f t="shared" si="9"/>
        <v>136</v>
      </c>
      <c r="L28">
        <f t="shared" si="10"/>
        <v>136</v>
      </c>
    </row>
    <row r="29" spans="1:25" x14ac:dyDescent="0.3">
      <c r="A29" s="3">
        <v>1</v>
      </c>
      <c r="B29" s="3">
        <f>IF($A$28,B16,NA())</f>
        <v>42</v>
      </c>
      <c r="C29" s="3" t="e">
        <f t="shared" ref="C29:E40" si="11">IF(AND(NOT($A$28),$D$2),C16,NA())</f>
        <v>#N/A</v>
      </c>
      <c r="D29" s="3" t="e">
        <f t="shared" ref="D29:E29" si="12">IF(AND(NOT($A$28),$D$2),D16,NA())</f>
        <v>#N/A</v>
      </c>
      <c r="E29" s="3" t="e">
        <f t="shared" si="12"/>
        <v>#N/A</v>
      </c>
      <c r="F29" s="8">
        <f>B29/$B$41</f>
        <v>3.2357473035439135E-2</v>
      </c>
      <c r="G29" s="3">
        <v>4</v>
      </c>
      <c r="H29" t="s">
        <v>24</v>
      </c>
      <c r="I29">
        <f>IFERROR(ROUND(GETPIVOTDATA("Cost Ad",Control!$A$32,"Сhannels",H29)/1000,0),0)</f>
        <v>29</v>
      </c>
      <c r="J29" t="str">
        <f t="shared" si="8"/>
        <v>Twitter</v>
      </c>
      <c r="K29">
        <f t="shared" si="9"/>
        <v>70</v>
      </c>
      <c r="L29">
        <f t="shared" si="10"/>
        <v>70</v>
      </c>
    </row>
    <row r="30" spans="1:25" x14ac:dyDescent="0.3">
      <c r="A30" s="3">
        <v>2</v>
      </c>
      <c r="B30" s="3">
        <f t="shared" ref="B30:B40" si="13">IF($A$28,B17,NA())</f>
        <v>58</v>
      </c>
      <c r="C30" s="3" t="e">
        <f t="shared" si="11"/>
        <v>#N/A</v>
      </c>
      <c r="D30" s="3" t="e">
        <f t="shared" si="11"/>
        <v>#N/A</v>
      </c>
      <c r="E30" s="3" t="e">
        <f t="shared" si="11"/>
        <v>#N/A</v>
      </c>
      <c r="F30" s="8">
        <f t="shared" ref="F30:F40" si="14">B30/$B$41</f>
        <v>4.4684129429892139E-2</v>
      </c>
      <c r="G30" s="3">
        <v>5</v>
      </c>
      <c r="H30" t="s">
        <v>23</v>
      </c>
      <c r="I30">
        <f>IFERROR(ROUND(GETPIVOTDATA("Cost Ad",Control!$A$32,"Сhannels",H30)/1000,0),0)</f>
        <v>70</v>
      </c>
      <c r="J30" t="str">
        <f t="shared" si="8"/>
        <v>Instagram</v>
      </c>
      <c r="K30">
        <f t="shared" si="9"/>
        <v>50</v>
      </c>
      <c r="L30">
        <f t="shared" si="10"/>
        <v>50</v>
      </c>
    </row>
    <row r="31" spans="1:25" x14ac:dyDescent="0.3">
      <c r="A31" s="3">
        <v>3</v>
      </c>
      <c r="B31" s="3">
        <f t="shared" si="13"/>
        <v>28</v>
      </c>
      <c r="C31" s="3" t="e">
        <f t="shared" si="11"/>
        <v>#N/A</v>
      </c>
      <c r="D31" s="3" t="e">
        <f t="shared" si="11"/>
        <v>#N/A</v>
      </c>
      <c r="E31" s="3" t="e">
        <f t="shared" si="11"/>
        <v>#N/A</v>
      </c>
      <c r="F31" s="8">
        <f t="shared" si="14"/>
        <v>2.1571648690292759E-2</v>
      </c>
      <c r="G31" s="3">
        <v>6</v>
      </c>
      <c r="H31" t="s">
        <v>20</v>
      </c>
      <c r="I31">
        <f>IFERROR(ROUND(GETPIVOTDATA("Cost Ad",Control!$A$32,"Сhannels",H31)/1000,0),0)</f>
        <v>177</v>
      </c>
      <c r="J31" t="str">
        <f t="shared" si="8"/>
        <v>Tiktok</v>
      </c>
      <c r="K31">
        <f t="shared" si="9"/>
        <v>29</v>
      </c>
      <c r="L31">
        <f t="shared" si="10"/>
        <v>29</v>
      </c>
    </row>
    <row r="32" spans="1:25" x14ac:dyDescent="0.3">
      <c r="A32" s="3">
        <v>4</v>
      </c>
      <c r="B32" s="3">
        <f t="shared" si="13"/>
        <v>89</v>
      </c>
      <c r="C32" s="3" t="e">
        <f t="shared" si="11"/>
        <v>#N/A</v>
      </c>
      <c r="D32" s="3" t="e">
        <f t="shared" si="11"/>
        <v>#N/A</v>
      </c>
      <c r="E32" s="3" t="e">
        <f t="shared" si="11"/>
        <v>#N/A</v>
      </c>
      <c r="F32" s="8">
        <f t="shared" si="14"/>
        <v>6.8567026194144842E-2</v>
      </c>
      <c r="H32" s="1" t="s">
        <v>83</v>
      </c>
      <c r="O32" s="1" t="str">
        <f>"Traffic in Month "&amp;IF(ISNA(B1),"",B2)</f>
        <v xml:space="preserve">Traffic in Month </v>
      </c>
    </row>
    <row r="33" spans="1:27" x14ac:dyDescent="0.3">
      <c r="A33" s="3">
        <v>5</v>
      </c>
      <c r="B33" s="3">
        <f t="shared" si="13"/>
        <v>78</v>
      </c>
      <c r="C33" s="3" t="e">
        <f t="shared" si="11"/>
        <v>#N/A</v>
      </c>
      <c r="D33" s="3" t="e">
        <f t="shared" si="11"/>
        <v>#N/A</v>
      </c>
      <c r="E33" s="3" t="e">
        <f t="shared" si="11"/>
        <v>#N/A</v>
      </c>
      <c r="F33" s="8">
        <f t="shared" si="14"/>
        <v>6.0092449922958396E-2</v>
      </c>
      <c r="H33" s="9" t="str">
        <f>H24</f>
        <v>Twitter</v>
      </c>
      <c r="I33" s="9" t="str">
        <f>H23</f>
        <v>Tiktok</v>
      </c>
      <c r="J33" s="9" t="str">
        <f>H22</f>
        <v>Google Ad</v>
      </c>
      <c r="K33" s="9" t="str">
        <f>H21</f>
        <v>Instagram</v>
      </c>
      <c r="L33" s="9" t="str">
        <f>H20</f>
        <v>Youtube</v>
      </c>
      <c r="M33" s="9" t="str">
        <f>H19</f>
        <v>Facebook</v>
      </c>
      <c r="N33" s="1" t="s">
        <v>16</v>
      </c>
      <c r="O33" s="1" t="s">
        <v>32</v>
      </c>
      <c r="P33" s="17" t="str">
        <f>"___ "</f>
        <v xml:space="preserve">___ </v>
      </c>
      <c r="Q33" s="1" t="s">
        <v>85</v>
      </c>
      <c r="S33" s="1" t="s">
        <v>79</v>
      </c>
      <c r="U33" s="1" t="s">
        <v>78</v>
      </c>
    </row>
    <row r="34" spans="1:27" x14ac:dyDescent="0.3">
      <c r="A34" s="3">
        <v>6</v>
      </c>
      <c r="B34" s="3">
        <f t="shared" si="13"/>
        <v>38</v>
      </c>
      <c r="C34" s="3" t="e">
        <f t="shared" si="11"/>
        <v>#N/A</v>
      </c>
      <c r="D34" s="3" t="e">
        <f t="shared" si="11"/>
        <v>#N/A</v>
      </c>
      <c r="E34" s="3" t="e">
        <f t="shared" si="11"/>
        <v>#N/A</v>
      </c>
      <c r="F34" s="8">
        <f t="shared" si="14"/>
        <v>2.9275808936825885E-2</v>
      </c>
      <c r="G34" s="1">
        <v>1</v>
      </c>
      <c r="H34" s="3" cm="1">
        <f t="array" ref="H34">INDEX(Control!$B$52:$G$63,$G34,MATCH(H$33,Control!$B$51:$G$51,0))</f>
        <v>60224</v>
      </c>
      <c r="I34" s="3" cm="1">
        <f t="array" ref="I34">INDEX(Control!$B$52:$G$63,$G34,MATCH(I$33,Control!$B$51:$G$51,0))</f>
        <v>125993</v>
      </c>
      <c r="J34" s="3" cm="1">
        <f t="array" ref="J34">INDEX(Control!$B$52:$G$63,$G34,MATCH(J$33,Control!$B$51:$G$51,0))</f>
        <v>171213</v>
      </c>
      <c r="K34" s="3" cm="1">
        <f t="array" ref="K34">INDEX(Control!$B$52:$G$63,$G34,MATCH(K$33,Control!$B$51:$G$51,0))</f>
        <v>216454</v>
      </c>
      <c r="L34" s="3" cm="1">
        <f t="array" ref="L34">INDEX(Control!$B$52:$G$63,$G34,MATCH(L$33,Control!$B$51:$G$51,0))</f>
        <v>330147</v>
      </c>
      <c r="M34" s="3" cm="1">
        <f t="array" ref="M34">INDEX(Control!$B$52:$G$63,$G34,MATCH(M$33,Control!$B$51:$G$51,0))</f>
        <v>198146</v>
      </c>
      <c r="N34" s="9">
        <f>_xlfn.AGGREGATE(9,6,H34:M34)</f>
        <v>1102177</v>
      </c>
      <c r="O34" cm="1">
        <f t="array" ref="O34">IF(ISNA(B1),0,INDEX($N$34:$N$45,B1))</f>
        <v>0</v>
      </c>
      <c r="P34" t="e">
        <f>IF(G34=$B$1,N34*(1+$O$40),NA())</f>
        <v>#N/A</v>
      </c>
      <c r="Q34" s="8"/>
      <c r="R34" s="1">
        <v>1</v>
      </c>
      <c r="S34" s="12">
        <f>Control!B67</f>
        <v>3.3188657407407416E-3</v>
      </c>
      <c r="T34" s="12" t="e">
        <f t="shared" ref="T34:T45" si="15">IF(R34=$B$1,MAX($S$34:$S$45)*(1+$U$34),NA())</f>
        <v>#N/A</v>
      </c>
      <c r="U34" s="13">
        <v>0.17</v>
      </c>
      <c r="Y34" s="12"/>
      <c r="Z34" s="12"/>
      <c r="AA34" s="12"/>
    </row>
    <row r="35" spans="1:27" x14ac:dyDescent="0.3">
      <c r="A35" s="3">
        <v>7</v>
      </c>
      <c r="B35" s="3">
        <f t="shared" si="13"/>
        <v>29</v>
      </c>
      <c r="C35" s="3" t="e">
        <f t="shared" si="11"/>
        <v>#N/A</v>
      </c>
      <c r="D35" s="3" t="e">
        <f t="shared" si="11"/>
        <v>#N/A</v>
      </c>
      <c r="E35" s="3" t="e">
        <f t="shared" si="11"/>
        <v>#N/A</v>
      </c>
      <c r="F35" s="8">
        <f t="shared" si="14"/>
        <v>2.2342064714946069E-2</v>
      </c>
      <c r="G35" s="1">
        <v>2</v>
      </c>
      <c r="H35" s="3" cm="1">
        <f t="array" ref="H35">INDEX(Control!$B$52:$G$63,$G35,MATCH(H$33,Control!$B$51:$G$51,0))</f>
        <v>120454</v>
      </c>
      <c r="I35" s="3" cm="1">
        <f t="array" ref="I35">INDEX(Control!$B$52:$G$63,$G35,MATCH(I$33,Control!$B$51:$G$51,0))</f>
        <v>173992</v>
      </c>
      <c r="J35" s="3" cm="1">
        <f t="array" ref="J35">INDEX(Control!$B$52:$G$63,$G35,MATCH(J$33,Control!$B$51:$G$51,0))</f>
        <v>599299</v>
      </c>
      <c r="K35" s="3" cm="1">
        <f t="array" ref="K35">INDEX(Control!$B$52:$G$63,$G35,MATCH(K$33,Control!$B$51:$G$51,0))</f>
        <v>401993</v>
      </c>
      <c r="L35" s="3" cm="1">
        <f t="array" ref="L35">INDEX(Control!$B$52:$G$63,$G35,MATCH(L$33,Control!$B$51:$G$51,0))</f>
        <v>165070</v>
      </c>
      <c r="M35" s="3" cm="1">
        <f t="array" ref="M35">INDEX(Control!$B$52:$G$63,$G35,MATCH(M$33,Control!$B$51:$G$51,0))</f>
        <v>551993</v>
      </c>
      <c r="N35" s="9">
        <f t="shared" ref="N35:N45" si="16">_xlfn.AGGREGATE(9,6,H35:M35)</f>
        <v>2012801</v>
      </c>
      <c r="O35" s="1" t="s">
        <v>33</v>
      </c>
      <c r="P35" t="e">
        <f t="shared" ref="P35:P45" si="17">IF(G35=$B$1,N35*(1+$O$40),NA())</f>
        <v>#N/A</v>
      </c>
      <c r="Q35" s="8" t="str">
        <f>TEXT((N35-N34)/SUM(N34:N35),"+# ##0%;-# ##0%")</f>
        <v>+29%</v>
      </c>
      <c r="R35" s="1">
        <v>2</v>
      </c>
      <c r="S35" s="12">
        <f>Control!B68</f>
        <v>2.7498070987654324E-3</v>
      </c>
      <c r="T35" s="12" t="e">
        <f t="shared" si="15"/>
        <v>#N/A</v>
      </c>
      <c r="U35" t="s">
        <v>80</v>
      </c>
      <c r="Y35" s="12"/>
      <c r="Z35" s="12"/>
      <c r="AA35" s="12"/>
    </row>
    <row r="36" spans="1:27" x14ac:dyDescent="0.3">
      <c r="A36" s="3">
        <v>8</v>
      </c>
      <c r="B36" s="3">
        <f t="shared" si="13"/>
        <v>92</v>
      </c>
      <c r="C36" s="3" t="e">
        <f t="shared" si="11"/>
        <v>#N/A</v>
      </c>
      <c r="D36" s="3" t="e">
        <f t="shared" si="11"/>
        <v>#N/A</v>
      </c>
      <c r="E36" s="3" t="e">
        <f t="shared" si="11"/>
        <v>#N/A</v>
      </c>
      <c r="F36" s="8">
        <f t="shared" si="14"/>
        <v>7.0878274268104779E-2</v>
      </c>
      <c r="G36" s="1">
        <v>3</v>
      </c>
      <c r="H36" s="3" cm="1">
        <f t="array" ref="H36">INDEX(Control!$B$52:$G$63,$G36,MATCH(H$33,Control!$B$51:$G$51,0))</f>
        <v>191070</v>
      </c>
      <c r="I36" s="3" cm="1">
        <f t="array" ref="I36">INDEX(Control!$B$52:$G$63,$G36,MATCH(I$33,Control!$B$51:$G$51,0))</f>
        <v>440994</v>
      </c>
      <c r="J36" s="3" cm="1">
        <f t="array" ref="J36">INDEX(Control!$B$52:$G$63,$G36,MATCH(J$33,Control!$B$51:$G$51,0))</f>
        <v>945838</v>
      </c>
      <c r="K36" s="3" cm="1">
        <f t="array" ref="K36">INDEX(Control!$B$52:$G$63,$G36,MATCH(K$33,Control!$B$51:$G$51,0))</f>
        <v>1108072</v>
      </c>
      <c r="L36" s="3" cm="1">
        <f t="array" ref="L36">INDEX(Control!$B$52:$G$63,$G36,MATCH(L$33,Control!$B$51:$G$51,0))</f>
        <v>239069</v>
      </c>
      <c r="M36" s="3" cm="1">
        <f t="array" ref="M36">INDEX(Control!$B$52:$G$63,$G36,MATCH(M$33,Control!$B$51:$G$51,0))</f>
        <v>410454</v>
      </c>
      <c r="N36" s="9">
        <f t="shared" si="16"/>
        <v>3335497</v>
      </c>
      <c r="O36" t="str">
        <f>CHOOSE(1+(OR(AND(LEN(O42)&gt;=7,LEN(O42)&lt;10),AND(LEN(O42)&gt;=10,LEN(O42)&lt;13),LEN(O42)&gt;12))+(OR(AND(LEN(O42)&gt;=10,LEN(O42)&lt;13),LEN(O42)&gt;12))+(LEN(O42)&gt;12),TEXT(O42,"# 0"),ROUND(O42/1000000,1)&amp;"million",ROUND(O42/1000000000,1)&amp;"billion",ROUND(O42/1000000000000,1)&amp;"trillion")</f>
        <v>35,2million</v>
      </c>
      <c r="P36" t="e">
        <f t="shared" si="17"/>
        <v>#N/A</v>
      </c>
      <c r="Q36" s="8" t="str">
        <f t="shared" ref="Q36:Q45" si="18">TEXT((N36-N35)/SUM(N35:N36),"+# ##0%;-# ##0%")</f>
        <v>+25%</v>
      </c>
      <c r="R36" s="1">
        <v>3</v>
      </c>
      <c r="S36" s="12">
        <f>Control!B69</f>
        <v>1.7480066872427981E-3</v>
      </c>
      <c r="T36" s="12" t="e">
        <f t="shared" si="15"/>
        <v>#N/A</v>
      </c>
      <c r="Y36" s="12"/>
      <c r="Z36" s="12"/>
      <c r="AA36" s="12"/>
    </row>
    <row r="37" spans="1:27" x14ac:dyDescent="0.3">
      <c r="A37" s="3">
        <v>9</v>
      </c>
      <c r="B37" s="3">
        <f t="shared" si="13"/>
        <v>215</v>
      </c>
      <c r="C37" s="3" t="e">
        <f t="shared" si="11"/>
        <v>#N/A</v>
      </c>
      <c r="D37" s="3" t="e">
        <f t="shared" si="11"/>
        <v>#N/A</v>
      </c>
      <c r="E37" s="3" t="e">
        <f t="shared" si="11"/>
        <v>#N/A</v>
      </c>
      <c r="F37" s="8">
        <f t="shared" si="14"/>
        <v>0.16563944530046226</v>
      </c>
      <c r="G37" s="1">
        <v>4</v>
      </c>
      <c r="H37" s="3" cm="1">
        <f t="array" ref="H37">INDEX(Control!$B$52:$G$63,$G37,MATCH(H$33,Control!$B$51:$G$51,0))</f>
        <v>481839</v>
      </c>
      <c r="I37" s="3" cm="1">
        <f t="array" ref="I37">INDEX(Control!$B$52:$G$63,$G37,MATCH(I$33,Control!$B$51:$G$51,0))</f>
        <v>86994</v>
      </c>
      <c r="J37" s="3" cm="1">
        <f t="array" ref="J37">INDEX(Control!$B$52:$G$63,$G37,MATCH(J$33,Control!$B$51:$G$51,0))</f>
        <v>154916</v>
      </c>
      <c r="K37" s="3" cm="1">
        <f t="array" ref="K37">INDEX(Control!$B$52:$G$63,$G37,MATCH(K$33,Control!$B$51:$G$51,0))</f>
        <v>458684</v>
      </c>
      <c r="L37" s="3" cm="1">
        <f t="array" ref="L37">INDEX(Control!$B$52:$G$63,$G37,MATCH(L$33,Control!$B$51:$G$51,0))</f>
        <v>1223836</v>
      </c>
      <c r="M37" s="3" cm="1">
        <f t="array" ref="M37">INDEX(Control!$B$52:$G$63,$G37,MATCH(M$33,Control!$B$51:$G$51,0))</f>
        <v>651069</v>
      </c>
      <c r="N37" s="9">
        <f t="shared" si="16"/>
        <v>3057338</v>
      </c>
      <c r="O37" s="1" t="s">
        <v>84</v>
      </c>
      <c r="P37" t="e">
        <f t="shared" si="17"/>
        <v>#N/A</v>
      </c>
      <c r="Q37" s="8" t="str">
        <f t="shared" si="18"/>
        <v>-4%</v>
      </c>
      <c r="R37" s="1">
        <v>4</v>
      </c>
      <c r="S37" s="12">
        <f>Control!B70</f>
        <v>4.0097736625514411E-3</v>
      </c>
      <c r="T37" s="12" t="e">
        <f t="shared" si="15"/>
        <v>#N/A</v>
      </c>
      <c r="U37" t="s">
        <v>81</v>
      </c>
      <c r="Y37" s="12"/>
      <c r="Z37" s="12"/>
      <c r="AA37" s="12"/>
    </row>
    <row r="38" spans="1:27" x14ac:dyDescent="0.3">
      <c r="A38" s="3">
        <v>10</v>
      </c>
      <c r="B38" s="3">
        <f t="shared" si="13"/>
        <v>252</v>
      </c>
      <c r="C38" s="3" t="e">
        <f t="shared" si="11"/>
        <v>#N/A</v>
      </c>
      <c r="D38" s="3" t="e">
        <f t="shared" si="11"/>
        <v>#N/A</v>
      </c>
      <c r="E38" s="3" t="e">
        <f t="shared" si="11"/>
        <v>#N/A</v>
      </c>
      <c r="F38" s="8">
        <f t="shared" si="14"/>
        <v>0.19414483821263481</v>
      </c>
      <c r="G38" s="1">
        <v>5</v>
      </c>
      <c r="H38" s="3" cm="1">
        <f t="array" ref="H38">INDEX(Control!$B$52:$G$63,$G38,MATCH(H$33,Control!$B$51:$G$51,0))</f>
        <v>58148</v>
      </c>
      <c r="I38" s="3" cm="1">
        <f t="array" ref="I38">INDEX(Control!$B$52:$G$63,$G38,MATCH(I$33,Control!$B$51:$G$51,0))</f>
        <v>695993</v>
      </c>
      <c r="J38" s="3" cm="1">
        <f t="array" ref="J38">INDEX(Control!$B$52:$G$63,$G38,MATCH(J$33,Control!$B$51:$G$51,0))</f>
        <v>876530</v>
      </c>
      <c r="K38" s="3" cm="1">
        <f t="array" ref="K38">INDEX(Control!$B$52:$G$63,$G38,MATCH(K$33,Control!$B$51:$G$51,0))</f>
        <v>474147</v>
      </c>
      <c r="L38" s="3" cm="1">
        <f t="array" ref="L38">INDEX(Control!$B$52:$G$63,$G38,MATCH(L$33,Control!$B$51:$G$51,0))</f>
        <v>216300</v>
      </c>
      <c r="M38" s="3" cm="1">
        <f t="array" ref="M38">INDEX(Control!$B$52:$G$63,$G38,MATCH(M$33,Control!$B$51:$G$51,0))</f>
        <v>629837</v>
      </c>
      <c r="N38" s="9">
        <f t="shared" si="16"/>
        <v>2950955</v>
      </c>
      <c r="O38" s="16" t="e">
        <f>IF(ISNA(B1),NA(),MAX(N34:N45)*(1+O40))</f>
        <v>#N/A</v>
      </c>
      <c r="P38" t="e">
        <f t="shared" si="17"/>
        <v>#N/A</v>
      </c>
      <c r="Q38" s="8" t="str">
        <f t="shared" si="18"/>
        <v>-2%</v>
      </c>
      <c r="R38" s="1">
        <v>5</v>
      </c>
      <c r="S38" s="12">
        <f>Control!B71</f>
        <v>2.9292052469135797E-3</v>
      </c>
      <c r="T38" s="12" t="e">
        <f t="shared" si="15"/>
        <v>#N/A</v>
      </c>
      <c r="Y38" s="12"/>
      <c r="Z38" s="12"/>
      <c r="AA38" s="12"/>
    </row>
    <row r="39" spans="1:27" x14ac:dyDescent="0.3">
      <c r="A39" s="3">
        <v>11</v>
      </c>
      <c r="B39" s="3">
        <f t="shared" si="13"/>
        <v>231</v>
      </c>
      <c r="C39" s="3" t="e">
        <f t="shared" si="11"/>
        <v>#N/A</v>
      </c>
      <c r="D39" s="3" t="e">
        <f t="shared" si="11"/>
        <v>#N/A</v>
      </c>
      <c r="E39" s="3" t="e">
        <f t="shared" si="11"/>
        <v>#N/A</v>
      </c>
      <c r="F39" s="8">
        <f t="shared" si="14"/>
        <v>0.17796610169491525</v>
      </c>
      <c r="G39" s="1">
        <v>6</v>
      </c>
      <c r="H39" s="3" cm="1">
        <f t="array" ref="H39">INDEX(Control!$B$52:$G$63,$G39,MATCH(H$33,Control!$B$51:$G$51,0))</f>
        <v>78916</v>
      </c>
      <c r="I39" s="3" cm="1">
        <f t="array" ref="I39">INDEX(Control!$B$52:$G$63,$G39,MATCH(I$33,Control!$B$51:$G$51,0))</f>
        <v>83993</v>
      </c>
      <c r="J39" s="3" cm="1">
        <f t="array" ref="J39">INDEX(Control!$B$52:$G$63,$G39,MATCH(J$33,Control!$B$51:$G$51,0))</f>
        <v>362839</v>
      </c>
      <c r="K39" s="3" cm="1">
        <f t="array" ref="K39">INDEX(Control!$B$52:$G$63,$G39,MATCH(K$33,Control!$B$51:$G$51,0))</f>
        <v>298915</v>
      </c>
      <c r="L39" s="3" cm="1">
        <f t="array" ref="L39">INDEX(Control!$B$52:$G$63,$G39,MATCH(L$33,Control!$B$51:$G$51,0))</f>
        <v>836760</v>
      </c>
      <c r="M39" s="3" cm="1">
        <f t="array" ref="M39">INDEX(Control!$B$52:$G$63,$G39,MATCH(M$33,Control!$B$51:$G$51,0))</f>
        <v>1521532</v>
      </c>
      <c r="N39" s="9">
        <f t="shared" si="16"/>
        <v>3182955</v>
      </c>
      <c r="O39" s="1" t="s">
        <v>86</v>
      </c>
      <c r="P39" t="e">
        <f t="shared" si="17"/>
        <v>#N/A</v>
      </c>
      <c r="Q39" s="8" t="str">
        <f t="shared" si="18"/>
        <v>+4%</v>
      </c>
      <c r="R39" s="1">
        <v>6</v>
      </c>
      <c r="S39" s="12">
        <f>Control!B72</f>
        <v>3.5852301954732504E-3</v>
      </c>
      <c r="T39" s="12" t="e">
        <f t="shared" si="15"/>
        <v>#N/A</v>
      </c>
      <c r="U39" t="s">
        <v>33</v>
      </c>
      <c r="Y39" s="12"/>
      <c r="Z39" s="12"/>
      <c r="AA39" s="12"/>
    </row>
    <row r="40" spans="1:27" x14ac:dyDescent="0.3">
      <c r="A40" s="3">
        <v>12</v>
      </c>
      <c r="B40" s="3">
        <f t="shared" si="13"/>
        <v>146</v>
      </c>
      <c r="C40" s="3" t="e">
        <f t="shared" si="11"/>
        <v>#N/A</v>
      </c>
      <c r="D40" s="3" t="e">
        <f t="shared" si="11"/>
        <v>#N/A</v>
      </c>
      <c r="E40" s="3" t="e">
        <f t="shared" si="11"/>
        <v>#N/A</v>
      </c>
      <c r="F40" s="8">
        <f t="shared" si="14"/>
        <v>0.11248073959938366</v>
      </c>
      <c r="G40" s="1">
        <v>7</v>
      </c>
      <c r="H40" s="3" cm="1">
        <f t="array" ref="H40">INDEX(Control!$B$52:$G$63,$G40,MATCH(H$33,Control!$B$51:$G$51,0))</f>
        <v>446534</v>
      </c>
      <c r="I40" s="3" cm="1">
        <f t="array" ref="I40">INDEX(Control!$B$52:$G$63,$G40,MATCH(I$33,Control!$B$51:$G$51,0))</f>
        <v>266993</v>
      </c>
      <c r="J40" s="3" cm="1">
        <f t="array" ref="J40">INDEX(Control!$B$52:$G$63,$G40,MATCH(J$33,Control!$B$51:$G$51,0))</f>
        <v>1027378</v>
      </c>
      <c r="K40" s="3" cm="1">
        <f t="array" ref="K40">INDEX(Control!$B$52:$G$63,$G40,MATCH(K$33,Control!$B$51:$G$51,0))</f>
        <v>1298762</v>
      </c>
      <c r="L40" s="3" cm="1">
        <f t="array" ref="L40">INDEX(Control!$B$52:$G$63,$G40,MATCH(L$33,Control!$B$51:$G$51,0))</f>
        <v>506606</v>
      </c>
      <c r="M40" s="3" cm="1">
        <f t="array" ref="M40">INDEX(Control!$B$52:$G$63,$G40,MATCH(M$33,Control!$B$51:$G$51,0))</f>
        <v>205224</v>
      </c>
      <c r="N40" s="9">
        <f t="shared" si="16"/>
        <v>3751497</v>
      </c>
      <c r="O40" s="13">
        <v>-0.03</v>
      </c>
      <c r="P40" t="e">
        <f t="shared" si="17"/>
        <v>#N/A</v>
      </c>
      <c r="Q40" s="8" t="str">
        <f t="shared" si="18"/>
        <v>+8%</v>
      </c>
      <c r="R40" s="1">
        <v>7</v>
      </c>
      <c r="S40" s="12">
        <f>Control!B73</f>
        <v>2.9865933641975307E-3</v>
      </c>
      <c r="T40" s="12" t="e">
        <f t="shared" si="15"/>
        <v>#N/A</v>
      </c>
      <c r="U40" t="str">
        <f>U35&amp;"    "&amp;U37</f>
        <v>Minimum    Maximum</v>
      </c>
      <c r="Y40" s="12"/>
      <c r="Z40" s="12"/>
      <c r="AA40" s="12"/>
    </row>
    <row r="41" spans="1:27" x14ac:dyDescent="0.3">
      <c r="B41" s="10">
        <f>SUM(B29:B40)</f>
        <v>1298</v>
      </c>
      <c r="F41" s="8"/>
      <c r="G41" s="1">
        <v>8</v>
      </c>
      <c r="H41" s="3" cm="1">
        <f t="array" ref="H41">INDEX(Control!$B$52:$G$63,$G41,MATCH(H$33,Control!$B$51:$G$51,0))</f>
        <v>305301</v>
      </c>
      <c r="I41" s="3" cm="1">
        <f t="array" ref="I41">INDEX(Control!$B$52:$G$63,$G41,MATCH(I$33,Control!$B$51:$G$51,0))</f>
        <v>275994</v>
      </c>
      <c r="J41" s="3" cm="1">
        <f t="array" ref="J41">INDEX(Control!$B$52:$G$63,$G41,MATCH(J$33,Control!$B$51:$G$51,0))</f>
        <v>317993</v>
      </c>
      <c r="K41" s="3" cm="1">
        <f t="array" ref="K41">INDEX(Control!$B$52:$G$63,$G41,MATCH(K$33,Control!$B$51:$G$51,0))</f>
        <v>149454</v>
      </c>
      <c r="L41" s="3" cm="1">
        <f t="array" ref="L41">INDEX(Control!$B$52:$G$63,$G41,MATCH(L$33,Control!$B$51:$G$51,0))</f>
        <v>1434456</v>
      </c>
      <c r="M41" s="3" cm="1">
        <f t="array" ref="M41">INDEX(Control!$B$52:$G$63,$G41,MATCH(M$33,Control!$B$51:$G$51,0))</f>
        <v>297224</v>
      </c>
      <c r="N41" s="9">
        <f t="shared" si="16"/>
        <v>2780422</v>
      </c>
      <c r="O41" s="1" t="s">
        <v>128</v>
      </c>
      <c r="P41" t="e">
        <f t="shared" si="17"/>
        <v>#N/A</v>
      </c>
      <c r="Q41" s="8" t="str">
        <f t="shared" si="18"/>
        <v>-15%</v>
      </c>
      <c r="R41" s="1">
        <v>8</v>
      </c>
      <c r="S41" s="12">
        <f>Control!B74</f>
        <v>3.9009452160493818E-3</v>
      </c>
      <c r="T41" s="12" t="e">
        <f t="shared" si="15"/>
        <v>#N/A</v>
      </c>
      <c r="U41" s="1" t="s">
        <v>32</v>
      </c>
      <c r="Y41" s="12"/>
      <c r="Z41" s="12"/>
      <c r="AA41" s="12"/>
    </row>
    <row r="42" spans="1:27" x14ac:dyDescent="0.3">
      <c r="F42" s="8"/>
      <c r="G42" s="1">
        <v>9</v>
      </c>
      <c r="H42" s="3" cm="1">
        <f t="array" ref="H42">INDEX(Control!$B$52:$G$63,$G42,MATCH(H$33,Control!$B$51:$G$51,0))</f>
        <v>161993</v>
      </c>
      <c r="I42" s="3" cm="1">
        <f t="array" ref="I42">INDEX(Control!$B$52:$G$63,$G42,MATCH(I$33,Control!$B$51:$G$51,0))</f>
        <v>644992</v>
      </c>
      <c r="J42" s="3" cm="1">
        <f t="array" ref="J42">INDEX(Control!$B$52:$G$63,$G42,MATCH(J$33,Control!$B$51:$G$51,0))</f>
        <v>114146</v>
      </c>
      <c r="K42" s="3" cm="1">
        <f t="array" ref="K42">INDEX(Control!$B$52:$G$63,$G42,MATCH(K$33,Control!$B$51:$G$51,0))</f>
        <v>144299</v>
      </c>
      <c r="L42" s="3" cm="1">
        <f t="array" ref="L42">INDEX(Control!$B$52:$G$63,$G42,MATCH(L$33,Control!$B$51:$G$51,0))</f>
        <v>159375</v>
      </c>
      <c r="M42" s="3" cm="1">
        <f t="array" ref="M42">INDEX(Control!$B$52:$G$63,$G42,MATCH(M$33,Control!$B$51:$G$51,0))</f>
        <v>1641839</v>
      </c>
      <c r="N42" s="9">
        <f t="shared" si="16"/>
        <v>2866644</v>
      </c>
      <c r="O42">
        <f>IF(ISNA(B1),SUM(N34:N45),O34)</f>
        <v>35199463</v>
      </c>
      <c r="P42" t="e">
        <f t="shared" si="17"/>
        <v>#N/A</v>
      </c>
      <c r="Q42" s="8" t="str">
        <f t="shared" si="18"/>
        <v>+2%</v>
      </c>
      <c r="R42" s="1">
        <v>9</v>
      </c>
      <c r="S42" s="12">
        <f>Control!B75</f>
        <v>4.4153485082304537E-3</v>
      </c>
      <c r="T42" s="12" t="e">
        <f t="shared" si="15"/>
        <v>#N/A</v>
      </c>
      <c r="U42" s="12" t="str" cm="1">
        <f t="array" ref="U42">IF(ISNA(B1),TEXT(AVERAGE(S34:S45),"mm:ss")&amp;" mm:ss",TEXT(INDEX(S34:S45,B1),"mm:ss")&amp;" mm:ss")</f>
        <v>04:43 mm:ss</v>
      </c>
      <c r="Y42" s="12"/>
      <c r="Z42" s="12"/>
      <c r="AA42" s="12"/>
    </row>
    <row r="43" spans="1:27" x14ac:dyDescent="0.3">
      <c r="F43" s="8"/>
      <c r="G43" s="1">
        <v>10</v>
      </c>
      <c r="H43" s="3" cm="1">
        <f t="array" ref="H43">INDEX(Control!$B$52:$G$63,$G43,MATCH(H$33,Control!$B$51:$G$51,0))</f>
        <v>87223</v>
      </c>
      <c r="I43" s="3" cm="1">
        <f t="array" ref="I43">INDEX(Control!$B$52:$G$63,$G43,MATCH(I$33,Control!$B$51:$G$51,0))</f>
        <v>113993</v>
      </c>
      <c r="J43" s="3" cm="1">
        <f t="array" ref="J43">INDEX(Control!$B$52:$G$63,$G43,MATCH(J$33,Control!$B$51:$G$51,0))</f>
        <v>375070</v>
      </c>
      <c r="K43" s="3" cm="1">
        <f t="array" ref="K43">INDEX(Control!$B$52:$G$63,$G43,MATCH(K$33,Control!$B$51:$G$51,0))</f>
        <v>1195685</v>
      </c>
      <c r="L43" s="3" cm="1">
        <f t="array" ref="L43">INDEX(Control!$B$52:$G$63,$G43,MATCH(L$33,Control!$B$51:$G$51,0))</f>
        <v>443992</v>
      </c>
      <c r="M43" s="3" cm="1">
        <f t="array" ref="M43">INDEX(Control!$B$52:$G$63,$G43,MATCH(M$33,Control!$B$51:$G$51,0))</f>
        <v>268916</v>
      </c>
      <c r="N43" s="9">
        <f t="shared" si="16"/>
        <v>2484879</v>
      </c>
      <c r="P43" t="e">
        <f t="shared" si="17"/>
        <v>#N/A</v>
      </c>
      <c r="Q43" s="8" t="str">
        <f t="shared" si="18"/>
        <v>-7%</v>
      </c>
      <c r="R43" s="1">
        <v>10</v>
      </c>
      <c r="S43" s="12">
        <f>Control!B76</f>
        <v>2.9087898662551429E-3</v>
      </c>
      <c r="T43" s="12" t="e">
        <f t="shared" si="15"/>
        <v>#N/A</v>
      </c>
      <c r="U43" s="1" t="s">
        <v>82</v>
      </c>
      <c r="Y43" s="12"/>
      <c r="Z43" s="12"/>
      <c r="AA43" s="12"/>
    </row>
    <row r="44" spans="1:27" x14ac:dyDescent="0.3">
      <c r="F44" s="8"/>
      <c r="G44" s="1">
        <v>11</v>
      </c>
      <c r="H44" s="3" cm="1">
        <f t="array" ref="H44">INDEX(Control!$B$52:$G$63,$G44,MATCH(H$33,Control!$B$51:$G$51,0))</f>
        <v>184839</v>
      </c>
      <c r="I44" s="3" cm="1">
        <f t="array" ref="I44">INDEX(Control!$B$52:$G$63,$G44,MATCH(I$33,Control!$B$51:$G$51,0))</f>
        <v>755993</v>
      </c>
      <c r="J44" s="3" cm="1">
        <f t="array" ref="J44">INDEX(Control!$B$52:$G$63,$G44,MATCH(J$33,Control!$B$51:$G$51,0))</f>
        <v>118225</v>
      </c>
      <c r="K44" s="3" cm="1">
        <f t="array" ref="K44">INDEX(Control!$B$52:$G$63,$G44,MATCH(K$33,Control!$B$51:$G$51,0))</f>
        <v>195839</v>
      </c>
      <c r="L44" s="3" cm="1">
        <f t="array" ref="L44">INDEX(Control!$B$52:$G$63,$G44,MATCH(L$33,Control!$B$51:$G$51,0))</f>
        <v>1320608</v>
      </c>
      <c r="M44" s="3" cm="1">
        <f t="array" ref="M44">INDEX(Control!$B$52:$G$63,$G44,MATCH(M$33,Control!$B$51:$G$51,0))</f>
        <v>1783378</v>
      </c>
      <c r="N44" s="9">
        <f t="shared" si="16"/>
        <v>4358882</v>
      </c>
      <c r="P44" t="e">
        <f t="shared" si="17"/>
        <v>#N/A</v>
      </c>
      <c r="Q44" s="8" t="str">
        <f t="shared" si="18"/>
        <v>+27%</v>
      </c>
      <c r="R44" s="1">
        <v>11</v>
      </c>
      <c r="S44" s="12">
        <f>Control!B77</f>
        <v>3.614647633744856E-3</v>
      </c>
      <c r="T44" s="12" t="e">
        <f t="shared" si="15"/>
        <v>#N/A</v>
      </c>
      <c r="U44" s="12">
        <f>MIN(S34:S45)</f>
        <v>1.7480066872427981E-3</v>
      </c>
      <c r="Y44" s="12"/>
      <c r="Z44" s="12"/>
      <c r="AA44" s="12"/>
    </row>
    <row r="45" spans="1:27" x14ac:dyDescent="0.3">
      <c r="F45" s="8"/>
      <c r="G45" s="1">
        <v>12</v>
      </c>
      <c r="H45" s="3" cm="1">
        <f t="array" ref="H45">INDEX(Control!$B$52:$G$63,$G45,MATCH(H$33,Control!$B$51:$G$51,0))</f>
        <v>523377</v>
      </c>
      <c r="I45" s="3" cm="1">
        <f t="array" ref="I45">INDEX(Control!$B$52:$G$63,$G45,MATCH(I$33,Control!$B$51:$G$51,0))</f>
        <v>233994</v>
      </c>
      <c r="J45" s="3" cm="1">
        <f t="array" ref="J45">INDEX(Control!$B$52:$G$63,$G45,MATCH(J$33,Control!$B$51:$G$51,0))</f>
        <v>236455</v>
      </c>
      <c r="K45" s="3" cm="1">
        <f t="array" ref="K45">INDEX(Control!$B$52:$G$63,$G45,MATCH(K$33,Control!$B$51:$G$51,0))</f>
        <v>757608</v>
      </c>
      <c r="L45" s="3" cm="1">
        <f t="array" ref="L45">INDEX(Control!$B$52:$G$63,$G45,MATCH(L$33,Control!$B$51:$G$51,0))</f>
        <v>523684</v>
      </c>
      <c r="M45" s="3" cm="1">
        <f t="array" ref="M45">INDEX(Control!$B$52:$G$63,$G45,MATCH(M$33,Control!$B$51:$G$51,0))</f>
        <v>1040298</v>
      </c>
      <c r="N45" s="9">
        <f t="shared" si="16"/>
        <v>3315416</v>
      </c>
      <c r="P45" t="e">
        <f t="shared" si="17"/>
        <v>#N/A</v>
      </c>
      <c r="Q45" s="8" t="str">
        <f t="shared" si="18"/>
        <v>-14%</v>
      </c>
      <c r="R45" s="1">
        <v>12</v>
      </c>
      <c r="S45" s="12">
        <f>Control!B78</f>
        <v>3.1658307613168721E-3</v>
      </c>
      <c r="T45" s="12" t="e">
        <f t="shared" si="15"/>
        <v>#N/A</v>
      </c>
      <c r="U45" s="1" t="s">
        <v>29</v>
      </c>
      <c r="Y45" s="12"/>
      <c r="Z45" s="12"/>
      <c r="AA45" s="12"/>
    </row>
    <row r="46" spans="1:27" x14ac:dyDescent="0.3">
      <c r="F46" s="8"/>
      <c r="G46" s="1" t="s">
        <v>16</v>
      </c>
      <c r="H46" s="14">
        <f>SUM(H34:H45)</f>
        <v>2699918</v>
      </c>
      <c r="I46" s="14">
        <f t="shared" ref="I46:M46" si="19">SUM(I34:I45)</f>
        <v>3899918</v>
      </c>
      <c r="J46" s="14">
        <f t="shared" si="19"/>
        <v>5299902</v>
      </c>
      <c r="K46" s="14">
        <f t="shared" si="19"/>
        <v>6699912</v>
      </c>
      <c r="L46" s="14">
        <f t="shared" si="19"/>
        <v>7399903</v>
      </c>
      <c r="M46" s="14">
        <f t="shared" si="19"/>
        <v>9199910</v>
      </c>
      <c r="U46" s="12">
        <f>MAX(S34:S45)</f>
        <v>4.4153485082304537E-3</v>
      </c>
    </row>
    <row r="47" spans="1:27" x14ac:dyDescent="0.3">
      <c r="A47" s="1" t="s">
        <v>143</v>
      </c>
      <c r="F47" s="8"/>
      <c r="G47" s="1"/>
      <c r="H47" s="15"/>
      <c r="I47" s="15"/>
      <c r="J47" s="15"/>
      <c r="K47" s="15"/>
      <c r="L47" s="15"/>
      <c r="M47" s="15"/>
    </row>
    <row r="48" spans="1:27" x14ac:dyDescent="0.3">
      <c r="B48" s="51" t="str">
        <f>O1</f>
        <v>North</v>
      </c>
      <c r="C48" s="51"/>
      <c r="D48" s="51"/>
      <c r="E48" s="51"/>
      <c r="F48" s="51" t="str">
        <f>P1</f>
        <v>East</v>
      </c>
      <c r="G48" s="51"/>
      <c r="H48" s="51"/>
      <c r="I48" s="51"/>
      <c r="J48" s="51" t="str">
        <f>Q1</f>
        <v>South</v>
      </c>
      <c r="K48" s="51"/>
      <c r="L48" s="51"/>
      <c r="M48" s="51"/>
      <c r="N48" s="51" t="str">
        <f>R1</f>
        <v>West</v>
      </c>
      <c r="O48" s="51"/>
      <c r="P48" s="51"/>
      <c r="Q48" s="51"/>
    </row>
    <row r="49" spans="1:17" x14ac:dyDescent="0.3">
      <c r="B49" t="s">
        <v>62</v>
      </c>
      <c r="C49" t="s">
        <v>63</v>
      </c>
      <c r="D49" t="s">
        <v>64</v>
      </c>
      <c r="E49" t="s">
        <v>65</v>
      </c>
      <c r="F49" t="s">
        <v>66</v>
      </c>
      <c r="G49" t="s">
        <v>67</v>
      </c>
      <c r="H49" t="s">
        <v>68</v>
      </c>
      <c r="I49" t="s">
        <v>69</v>
      </c>
      <c r="J49" t="s">
        <v>70</v>
      </c>
      <c r="K49" t="s">
        <v>71</v>
      </c>
      <c r="L49" t="s">
        <v>72</v>
      </c>
      <c r="M49" t="s">
        <v>73</v>
      </c>
      <c r="N49" t="s">
        <v>74</v>
      </c>
      <c r="O49" t="s">
        <v>75</v>
      </c>
      <c r="P49" t="s">
        <v>76</v>
      </c>
      <c r="Q49" t="s">
        <v>77</v>
      </c>
    </row>
    <row r="50" spans="1:17" x14ac:dyDescent="0.3">
      <c r="A50" s="24" t="s">
        <v>7</v>
      </c>
      <c r="B50" s="3">
        <f>IF(AND($D$2,$O$2),SUMIFS('Sales Manager'!$E$2:$E$193,'Sales Manager'!$A$2:$A$193,IF(ISNA($B$3),"*",$B$3),'Sales Manager'!$B$2:$B$193,B$49),0)</f>
        <v>40720.699999999997</v>
      </c>
      <c r="C50" s="3">
        <f>IF(AND($D$2,$O$2),SUMIFS('Sales Manager'!$E$2:$E$193,'Sales Manager'!$A$2:$A$193,IF(ISNA($B$3),"*",$B$3),'Sales Manager'!$B$2:$B$193,C$49),0)</f>
        <v>35616.699999999997</v>
      </c>
      <c r="D50" s="3">
        <f>IF(AND($D$2,$O$2),SUMIFS('Sales Manager'!$E$2:$E$193,'Sales Manager'!$A$2:$A$193,IF(ISNA($B$3),"*",$B$3),'Sales Manager'!$B$2:$B$193,D$49),0)</f>
        <v>32199.300000000003</v>
      </c>
      <c r="E50" s="3">
        <f>IF(AND($D$2,$O$2),SUMIFS('Sales Manager'!$E$2:$E$193,'Sales Manager'!$A$2:$A$193,IF(ISNA($B$3),"*",$B$3),'Sales Manager'!$B$2:$B$193,E$49),0)</f>
        <v>27095.300000000003</v>
      </c>
      <c r="F50" s="3">
        <f>IF(AND($D$2,$P$2),SUMIFS('Sales Manager'!$E$2:$E$193,'Sales Manager'!$A$2:$A$193,IF(ISNA($B$3),"*",$B$3),'Sales Manager'!$B$2:$B$193,F$49),0)</f>
        <v>34778.660000000003</v>
      </c>
      <c r="G50" s="3">
        <f>IF(AND($D$2,$P$2),SUMIFS('Sales Manager'!$E$2:$E$193,'Sales Manager'!$A$2:$A$193,IF(ISNA($B$3),"*",$B$3),'Sales Manager'!$B$2:$B$193,G$49),0)</f>
        <v>49189.120000000003</v>
      </c>
      <c r="H50" s="3">
        <f>IF(AND($D$2,$P$2),SUMIFS('Sales Manager'!$E$2:$E$193,'Sales Manager'!$A$2:$A$193,IF(ISNA($B$3),"*",$B$3),'Sales Manager'!$B$2:$B$193,H$49),0)</f>
        <v>27613.88</v>
      </c>
      <c r="I50" s="3">
        <f>IF(AND($D$2,$P$2),SUMIFS('Sales Manager'!$E$2:$E$193,'Sales Manager'!$A$2:$A$193,IF(ISNA($B$3),"*",$B$3),'Sales Manager'!$B$2:$B$193,I$49),0)</f>
        <v>42024.34</v>
      </c>
      <c r="J50" s="3">
        <f>IF(AND($D$2,$Q$2),SUMIFS('Sales Manager'!$E$2:$E$193,'Sales Manager'!$A$2:$A$193,IF(ISNA($B$3),"*",$B$3),'Sales Manager'!$B$2:$B$193,J$49),0)</f>
        <v>25407.519999999997</v>
      </c>
      <c r="K50" s="3">
        <f>IF(AND($D$2,$Q$2),SUMIFS('Sales Manager'!$E$2:$E$193,'Sales Manager'!$A$2:$A$193,IF(ISNA($B$3),"*",$B$3),'Sales Manager'!$B$2:$B$193,K$49),0)</f>
        <v>36566.26</v>
      </c>
      <c r="L50" s="3">
        <f>IF(AND($D$2,$Q$2),SUMIFS('Sales Manager'!$E$2:$E$193,'Sales Manager'!$A$2:$A$193,IF(ISNA($B$3),"*",$B$3),'Sales Manager'!$B$2:$B$193,L$49),0)</f>
        <v>26790.240000000002</v>
      </c>
      <c r="M50" s="3">
        <f>IF(AND($D$2,$Q$2),SUMIFS('Sales Manager'!$E$2:$E$193,'Sales Manager'!$A$2:$A$193,IF(ISNA($B$3),"*",$B$3),'Sales Manager'!$B$2:$B$193,M$49),0)</f>
        <v>37948.980000000003</v>
      </c>
      <c r="N50" s="3">
        <f>IF(AND($D$2,$R$2),SUMIFS('Sales Manager'!$E$2:$E$193,'Sales Manager'!$A$2:$A$193,IF(ISNA($B$3),"*",$B$3),'Sales Manager'!$B$2:$B$193,N$49),0)</f>
        <v>37999.910000000003</v>
      </c>
      <c r="O50" s="3">
        <f>IF(AND($D$2,$R$2),SUMIFS('Sales Manager'!$E$2:$E$193,'Sales Manager'!$A$2:$A$193,IF(ISNA($B$3),"*",$B$3),'Sales Manager'!$B$2:$B$193,O$49),0)</f>
        <v>35074.899999999994</v>
      </c>
      <c r="P50" s="3">
        <f>IF(AND($D$2,$R$2),SUMIFS('Sales Manager'!$E$2:$E$193,'Sales Manager'!$A$2:$A$193,IF(ISNA($B$3),"*",$B$3),'Sales Manager'!$B$2:$B$193,P$49),0)</f>
        <v>37270.6</v>
      </c>
      <c r="Q50" s="3">
        <f>IF(AND($D$2,$R$2),SUMIFS('Sales Manager'!$E$2:$E$193,'Sales Manager'!$A$2:$A$193,IF(ISNA($B$3),"*",$B$3),'Sales Manager'!$B$2:$B$193,Q$49),0)</f>
        <v>34345.589999999997</v>
      </c>
    </row>
    <row r="51" spans="1:17" x14ac:dyDescent="0.3">
      <c r="A51" s="24" t="s">
        <v>5</v>
      </c>
      <c r="B51" s="3">
        <f>IF(AND($E$2,$O$2),SUMIFS('Sales Manager'!$F$2:$F$193,'Sales Manager'!$A$2:$A$193,IF(ISNA($B$3),"*",$B$3),'Sales Manager'!$B$2:$B$193,B$49),0)</f>
        <v>31575.029999999995</v>
      </c>
      <c r="C51" s="3">
        <f>IF(AND($E$2,$O$2),SUMIFS('Sales Manager'!$F$2:$F$193,'Sales Manager'!$A$2:$A$193,IF(ISNA($B$3),"*",$B$3),'Sales Manager'!$B$2:$B$193,C$49),0)</f>
        <v>30583.200000000001</v>
      </c>
      <c r="D51" s="3">
        <f>IF(AND($E$2,$O$2),SUMIFS('Sales Manager'!$F$2:$F$193,'Sales Manager'!$A$2:$A$193,IF(ISNA($B$3),"*",$B$3),'Sales Manager'!$B$2:$B$193,D$49),0)</f>
        <v>29524.799999999999</v>
      </c>
      <c r="E51" s="3">
        <f>IF(AND($E$2,$O$2),SUMIFS('Sales Manager'!$F$2:$F$193,'Sales Manager'!$A$2:$A$193,IF(ISNA($B$3),"*",$B$3),'Sales Manager'!$B$2:$B$193,E$49),0)</f>
        <v>28532.970000000005</v>
      </c>
      <c r="F51" s="3">
        <f>IF(AND($E$2,$P$2),SUMIFS('Sales Manager'!$F$2:$F$193,'Sales Manager'!$A$2:$A$193,IF(ISNA($B$3),"*",$B$3),'Sales Manager'!$B$2:$B$193,F$49),0)</f>
        <v>33470.81</v>
      </c>
      <c r="G51" s="3">
        <f>IF(AND($E$2,$P$2),SUMIFS('Sales Manager'!$F$2:$F$193,'Sales Manager'!$A$2:$A$193,IF(ISNA($B$3),"*",$B$3),'Sales Manager'!$B$2:$B$193,G$49),0)</f>
        <v>24892.14</v>
      </c>
      <c r="H51" s="3">
        <f>IF(AND($E$2,$P$2),SUMIFS('Sales Manager'!$F$2:$F$193,'Sales Manager'!$A$2:$A$193,IF(ISNA($B$3),"*",$B$3),'Sales Manager'!$B$2:$B$193,H$49),0)</f>
        <v>27861.86</v>
      </c>
      <c r="I51" s="3">
        <f>IF(AND($E$2,$P$2),SUMIFS('Sales Manager'!$F$2:$F$193,'Sales Manager'!$A$2:$A$193,IF(ISNA($B$3),"*",$B$3),'Sales Manager'!$B$2:$B$193,I$49),0)</f>
        <v>19283.190000000002</v>
      </c>
      <c r="J51" s="3">
        <f>IF(AND($E$2,$Q$2),SUMIFS('Sales Manager'!$F$2:$F$193,'Sales Manager'!$A$2:$A$193,IF(ISNA($B$3),"*",$B$3),'Sales Manager'!$B$2:$B$193,J$49),0)</f>
        <v>33677.840000000004</v>
      </c>
      <c r="K51" s="3">
        <f>IF(AND($E$2,$Q$2),SUMIFS('Sales Manager'!$F$2:$F$193,'Sales Manager'!$A$2:$A$193,IF(ISNA($B$3),"*",$B$3),'Sales Manager'!$B$2:$B$193,K$49),0)</f>
        <v>24311.620000000003</v>
      </c>
      <c r="L51" s="3">
        <f>IF(AND($E$2,$Q$2),SUMIFS('Sales Manager'!$F$2:$F$193,'Sales Manager'!$A$2:$A$193,IF(ISNA($B$3),"*",$B$3),'Sales Manager'!$B$2:$B$193,L$49),0)</f>
        <v>35771.879999999997</v>
      </c>
      <c r="M51" s="3">
        <f>IF(AND($E$2,$Q$2),SUMIFS('Sales Manager'!$F$2:$F$193,'Sales Manager'!$A$2:$A$193,IF(ISNA($B$3),"*",$B$3),'Sales Manager'!$B$2:$B$193,M$49),0)</f>
        <v>26405.66</v>
      </c>
      <c r="N51" s="3">
        <f>IF(AND($E$2,$R$2),SUMIFS('Sales Manager'!$F$2:$F$193,'Sales Manager'!$A$2:$A$193,IF(ISNA($B$3),"*",$B$3),'Sales Manager'!$B$2:$B$193,N$49),0)</f>
        <v>29785.03</v>
      </c>
      <c r="O51" s="3">
        <f>IF(AND($E$2,$R$2),SUMIFS('Sales Manager'!$F$2:$F$193,'Sales Manager'!$A$2:$A$193,IF(ISNA($B$3),"*",$B$3),'Sales Manager'!$B$2:$B$193,O$49),0)</f>
        <v>19577.46</v>
      </c>
      <c r="P51" s="3">
        <f>IF(AND($E$2,$R$2),SUMIFS('Sales Manager'!$F$2:$F$193,'Sales Manager'!$A$2:$A$193,IF(ISNA($B$3),"*",$B$3),'Sales Manager'!$B$2:$B$193,P$49),0)</f>
        <v>33152.54</v>
      </c>
      <c r="Q51" s="3">
        <f>IF(AND($E$2,$R$2),SUMIFS('Sales Manager'!$F$2:$F$193,'Sales Manager'!$A$2:$A$193,IF(ISNA($B$3),"*",$B$3),'Sales Manager'!$B$2:$B$193,Q$49),0)</f>
        <v>22944.97</v>
      </c>
    </row>
    <row r="52" spans="1:17" x14ac:dyDescent="0.3">
      <c r="A52" s="3" t="s">
        <v>6</v>
      </c>
      <c r="B52" s="3">
        <f>IF(AND($F$2,$O$2),SUMIFS('Sales Manager'!$G$2:$G$193,'Sales Manager'!$A$2:$A$193,IF(ISNA($B$3),"*",$B$3),'Sales Manager'!$B$2:$B$193,B$49),0)</f>
        <v>14033.209999999997</v>
      </c>
      <c r="C52" s="3">
        <f>IF(AND($F$2,$O$2),SUMIFS('Sales Manager'!$G$2:$G$193,'Sales Manager'!$A$2:$A$193,IF(ISNA($B$3),"*",$B$3),'Sales Manager'!$B$2:$B$193,C$49),0)</f>
        <v>14759.49</v>
      </c>
      <c r="D52" s="3">
        <f>IF(AND($F$2,$O$2),SUMIFS('Sales Manager'!$G$2:$G$193,'Sales Manager'!$A$2:$A$193,IF(ISNA($B$3),"*",$B$3),'Sales Manager'!$B$2:$B$193,D$49),0)</f>
        <v>21662.010000000002</v>
      </c>
      <c r="E52" s="3">
        <f>IF(AND($F$2,$O$2),SUMIFS('Sales Manager'!$G$2:$G$193,'Sales Manager'!$A$2:$A$193,IF(ISNA($B$3),"*",$B$3),'Sales Manager'!$B$2:$B$193,E$49),0)</f>
        <v>22388.289999999997</v>
      </c>
      <c r="F52" s="3">
        <f>IF(AND($F$2,$P$2),SUMIFS('Sales Manager'!$G$2:$G$193,'Sales Manager'!$A$2:$A$193,IF(ISNA($B$3),"*",$B$3),'Sales Manager'!$B$2:$B$193,F$49),0)</f>
        <v>17633.45</v>
      </c>
      <c r="G52" s="3">
        <f>IF(AND($F$2,$P$2),SUMIFS('Sales Manager'!$G$2:$G$193,'Sales Manager'!$A$2:$A$193,IF(ISNA($B$3),"*",$B$3),'Sales Manager'!$B$2:$B$193,G$49),0)</f>
        <v>16723.12</v>
      </c>
      <c r="H52" s="3">
        <f>IF(AND($F$2,$P$2),SUMIFS('Sales Manager'!$G$2:$G$193,'Sales Manager'!$A$2:$A$193,IF(ISNA($B$3),"*",$B$3),'Sales Manager'!$B$2:$B$193,H$49),0)</f>
        <v>18826.38</v>
      </c>
      <c r="I52" s="3">
        <f>IF(AND($F$2,$P$2),SUMIFS('Sales Manager'!$G$2:$G$193,'Sales Manager'!$A$2:$A$193,IF(ISNA($B$3),"*",$B$3),'Sales Manager'!$B$2:$B$193,I$49),0)</f>
        <v>17916.049999999996</v>
      </c>
      <c r="J52" s="3">
        <f>IF(AND($F$2,$Q$2),SUMIFS('Sales Manager'!$G$2:$G$193,'Sales Manager'!$A$2:$A$193,IF(ISNA($B$3),"*",$B$3),'Sales Manager'!$B$2:$B$193,J$49),0)</f>
        <v>20501.740000000002</v>
      </c>
      <c r="K52" s="3">
        <f>IF(AND($F$2,$Q$2),SUMIFS('Sales Manager'!$G$2:$G$193,'Sales Manager'!$A$2:$A$193,IF(ISNA($B$3),"*",$B$3),'Sales Manager'!$B$2:$B$193,K$49),0)</f>
        <v>17990.399999999998</v>
      </c>
      <c r="L52" s="3">
        <f>IF(AND($F$2,$Q$2),SUMIFS('Sales Manager'!$G$2:$G$193,'Sales Manager'!$A$2:$A$193,IF(ISNA($B$3),"*",$B$3),'Sales Manager'!$B$2:$B$193,L$49),0)</f>
        <v>18206.599999999999</v>
      </c>
      <c r="M52" s="3">
        <f>IF(AND($F$2,$Q$2),SUMIFS('Sales Manager'!$G$2:$G$193,'Sales Manager'!$A$2:$A$193,IF(ISNA($B$3),"*",$B$3),'Sales Manager'!$B$2:$B$193,M$49),0)</f>
        <v>15695.259999999998</v>
      </c>
      <c r="N52" s="3">
        <f>IF(AND($F$2,$R$2),SUMIFS('Sales Manager'!$G$2:$G$193,'Sales Manager'!$A$2:$A$193,IF(ISNA($B$3),"*",$B$3),'Sales Manager'!$B$2:$B$193,N$49),0)</f>
        <v>16013.17</v>
      </c>
      <c r="O52" s="3">
        <f>IF(AND($F$2,$R$2),SUMIFS('Sales Manager'!$G$2:$G$193,'Sales Manager'!$A$2:$A$193,IF(ISNA($B$3),"*",$B$3),'Sales Manager'!$B$2:$B$193,O$49),0)</f>
        <v>18013.879999999997</v>
      </c>
      <c r="P52" s="3">
        <f>IF(AND($F$2,$R$2),SUMIFS('Sales Manager'!$G$2:$G$193,'Sales Manager'!$A$2:$A$193,IF(ISNA($B$3),"*",$B$3),'Sales Manager'!$B$2:$B$193,P$49),0)</f>
        <v>17313.62</v>
      </c>
      <c r="Q52" s="3">
        <f>IF(AND($F$2,$R$2),SUMIFS('Sales Manager'!$G$2:$G$193,'Sales Manager'!$A$2:$A$193,IF(ISNA($B$3),"*",$B$3),'Sales Manager'!$B$2:$B$193,Q$49),0)</f>
        <v>19314.330000000002</v>
      </c>
    </row>
    <row r="53" spans="1:17" x14ac:dyDescent="0.3">
      <c r="A53" s="41" t="s">
        <v>129</v>
      </c>
      <c r="B53">
        <f>SUM($B$50:$E$52)/$A$54</f>
        <v>219127.33333333334</v>
      </c>
      <c r="C53">
        <f>SUM($B$50:$E$52)/$A$54</f>
        <v>219127.33333333334</v>
      </c>
      <c r="D53">
        <f>SUM($B$50:$E$52)/$A$54</f>
        <v>219127.33333333334</v>
      </c>
      <c r="E53">
        <f>SUM($B$50:$E$52)/$A$54</f>
        <v>219127.33333333334</v>
      </c>
      <c r="F53">
        <f>SUM($F$50:$I$52)/$A$54</f>
        <v>220142</v>
      </c>
      <c r="G53">
        <f>SUM($F$50:$I$52)/$A$54</f>
        <v>220142</v>
      </c>
      <c r="H53">
        <f>SUM($F$50:$I$52)/$A$54</f>
        <v>220142</v>
      </c>
      <c r="I53">
        <f>SUM($F$50:$I$52)/$A$54</f>
        <v>220142</v>
      </c>
      <c r="J53">
        <f>SUM($J$50:$M$52)/$A$54</f>
        <v>212849.33333333334</v>
      </c>
      <c r="K53">
        <f>SUM($J$50:$M$52)/$A$54</f>
        <v>212849.33333333334</v>
      </c>
      <c r="L53">
        <f>SUM($J$50:$M$52)/$A$54</f>
        <v>212849.33333333334</v>
      </c>
      <c r="M53">
        <f>SUM($J$50:$M$52)/$A$54</f>
        <v>212849.33333333334</v>
      </c>
      <c r="N53">
        <f>SUM($N$50:$Q$52)/$A$54</f>
        <v>213870.66666666666</v>
      </c>
      <c r="O53">
        <f>SUM($N$50:$Q$52)/$A$54</f>
        <v>213870.66666666666</v>
      </c>
      <c r="P53">
        <f>SUM($N$50:$Q$52)/$A$54</f>
        <v>213870.66666666666</v>
      </c>
      <c r="Q53">
        <f>SUM($N$50:$Q$52)/$A$54</f>
        <v>213870.66666666666</v>
      </c>
    </row>
    <row r="54" spans="1:17" x14ac:dyDescent="0.3">
      <c r="A54" s="41">
        <v>1.5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6" spans="1:17" x14ac:dyDescent="0.3">
      <c r="B56" s="11" t="s">
        <v>46</v>
      </c>
      <c r="C56" s="11" t="s">
        <v>47</v>
      </c>
      <c r="D56" s="11" t="s">
        <v>48</v>
      </c>
      <c r="E56" s="11" t="s">
        <v>49</v>
      </c>
      <c r="F56" s="11" t="s">
        <v>50</v>
      </c>
      <c r="G56" s="11" t="s">
        <v>51</v>
      </c>
      <c r="H56" s="11" t="s">
        <v>52</v>
      </c>
      <c r="I56" s="11" t="s">
        <v>53</v>
      </c>
      <c r="J56" s="11" t="s">
        <v>54</v>
      </c>
      <c r="K56" s="11" t="s">
        <v>55</v>
      </c>
      <c r="L56" s="11" t="s">
        <v>56</v>
      </c>
      <c r="M56" s="11" t="s">
        <v>57</v>
      </c>
      <c r="N56" s="11" t="s">
        <v>58</v>
      </c>
      <c r="O56" s="11" t="s">
        <v>59</v>
      </c>
      <c r="P56" s="11" t="s">
        <v>60</v>
      </c>
      <c r="Q56" s="11" t="s">
        <v>61</v>
      </c>
    </row>
  </sheetData>
  <sortState xmlns:xlrd2="http://schemas.microsoft.com/office/spreadsheetml/2017/richdata2" ref="R34:S45">
    <sortCondition descending="1" ref="R34:R45"/>
  </sortState>
  <mergeCells count="11">
    <mergeCell ref="G5:G7"/>
    <mergeCell ref="G8:G10"/>
    <mergeCell ref="G11:G13"/>
    <mergeCell ref="G14:G16"/>
    <mergeCell ref="N26:Y26"/>
    <mergeCell ref="T18:T19"/>
    <mergeCell ref="S16:W16"/>
    <mergeCell ref="B48:E48"/>
    <mergeCell ref="F48:I48"/>
    <mergeCell ref="J48:M48"/>
    <mergeCell ref="N48:Q48"/>
  </mergeCells>
  <phoneticPr fontId="4" type="noConversion"/>
  <hyperlinks>
    <hyperlink ref="N26" r:id="rId1" xr:uid="{AB3463E6-277D-4579-B6BA-09BF8B7F5A5A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63372-D6A0-468F-80BA-7296F0494E27}">
  <sheetPr codeName="Лист4"/>
  <dimension ref="A1:Y961"/>
  <sheetViews>
    <sheetView workbookViewId="0">
      <selection activeCell="N1" sqref="N1:Y1"/>
    </sheetView>
  </sheetViews>
  <sheetFormatPr defaultRowHeight="14.4" x14ac:dyDescent="0.3"/>
  <cols>
    <col min="2" max="2" width="10.5546875" customWidth="1"/>
    <col min="4" max="4" width="10" customWidth="1"/>
    <col min="6" max="6" width="9.33203125" bestFit="1" customWidth="1"/>
    <col min="9" max="9" width="13.5546875" bestFit="1" customWidth="1"/>
    <col min="10" max="10" width="15.77734375" bestFit="1" customWidth="1"/>
    <col min="11" max="11" width="15.5546875" bestFit="1" customWidth="1"/>
    <col min="12" max="12" width="12.21875" bestFit="1" customWidth="1"/>
  </cols>
  <sheetData>
    <row r="1" spans="1:25" ht="21" x14ac:dyDescent="0.4">
      <c r="A1" s="35" t="s">
        <v>17</v>
      </c>
      <c r="B1" s="35" t="s">
        <v>102</v>
      </c>
      <c r="C1" s="35" t="s">
        <v>25</v>
      </c>
      <c r="D1" s="35" t="s">
        <v>103</v>
      </c>
      <c r="E1" s="35" t="s">
        <v>100</v>
      </c>
      <c r="F1" s="35" t="s">
        <v>123</v>
      </c>
      <c r="G1" s="1" t="s">
        <v>118</v>
      </c>
      <c r="H1" s="35" t="s">
        <v>116</v>
      </c>
      <c r="I1" s="35" t="s">
        <v>9</v>
      </c>
      <c r="J1" s="35" t="s">
        <v>10</v>
      </c>
      <c r="K1" s="35" t="s">
        <v>138</v>
      </c>
      <c r="L1" s="35" t="s">
        <v>139</v>
      </c>
      <c r="N1" s="54" t="s">
        <v>147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</row>
    <row r="2" spans="1:25" x14ac:dyDescent="0.3">
      <c r="A2" s="23" t="s">
        <v>104</v>
      </c>
      <c r="B2" t="s">
        <v>19</v>
      </c>
      <c r="C2" s="38">
        <v>168</v>
      </c>
      <c r="D2" s="7">
        <v>16184</v>
      </c>
      <c r="E2" s="38">
        <v>980</v>
      </c>
      <c r="F2" s="39">
        <v>1.4300000000000001E-3</v>
      </c>
      <c r="G2" t="s">
        <v>0</v>
      </c>
      <c r="H2" s="23" t="s">
        <v>90</v>
      </c>
      <c r="I2" s="23">
        <v>11</v>
      </c>
      <c r="J2" s="23">
        <v>73</v>
      </c>
      <c r="K2" s="8">
        <v>0.26</v>
      </c>
      <c r="L2" s="8">
        <v>0.74</v>
      </c>
      <c r="M2">
        <f>K2/100</f>
        <v>2.5999999999999999E-3</v>
      </c>
    </row>
    <row r="3" spans="1:25" x14ac:dyDescent="0.3">
      <c r="A3" s="23" t="s">
        <v>104</v>
      </c>
      <c r="B3" t="s">
        <v>19</v>
      </c>
      <c r="C3" s="38">
        <v>526</v>
      </c>
      <c r="D3" s="7">
        <v>10021</v>
      </c>
      <c r="E3" s="38">
        <v>885</v>
      </c>
      <c r="F3" s="39">
        <v>3.2309999999999999E-3</v>
      </c>
      <c r="G3" t="s">
        <v>1</v>
      </c>
      <c r="H3" s="23" t="s">
        <v>90</v>
      </c>
      <c r="I3" s="23">
        <v>9</v>
      </c>
      <c r="J3" s="23">
        <v>58</v>
      </c>
      <c r="K3" s="8">
        <v>0.19</v>
      </c>
      <c r="L3" s="8">
        <v>0.81</v>
      </c>
      <c r="M3">
        <f t="shared" ref="M3:M66" si="0">K3/100</f>
        <v>1.9E-3</v>
      </c>
    </row>
    <row r="4" spans="1:25" x14ac:dyDescent="0.3">
      <c r="A4" s="23" t="s">
        <v>104</v>
      </c>
      <c r="B4" t="s">
        <v>19</v>
      </c>
      <c r="C4" s="38">
        <v>744</v>
      </c>
      <c r="D4" s="7">
        <v>29355</v>
      </c>
      <c r="E4" s="38">
        <v>1655</v>
      </c>
      <c r="F4" s="39">
        <v>2.0149999999999999E-3</v>
      </c>
      <c r="G4" t="s">
        <v>2</v>
      </c>
      <c r="H4" s="23" t="s">
        <v>90</v>
      </c>
      <c r="I4" s="23">
        <v>20</v>
      </c>
      <c r="J4" s="23">
        <v>22</v>
      </c>
      <c r="K4" s="8">
        <v>0.46</v>
      </c>
      <c r="L4" s="8">
        <v>0.54</v>
      </c>
      <c r="M4">
        <f t="shared" si="0"/>
        <v>4.5999999999999999E-3</v>
      </c>
    </row>
    <row r="5" spans="1:25" x14ac:dyDescent="0.3">
      <c r="A5" s="23" t="s">
        <v>104</v>
      </c>
      <c r="B5" t="s">
        <v>19</v>
      </c>
      <c r="C5" s="38">
        <v>1101</v>
      </c>
      <c r="D5" s="7">
        <v>23193</v>
      </c>
      <c r="E5" s="38">
        <v>1560</v>
      </c>
      <c r="F5" s="39">
        <v>3.4919999999999999E-3</v>
      </c>
      <c r="G5" t="s">
        <v>3</v>
      </c>
      <c r="H5" s="23" t="s">
        <v>90</v>
      </c>
      <c r="I5" s="23">
        <v>22</v>
      </c>
      <c r="J5" s="23">
        <v>57</v>
      </c>
      <c r="K5" s="8">
        <v>0.63</v>
      </c>
      <c r="L5" s="8">
        <v>0.37</v>
      </c>
      <c r="M5">
        <f t="shared" si="0"/>
        <v>6.3E-3</v>
      </c>
    </row>
    <row r="6" spans="1:25" x14ac:dyDescent="0.3">
      <c r="A6" s="23" t="s">
        <v>104</v>
      </c>
      <c r="B6" t="s">
        <v>20</v>
      </c>
      <c r="C6" s="38">
        <v>273</v>
      </c>
      <c r="D6" s="7">
        <v>46697</v>
      </c>
      <c r="E6" s="38">
        <v>2269</v>
      </c>
      <c r="F6" s="39">
        <v>4.4920000000000003E-3</v>
      </c>
      <c r="G6" t="s">
        <v>0</v>
      </c>
      <c r="H6" s="23" t="s">
        <v>90</v>
      </c>
      <c r="I6" s="23">
        <v>22</v>
      </c>
      <c r="J6" s="23">
        <v>61</v>
      </c>
      <c r="K6" s="8">
        <v>0.72</v>
      </c>
      <c r="L6" s="8">
        <v>0.28000000000000003</v>
      </c>
      <c r="M6">
        <f t="shared" si="0"/>
        <v>7.1999999999999998E-3</v>
      </c>
    </row>
    <row r="7" spans="1:25" x14ac:dyDescent="0.3">
      <c r="A7" s="23" t="s">
        <v>104</v>
      </c>
      <c r="B7" t="s">
        <v>20</v>
      </c>
      <c r="C7" s="38">
        <v>1047</v>
      </c>
      <c r="D7" s="7">
        <v>44881</v>
      </c>
      <c r="E7" s="38">
        <v>1452</v>
      </c>
      <c r="F7" s="39">
        <v>1.6869999999999999E-3</v>
      </c>
      <c r="G7" t="s">
        <v>1</v>
      </c>
      <c r="H7" s="23" t="s">
        <v>90</v>
      </c>
      <c r="I7" s="23">
        <v>20</v>
      </c>
      <c r="J7" s="23">
        <v>36</v>
      </c>
      <c r="K7" s="8">
        <v>0.52</v>
      </c>
      <c r="L7" s="8">
        <v>0.48</v>
      </c>
      <c r="M7">
        <f t="shared" si="0"/>
        <v>5.1999999999999998E-3</v>
      </c>
    </row>
    <row r="8" spans="1:25" x14ac:dyDescent="0.3">
      <c r="A8" s="23" t="s">
        <v>104</v>
      </c>
      <c r="B8" t="s">
        <v>20</v>
      </c>
      <c r="C8" s="38">
        <v>638</v>
      </c>
      <c r="D8" s="7">
        <v>31053</v>
      </c>
      <c r="E8" s="38">
        <v>1921</v>
      </c>
      <c r="F8" s="39">
        <v>4.3379999999999998E-3</v>
      </c>
      <c r="G8" t="s">
        <v>2</v>
      </c>
      <c r="H8" s="23" t="s">
        <v>90</v>
      </c>
      <c r="I8" s="23">
        <v>8</v>
      </c>
      <c r="J8" s="23">
        <v>53</v>
      </c>
      <c r="K8" s="8">
        <v>0.19</v>
      </c>
      <c r="L8" s="8">
        <v>0.81</v>
      </c>
      <c r="M8">
        <f t="shared" si="0"/>
        <v>1.9E-3</v>
      </c>
    </row>
    <row r="9" spans="1:25" x14ac:dyDescent="0.3">
      <c r="A9" s="23" t="s">
        <v>104</v>
      </c>
      <c r="B9" t="s">
        <v>20</v>
      </c>
      <c r="C9" s="38">
        <v>1413</v>
      </c>
      <c r="D9" s="7">
        <v>29237</v>
      </c>
      <c r="E9" s="38">
        <v>1104</v>
      </c>
      <c r="F9" s="39">
        <v>2.1619999999999999E-3</v>
      </c>
      <c r="G9" t="s">
        <v>3</v>
      </c>
      <c r="H9" s="23" t="s">
        <v>90</v>
      </c>
      <c r="I9" s="23">
        <v>9</v>
      </c>
      <c r="J9" s="23">
        <v>60</v>
      </c>
      <c r="K9" s="8">
        <v>0.32</v>
      </c>
      <c r="L9" s="8">
        <v>0.67999999999999994</v>
      </c>
      <c r="M9">
        <f t="shared" si="0"/>
        <v>3.2000000000000002E-3</v>
      </c>
    </row>
    <row r="10" spans="1:25" x14ac:dyDescent="0.3">
      <c r="A10" s="23" t="s">
        <v>104</v>
      </c>
      <c r="B10" t="s">
        <v>22</v>
      </c>
      <c r="C10" s="38">
        <v>120</v>
      </c>
      <c r="D10" s="7">
        <v>18708</v>
      </c>
      <c r="E10" s="38">
        <v>418</v>
      </c>
      <c r="F10" s="39">
        <v>2.4480000000000001E-3</v>
      </c>
      <c r="G10" t="s">
        <v>0</v>
      </c>
      <c r="H10" s="23" t="s">
        <v>90</v>
      </c>
      <c r="I10" s="23">
        <v>20</v>
      </c>
      <c r="J10" s="23">
        <v>12</v>
      </c>
      <c r="K10" s="8">
        <v>0.17</v>
      </c>
      <c r="L10" s="8">
        <v>0.83</v>
      </c>
      <c r="M10">
        <f t="shared" si="0"/>
        <v>1.7000000000000001E-3</v>
      </c>
    </row>
    <row r="11" spans="1:25" x14ac:dyDescent="0.3">
      <c r="A11" s="23" t="s">
        <v>104</v>
      </c>
      <c r="B11" t="s">
        <v>22</v>
      </c>
      <c r="C11" s="38">
        <v>256</v>
      </c>
      <c r="D11" s="7">
        <v>23390</v>
      </c>
      <c r="E11" s="38">
        <v>738</v>
      </c>
      <c r="F11" s="39">
        <v>5.2189999999999997E-3</v>
      </c>
      <c r="G11" t="s">
        <v>1</v>
      </c>
      <c r="H11" s="23" t="s">
        <v>90</v>
      </c>
      <c r="I11" s="23">
        <v>1</v>
      </c>
      <c r="J11" s="23">
        <v>72</v>
      </c>
      <c r="K11" s="8">
        <v>0.66</v>
      </c>
      <c r="L11" s="8">
        <v>0.33999999999999997</v>
      </c>
      <c r="M11">
        <f t="shared" si="0"/>
        <v>6.6E-3</v>
      </c>
    </row>
    <row r="12" spans="1:25" x14ac:dyDescent="0.3">
      <c r="A12" s="23" t="s">
        <v>104</v>
      </c>
      <c r="B12" t="s">
        <v>22</v>
      </c>
      <c r="C12" s="38">
        <v>300</v>
      </c>
      <c r="D12" s="7">
        <v>26395</v>
      </c>
      <c r="E12" s="38">
        <v>376</v>
      </c>
      <c r="F12" s="39">
        <v>2.565E-3</v>
      </c>
      <c r="G12" t="s">
        <v>2</v>
      </c>
      <c r="H12" s="23" t="s">
        <v>90</v>
      </c>
      <c r="I12" s="23">
        <v>19</v>
      </c>
      <c r="J12" s="23">
        <v>67</v>
      </c>
      <c r="K12" s="8">
        <v>0.76</v>
      </c>
      <c r="L12" s="8">
        <v>0.24</v>
      </c>
      <c r="M12">
        <f t="shared" si="0"/>
        <v>7.6E-3</v>
      </c>
    </row>
    <row r="13" spans="1:25" x14ac:dyDescent="0.3">
      <c r="A13" s="23" t="s">
        <v>104</v>
      </c>
      <c r="B13" t="s">
        <v>22</v>
      </c>
      <c r="C13" s="38">
        <v>436</v>
      </c>
      <c r="D13" s="7">
        <v>31077</v>
      </c>
      <c r="E13" s="38">
        <v>695</v>
      </c>
      <c r="F13" s="39">
        <v>3.643E-3</v>
      </c>
      <c r="G13" t="s">
        <v>3</v>
      </c>
      <c r="H13" s="23" t="s">
        <v>90</v>
      </c>
      <c r="I13" s="23">
        <v>15</v>
      </c>
      <c r="J13" s="23">
        <v>22</v>
      </c>
      <c r="K13" s="8">
        <v>0.67</v>
      </c>
      <c r="L13" s="8">
        <v>0.32999999999999996</v>
      </c>
      <c r="M13">
        <f t="shared" si="0"/>
        <v>6.7000000000000002E-3</v>
      </c>
    </row>
    <row r="14" spans="1:25" x14ac:dyDescent="0.3">
      <c r="A14" s="23" t="s">
        <v>104</v>
      </c>
      <c r="B14" t="s">
        <v>21</v>
      </c>
      <c r="C14" s="38">
        <v>170</v>
      </c>
      <c r="D14" s="7">
        <v>7628</v>
      </c>
      <c r="E14" s="38">
        <v>626</v>
      </c>
      <c r="F14" s="39">
        <v>4.4070000000000003E-3</v>
      </c>
      <c r="G14" t="s">
        <v>0</v>
      </c>
      <c r="H14" s="23" t="s">
        <v>90</v>
      </c>
      <c r="I14" s="23">
        <v>1</v>
      </c>
      <c r="J14" s="23">
        <v>9</v>
      </c>
      <c r="K14" s="8">
        <v>0.33</v>
      </c>
      <c r="L14" s="8">
        <v>0.66999999999999993</v>
      </c>
      <c r="M14">
        <f t="shared" si="0"/>
        <v>3.3E-3</v>
      </c>
    </row>
    <row r="15" spans="1:25" x14ac:dyDescent="0.3">
      <c r="A15" s="23" t="s">
        <v>104</v>
      </c>
      <c r="B15" t="s">
        <v>21</v>
      </c>
      <c r="C15" s="38">
        <v>398</v>
      </c>
      <c r="D15" s="7">
        <v>25087</v>
      </c>
      <c r="E15" s="38">
        <v>110</v>
      </c>
      <c r="F15" s="39">
        <v>5.3319999999999999E-3</v>
      </c>
      <c r="G15" t="s">
        <v>1</v>
      </c>
      <c r="H15" s="23" t="s">
        <v>90</v>
      </c>
      <c r="I15" s="23">
        <v>4</v>
      </c>
      <c r="J15" s="23">
        <v>34</v>
      </c>
      <c r="K15" s="8">
        <v>0.7</v>
      </c>
      <c r="L15" s="8">
        <v>0.30000000000000004</v>
      </c>
      <c r="M15">
        <f t="shared" si="0"/>
        <v>6.9999999999999993E-3</v>
      </c>
    </row>
    <row r="16" spans="1:25" x14ac:dyDescent="0.3">
      <c r="A16" s="23" t="s">
        <v>104</v>
      </c>
      <c r="B16" t="s">
        <v>21</v>
      </c>
      <c r="C16" s="38">
        <v>329</v>
      </c>
      <c r="D16" s="7">
        <v>20487</v>
      </c>
      <c r="E16" s="38">
        <v>1345</v>
      </c>
      <c r="F16" s="39">
        <v>3.5249999999999999E-3</v>
      </c>
      <c r="G16" t="s">
        <v>2</v>
      </c>
      <c r="H16" s="23" t="s">
        <v>90</v>
      </c>
      <c r="I16" s="23">
        <v>2</v>
      </c>
      <c r="J16" s="23">
        <v>11</v>
      </c>
      <c r="K16" s="8">
        <v>0.7</v>
      </c>
      <c r="L16" s="8">
        <v>0.30000000000000004</v>
      </c>
      <c r="M16">
        <f t="shared" si="0"/>
        <v>6.9999999999999993E-3</v>
      </c>
    </row>
    <row r="17" spans="1:13" x14ac:dyDescent="0.3">
      <c r="A17" s="23" t="s">
        <v>104</v>
      </c>
      <c r="B17" t="s">
        <v>21</v>
      </c>
      <c r="C17" s="38">
        <v>557</v>
      </c>
      <c r="D17" s="7">
        <v>37946</v>
      </c>
      <c r="E17" s="38">
        <v>829</v>
      </c>
      <c r="F17" s="39">
        <v>4.6579999999999998E-3</v>
      </c>
      <c r="G17" t="s">
        <v>3</v>
      </c>
      <c r="H17" s="23" t="s">
        <v>90</v>
      </c>
      <c r="I17" s="23">
        <v>23</v>
      </c>
      <c r="J17" s="23">
        <v>35</v>
      </c>
      <c r="K17" s="8">
        <v>0.6</v>
      </c>
      <c r="L17" s="8">
        <v>0.4</v>
      </c>
      <c r="M17">
        <f t="shared" si="0"/>
        <v>6.0000000000000001E-3</v>
      </c>
    </row>
    <row r="18" spans="1:13" x14ac:dyDescent="0.3">
      <c r="A18" s="23" t="s">
        <v>104</v>
      </c>
      <c r="B18" t="s">
        <v>23</v>
      </c>
      <c r="C18" s="38">
        <v>197</v>
      </c>
      <c r="D18" s="7">
        <v>3964</v>
      </c>
      <c r="E18" s="38">
        <v>30</v>
      </c>
      <c r="F18" s="39">
        <v>4.3410000000000002E-3</v>
      </c>
      <c r="G18" t="s">
        <v>0</v>
      </c>
      <c r="H18" s="23" t="s">
        <v>90</v>
      </c>
      <c r="I18" s="23">
        <v>20</v>
      </c>
      <c r="J18" s="23">
        <v>21</v>
      </c>
      <c r="K18" s="8">
        <v>0.64</v>
      </c>
      <c r="L18" s="8">
        <v>0.36</v>
      </c>
      <c r="M18">
        <f t="shared" si="0"/>
        <v>6.4000000000000003E-3</v>
      </c>
    </row>
    <row r="19" spans="1:13" x14ac:dyDescent="0.3">
      <c r="A19" s="23" t="s">
        <v>104</v>
      </c>
      <c r="B19" t="s">
        <v>23</v>
      </c>
      <c r="C19" s="38">
        <v>134</v>
      </c>
      <c r="D19" s="7">
        <v>11262</v>
      </c>
      <c r="E19" s="38">
        <v>532</v>
      </c>
      <c r="F19" s="39">
        <v>5.0439999999999999E-3</v>
      </c>
      <c r="G19" t="s">
        <v>1</v>
      </c>
      <c r="H19" s="23" t="s">
        <v>90</v>
      </c>
      <c r="I19" s="23">
        <v>13</v>
      </c>
      <c r="J19" s="23">
        <v>49</v>
      </c>
      <c r="K19" s="8">
        <v>0.56999999999999995</v>
      </c>
      <c r="L19" s="8">
        <v>0.43000000000000005</v>
      </c>
      <c r="M19">
        <f t="shared" si="0"/>
        <v>5.6999999999999993E-3</v>
      </c>
    </row>
    <row r="20" spans="1:13" x14ac:dyDescent="0.3">
      <c r="A20" s="23" t="s">
        <v>104</v>
      </c>
      <c r="B20" t="s">
        <v>23</v>
      </c>
      <c r="C20" s="38">
        <v>199</v>
      </c>
      <c r="D20" s="7">
        <v>2590</v>
      </c>
      <c r="E20" s="38">
        <v>136</v>
      </c>
      <c r="F20" s="39">
        <v>3.8119999999999999E-3</v>
      </c>
      <c r="G20" t="s">
        <v>2</v>
      </c>
      <c r="H20" s="23" t="s">
        <v>90</v>
      </c>
      <c r="I20" s="23">
        <v>21</v>
      </c>
      <c r="J20" s="23">
        <v>19</v>
      </c>
      <c r="K20" s="8">
        <v>0.31</v>
      </c>
      <c r="L20" s="8">
        <v>0.69</v>
      </c>
      <c r="M20">
        <f t="shared" si="0"/>
        <v>3.0999999999999999E-3</v>
      </c>
    </row>
    <row r="21" spans="1:13" x14ac:dyDescent="0.3">
      <c r="A21" s="23" t="s">
        <v>104</v>
      </c>
      <c r="B21" t="s">
        <v>23</v>
      </c>
      <c r="C21" s="38">
        <v>136</v>
      </c>
      <c r="D21" s="7">
        <v>9888</v>
      </c>
      <c r="E21" s="38">
        <v>638</v>
      </c>
      <c r="F21" s="39">
        <v>4.8139999999999997E-3</v>
      </c>
      <c r="G21" t="s">
        <v>3</v>
      </c>
      <c r="H21" s="23" t="s">
        <v>90</v>
      </c>
      <c r="I21" s="23">
        <v>5</v>
      </c>
      <c r="J21" s="23">
        <v>59</v>
      </c>
      <c r="K21" s="8">
        <v>0.14000000000000001</v>
      </c>
      <c r="L21" s="8">
        <v>0.86</v>
      </c>
      <c r="M21">
        <f t="shared" si="0"/>
        <v>1.4000000000000002E-3</v>
      </c>
    </row>
    <row r="22" spans="1:13" x14ac:dyDescent="0.3">
      <c r="A22" s="23" t="s">
        <v>104</v>
      </c>
      <c r="B22" t="s">
        <v>24</v>
      </c>
      <c r="C22" s="38">
        <v>153</v>
      </c>
      <c r="D22" s="7">
        <v>15534</v>
      </c>
      <c r="E22" s="38">
        <v>270</v>
      </c>
      <c r="F22" s="39">
        <v>3.4510000000000001E-3</v>
      </c>
      <c r="G22" t="s">
        <v>0</v>
      </c>
      <c r="H22" s="23" t="s">
        <v>90</v>
      </c>
      <c r="I22" s="23">
        <v>22</v>
      </c>
      <c r="J22" s="23">
        <v>29</v>
      </c>
      <c r="K22" s="8">
        <v>0.51</v>
      </c>
      <c r="L22" s="8">
        <v>0.49</v>
      </c>
      <c r="M22">
        <f t="shared" si="0"/>
        <v>5.1000000000000004E-3</v>
      </c>
    </row>
    <row r="23" spans="1:13" x14ac:dyDescent="0.3">
      <c r="A23" s="23" t="s">
        <v>104</v>
      </c>
      <c r="B23" t="s">
        <v>24</v>
      </c>
      <c r="C23" s="38">
        <v>44</v>
      </c>
      <c r="D23" s="7">
        <v>11913</v>
      </c>
      <c r="E23" s="38">
        <v>275</v>
      </c>
      <c r="F23" s="39">
        <v>1.5560000000000001E-3</v>
      </c>
      <c r="G23" t="s">
        <v>1</v>
      </c>
      <c r="H23" s="23" t="s">
        <v>90</v>
      </c>
      <c r="I23" s="23">
        <v>2</v>
      </c>
      <c r="J23" s="23">
        <v>73</v>
      </c>
      <c r="K23" s="8">
        <v>0.89</v>
      </c>
      <c r="L23" s="8">
        <v>0.10999999999999999</v>
      </c>
      <c r="M23">
        <f t="shared" si="0"/>
        <v>8.8999999999999999E-3</v>
      </c>
    </row>
    <row r="24" spans="1:13" x14ac:dyDescent="0.3">
      <c r="A24" s="23" t="s">
        <v>104</v>
      </c>
      <c r="B24" t="s">
        <v>24</v>
      </c>
      <c r="C24" s="38">
        <v>208</v>
      </c>
      <c r="D24" s="7">
        <v>17066</v>
      </c>
      <c r="E24" s="38">
        <v>229</v>
      </c>
      <c r="F24" s="39">
        <v>3.921E-3</v>
      </c>
      <c r="G24" t="s">
        <v>2</v>
      </c>
      <c r="H24" s="23" t="s">
        <v>90</v>
      </c>
      <c r="I24" s="23">
        <v>1</v>
      </c>
      <c r="J24" s="23">
        <v>16</v>
      </c>
      <c r="K24" s="8">
        <v>0.33</v>
      </c>
      <c r="L24" s="8">
        <v>0.66999999999999993</v>
      </c>
      <c r="M24">
        <f t="shared" si="0"/>
        <v>3.3E-3</v>
      </c>
    </row>
    <row r="25" spans="1:13" x14ac:dyDescent="0.3">
      <c r="A25" s="23" t="s">
        <v>104</v>
      </c>
      <c r="B25" t="s">
        <v>24</v>
      </c>
      <c r="C25" s="38">
        <v>98</v>
      </c>
      <c r="D25" s="7">
        <v>13445</v>
      </c>
      <c r="E25" s="38">
        <v>234</v>
      </c>
      <c r="F25" s="39">
        <v>5.0949999999999997E-3</v>
      </c>
      <c r="G25" t="s">
        <v>3</v>
      </c>
      <c r="H25" s="23" t="s">
        <v>90</v>
      </c>
      <c r="I25" s="23">
        <v>10</v>
      </c>
      <c r="J25" s="23">
        <v>28</v>
      </c>
      <c r="K25" s="8">
        <v>0.47</v>
      </c>
      <c r="L25" s="8">
        <v>0.53</v>
      </c>
      <c r="M25">
        <f t="shared" si="0"/>
        <v>4.6999999999999993E-3</v>
      </c>
    </row>
    <row r="26" spans="1:13" x14ac:dyDescent="0.3">
      <c r="A26" s="23" t="s">
        <v>104</v>
      </c>
      <c r="B26" t="s">
        <v>19</v>
      </c>
      <c r="C26" s="38">
        <v>609</v>
      </c>
      <c r="D26" s="7">
        <v>10004</v>
      </c>
      <c r="E26" s="38">
        <v>1496</v>
      </c>
      <c r="F26" s="39">
        <v>4.2649999999999997E-3</v>
      </c>
      <c r="G26" t="s">
        <v>0</v>
      </c>
      <c r="H26" s="23" t="s">
        <v>89</v>
      </c>
      <c r="I26" s="23">
        <v>22</v>
      </c>
      <c r="J26" s="23">
        <v>73</v>
      </c>
      <c r="K26" s="8">
        <v>0.8</v>
      </c>
      <c r="L26" s="8">
        <v>0.19999999999999996</v>
      </c>
      <c r="M26">
        <f t="shared" si="0"/>
        <v>8.0000000000000002E-3</v>
      </c>
    </row>
    <row r="27" spans="1:13" x14ac:dyDescent="0.3">
      <c r="A27" s="23" t="s">
        <v>104</v>
      </c>
      <c r="B27" t="s">
        <v>19</v>
      </c>
      <c r="C27" s="38">
        <v>700</v>
      </c>
      <c r="D27" s="7">
        <v>5492</v>
      </c>
      <c r="E27" s="38">
        <v>330</v>
      </c>
      <c r="F27" s="39">
        <v>4.5900000000000003E-3</v>
      </c>
      <c r="G27" t="s">
        <v>1</v>
      </c>
      <c r="H27" s="23" t="s">
        <v>89</v>
      </c>
      <c r="I27" s="23">
        <v>14</v>
      </c>
      <c r="J27" s="23">
        <v>17</v>
      </c>
      <c r="K27" s="8">
        <v>0.34</v>
      </c>
      <c r="L27" s="8">
        <v>0.65999999999999992</v>
      </c>
      <c r="M27">
        <f t="shared" si="0"/>
        <v>3.4000000000000002E-3</v>
      </c>
    </row>
    <row r="28" spans="1:13" x14ac:dyDescent="0.3">
      <c r="A28" s="23" t="s">
        <v>104</v>
      </c>
      <c r="B28" t="s">
        <v>19</v>
      </c>
      <c r="C28" s="38">
        <v>136</v>
      </c>
      <c r="D28" s="7">
        <v>20455</v>
      </c>
      <c r="E28" s="38">
        <v>1343</v>
      </c>
      <c r="F28" s="39">
        <v>4.8120000000000003E-3</v>
      </c>
      <c r="G28" t="s">
        <v>2</v>
      </c>
      <c r="H28" s="23" t="s">
        <v>89</v>
      </c>
      <c r="I28" s="23">
        <v>9</v>
      </c>
      <c r="J28" s="23">
        <v>10</v>
      </c>
      <c r="K28" s="8">
        <v>0.72</v>
      </c>
      <c r="L28" s="8">
        <v>0.28000000000000003</v>
      </c>
      <c r="M28">
        <f t="shared" si="0"/>
        <v>7.1999999999999998E-3</v>
      </c>
    </row>
    <row r="29" spans="1:13" x14ac:dyDescent="0.3">
      <c r="A29" s="23" t="s">
        <v>104</v>
      </c>
      <c r="B29" t="s">
        <v>19</v>
      </c>
      <c r="C29" s="38">
        <v>227</v>
      </c>
      <c r="D29" s="7">
        <v>15943</v>
      </c>
      <c r="E29" s="38">
        <v>177</v>
      </c>
      <c r="F29" s="39">
        <v>4.6839999999999998E-3</v>
      </c>
      <c r="G29" t="s">
        <v>3</v>
      </c>
      <c r="H29" s="23" t="s">
        <v>89</v>
      </c>
      <c r="I29" s="23">
        <v>4</v>
      </c>
      <c r="J29" s="23">
        <v>25</v>
      </c>
      <c r="K29" s="8">
        <v>0.51</v>
      </c>
      <c r="L29" s="8">
        <v>0.49</v>
      </c>
      <c r="M29">
        <f t="shared" si="0"/>
        <v>5.1000000000000004E-3</v>
      </c>
    </row>
    <row r="30" spans="1:13" x14ac:dyDescent="0.3">
      <c r="A30" s="23" t="s">
        <v>104</v>
      </c>
      <c r="B30" t="s">
        <v>20</v>
      </c>
      <c r="C30" s="38">
        <v>226</v>
      </c>
      <c r="D30" s="7">
        <v>21110</v>
      </c>
      <c r="E30" s="38">
        <v>417</v>
      </c>
      <c r="F30" s="39">
        <v>3.1410000000000001E-3</v>
      </c>
      <c r="G30" t="s">
        <v>0</v>
      </c>
      <c r="H30" s="23" t="s">
        <v>89</v>
      </c>
      <c r="I30" s="23">
        <v>10</v>
      </c>
      <c r="J30" s="23">
        <v>49</v>
      </c>
      <c r="K30" s="8">
        <v>0.18</v>
      </c>
      <c r="L30" s="8">
        <v>0.82000000000000006</v>
      </c>
      <c r="M30">
        <f t="shared" si="0"/>
        <v>1.8E-3</v>
      </c>
    </row>
    <row r="31" spans="1:13" x14ac:dyDescent="0.3">
      <c r="A31" s="23" t="s">
        <v>104</v>
      </c>
      <c r="B31" t="s">
        <v>20</v>
      </c>
      <c r="C31" s="38">
        <v>505</v>
      </c>
      <c r="D31" s="7">
        <v>19038</v>
      </c>
      <c r="E31" s="38">
        <v>230</v>
      </c>
      <c r="F31" s="39">
        <v>1.4319999999999999E-3</v>
      </c>
      <c r="G31" t="s">
        <v>1</v>
      </c>
      <c r="H31" s="23" t="s">
        <v>89</v>
      </c>
      <c r="I31" s="23">
        <v>4</v>
      </c>
      <c r="J31" s="23">
        <v>75</v>
      </c>
      <c r="K31" s="8">
        <v>0.3</v>
      </c>
      <c r="L31" s="8">
        <v>0.7</v>
      </c>
      <c r="M31">
        <f t="shared" si="0"/>
        <v>3.0000000000000001E-3</v>
      </c>
    </row>
    <row r="32" spans="1:13" x14ac:dyDescent="0.3">
      <c r="A32" s="23" t="s">
        <v>104</v>
      </c>
      <c r="B32" t="s">
        <v>20</v>
      </c>
      <c r="C32" s="38">
        <v>605</v>
      </c>
      <c r="D32" s="7">
        <v>30992</v>
      </c>
      <c r="E32" s="38">
        <v>1991</v>
      </c>
      <c r="F32" s="39">
        <v>1.8569999999999999E-3</v>
      </c>
      <c r="G32" t="s">
        <v>2</v>
      </c>
      <c r="H32" s="23" t="s">
        <v>89</v>
      </c>
      <c r="I32" s="23">
        <v>21</v>
      </c>
      <c r="J32" s="23">
        <v>67</v>
      </c>
      <c r="K32" s="8">
        <v>0.71</v>
      </c>
      <c r="L32" s="8">
        <v>0.29000000000000004</v>
      </c>
      <c r="M32">
        <f t="shared" si="0"/>
        <v>7.0999999999999995E-3</v>
      </c>
    </row>
    <row r="33" spans="1:13" x14ac:dyDescent="0.3">
      <c r="A33" s="23" t="s">
        <v>104</v>
      </c>
      <c r="B33" t="s">
        <v>20</v>
      </c>
      <c r="C33" s="38">
        <v>884</v>
      </c>
      <c r="D33" s="7">
        <v>28920</v>
      </c>
      <c r="E33" s="38">
        <v>1805</v>
      </c>
      <c r="F33" s="39">
        <v>1.789E-3</v>
      </c>
      <c r="G33" t="s">
        <v>3</v>
      </c>
      <c r="H33" s="23" t="s">
        <v>89</v>
      </c>
      <c r="I33" s="23">
        <v>15</v>
      </c>
      <c r="J33" s="23">
        <v>38</v>
      </c>
      <c r="K33" s="8">
        <v>0.3</v>
      </c>
      <c r="L33" s="8">
        <v>0.7</v>
      </c>
      <c r="M33">
        <f t="shared" si="0"/>
        <v>3.0000000000000001E-3</v>
      </c>
    </row>
    <row r="34" spans="1:13" x14ac:dyDescent="0.3">
      <c r="A34" s="23" t="s">
        <v>104</v>
      </c>
      <c r="B34" t="s">
        <v>22</v>
      </c>
      <c r="C34" s="38">
        <v>156</v>
      </c>
      <c r="D34" s="7">
        <v>32002</v>
      </c>
      <c r="E34" s="38">
        <v>122</v>
      </c>
      <c r="F34" s="39">
        <v>2.2469999999999999E-3</v>
      </c>
      <c r="G34" t="s">
        <v>0</v>
      </c>
      <c r="H34" s="23" t="s">
        <v>89</v>
      </c>
      <c r="I34" s="23">
        <v>1</v>
      </c>
      <c r="J34" s="23">
        <v>17</v>
      </c>
      <c r="K34" s="8">
        <v>0.84</v>
      </c>
      <c r="L34" s="8">
        <v>0.16000000000000003</v>
      </c>
      <c r="M34">
        <f t="shared" si="0"/>
        <v>8.3999999999999995E-3</v>
      </c>
    </row>
    <row r="35" spans="1:13" x14ac:dyDescent="0.3">
      <c r="A35" s="23" t="s">
        <v>104</v>
      </c>
      <c r="B35" t="s">
        <v>22</v>
      </c>
      <c r="C35" s="38">
        <v>318</v>
      </c>
      <c r="D35" s="7">
        <v>22897</v>
      </c>
      <c r="E35" s="38">
        <v>438</v>
      </c>
      <c r="F35" s="39">
        <v>3.8899999999999998E-3</v>
      </c>
      <c r="G35" t="s">
        <v>1</v>
      </c>
      <c r="H35" s="23" t="s">
        <v>89</v>
      </c>
      <c r="I35" s="23">
        <v>3</v>
      </c>
      <c r="J35" s="23">
        <v>27</v>
      </c>
      <c r="K35" s="8">
        <v>0.79</v>
      </c>
      <c r="L35" s="8">
        <v>0.20999999999999996</v>
      </c>
      <c r="M35">
        <f t="shared" si="0"/>
        <v>7.9000000000000008E-3</v>
      </c>
    </row>
    <row r="36" spans="1:13" x14ac:dyDescent="0.3">
      <c r="A36" s="23" t="s">
        <v>104</v>
      </c>
      <c r="B36" t="s">
        <v>22</v>
      </c>
      <c r="C36" s="38">
        <v>48</v>
      </c>
      <c r="D36" s="7">
        <v>9904</v>
      </c>
      <c r="E36" s="38">
        <v>295</v>
      </c>
      <c r="F36" s="39">
        <v>3.9410000000000001E-3</v>
      </c>
      <c r="G36" t="s">
        <v>2</v>
      </c>
      <c r="H36" s="23" t="s">
        <v>89</v>
      </c>
      <c r="I36" s="23">
        <v>3</v>
      </c>
      <c r="J36" s="23">
        <v>57</v>
      </c>
      <c r="K36" s="8">
        <v>0.2</v>
      </c>
      <c r="L36" s="8">
        <v>0.8</v>
      </c>
      <c r="M36">
        <f t="shared" si="0"/>
        <v>2E-3</v>
      </c>
    </row>
    <row r="37" spans="1:13" x14ac:dyDescent="0.3">
      <c r="A37" s="23" t="s">
        <v>104</v>
      </c>
      <c r="B37" t="s">
        <v>22</v>
      </c>
      <c r="C37" s="38">
        <v>210</v>
      </c>
      <c r="D37" s="7">
        <v>799</v>
      </c>
      <c r="E37" s="38">
        <v>611</v>
      </c>
      <c r="F37" s="39">
        <v>1.4139999999999999E-3</v>
      </c>
      <c r="G37" t="s">
        <v>3</v>
      </c>
      <c r="H37" s="23" t="s">
        <v>89</v>
      </c>
      <c r="I37" s="23">
        <v>1</v>
      </c>
      <c r="J37" s="23">
        <v>7</v>
      </c>
      <c r="K37" s="8">
        <v>0.67</v>
      </c>
      <c r="L37" s="8">
        <v>0.32999999999999996</v>
      </c>
      <c r="M37">
        <f t="shared" si="0"/>
        <v>6.7000000000000002E-3</v>
      </c>
    </row>
    <row r="38" spans="1:13" x14ac:dyDescent="0.3">
      <c r="A38" s="23" t="s">
        <v>104</v>
      </c>
      <c r="B38" t="s">
        <v>21</v>
      </c>
      <c r="C38" s="38">
        <v>296</v>
      </c>
      <c r="D38" s="7">
        <v>17284</v>
      </c>
      <c r="E38" s="38">
        <v>482</v>
      </c>
      <c r="F38" s="39">
        <v>4.1130000000000003E-3</v>
      </c>
      <c r="G38" t="s">
        <v>0</v>
      </c>
      <c r="H38" s="23" t="s">
        <v>89</v>
      </c>
      <c r="I38" s="23">
        <v>14</v>
      </c>
      <c r="J38" s="23">
        <v>22</v>
      </c>
      <c r="K38" s="8">
        <v>0.2</v>
      </c>
      <c r="L38" s="8">
        <v>0.8</v>
      </c>
      <c r="M38">
        <f t="shared" si="0"/>
        <v>2E-3</v>
      </c>
    </row>
    <row r="39" spans="1:13" x14ac:dyDescent="0.3">
      <c r="A39" s="23" t="s">
        <v>104</v>
      </c>
      <c r="B39" t="s">
        <v>21</v>
      </c>
      <c r="C39" s="38">
        <v>275</v>
      </c>
      <c r="D39" s="7">
        <v>13536</v>
      </c>
      <c r="E39" s="38">
        <v>782</v>
      </c>
      <c r="F39" s="39">
        <v>3.0730000000000002E-3</v>
      </c>
      <c r="G39" t="s">
        <v>1</v>
      </c>
      <c r="H39" s="23" t="s">
        <v>89</v>
      </c>
      <c r="I39" s="23">
        <v>1</v>
      </c>
      <c r="J39" s="23">
        <v>31</v>
      </c>
      <c r="K39" s="8">
        <v>0.36</v>
      </c>
      <c r="L39" s="8">
        <v>0.64</v>
      </c>
      <c r="M39">
        <f t="shared" si="0"/>
        <v>3.5999999999999999E-3</v>
      </c>
    </row>
    <row r="40" spans="1:13" x14ac:dyDescent="0.3">
      <c r="A40" s="23" t="s">
        <v>104</v>
      </c>
      <c r="B40" t="s">
        <v>21</v>
      </c>
      <c r="C40" s="38">
        <v>204</v>
      </c>
      <c r="D40" s="7">
        <v>16491</v>
      </c>
      <c r="E40" s="38">
        <v>177</v>
      </c>
      <c r="F40" s="39">
        <v>1.4109999999999999E-3</v>
      </c>
      <c r="G40" t="s">
        <v>2</v>
      </c>
      <c r="H40" s="23" t="s">
        <v>89</v>
      </c>
      <c r="I40" s="23">
        <v>13</v>
      </c>
      <c r="J40" s="23">
        <v>15</v>
      </c>
      <c r="K40" s="8">
        <v>0.28999999999999998</v>
      </c>
      <c r="L40" s="8">
        <v>0.71</v>
      </c>
      <c r="M40">
        <f t="shared" si="0"/>
        <v>2.8999999999999998E-3</v>
      </c>
    </row>
    <row r="41" spans="1:13" x14ac:dyDescent="0.3">
      <c r="A41" s="23" t="s">
        <v>104</v>
      </c>
      <c r="B41" t="s">
        <v>21</v>
      </c>
      <c r="C41" s="38">
        <v>183</v>
      </c>
      <c r="D41" s="7">
        <v>12743</v>
      </c>
      <c r="E41" s="38">
        <v>477</v>
      </c>
      <c r="F41" s="39">
        <v>1.4009999999999999E-3</v>
      </c>
      <c r="G41" t="s">
        <v>3</v>
      </c>
      <c r="H41" s="23" t="s">
        <v>89</v>
      </c>
      <c r="I41" s="23">
        <v>16</v>
      </c>
      <c r="J41" s="23">
        <v>14</v>
      </c>
      <c r="K41" s="8">
        <v>0.62</v>
      </c>
      <c r="L41" s="8">
        <v>0.38</v>
      </c>
      <c r="M41">
        <f t="shared" si="0"/>
        <v>6.1999999999999998E-3</v>
      </c>
    </row>
    <row r="42" spans="1:13" x14ac:dyDescent="0.3">
      <c r="A42" s="23" t="s">
        <v>104</v>
      </c>
      <c r="B42" t="s">
        <v>23</v>
      </c>
      <c r="C42" s="38">
        <v>37</v>
      </c>
      <c r="D42" s="7">
        <v>5855</v>
      </c>
      <c r="E42" s="38">
        <v>196</v>
      </c>
      <c r="F42" s="39">
        <v>2.6129999999999999E-3</v>
      </c>
      <c r="G42" t="s">
        <v>0</v>
      </c>
      <c r="H42" s="23" t="s">
        <v>89</v>
      </c>
      <c r="I42" s="23">
        <v>16</v>
      </c>
      <c r="J42" s="23">
        <v>10</v>
      </c>
      <c r="K42" s="8">
        <v>0.88</v>
      </c>
      <c r="L42" s="8">
        <v>0.12</v>
      </c>
      <c r="M42">
        <f t="shared" si="0"/>
        <v>8.8000000000000005E-3</v>
      </c>
    </row>
    <row r="43" spans="1:13" x14ac:dyDescent="0.3">
      <c r="A43" s="23" t="s">
        <v>104</v>
      </c>
      <c r="B43" t="s">
        <v>23</v>
      </c>
      <c r="C43" s="38">
        <v>71</v>
      </c>
      <c r="D43" s="7">
        <v>2927</v>
      </c>
      <c r="E43" s="38">
        <v>105</v>
      </c>
      <c r="F43" s="39">
        <v>3.398E-3</v>
      </c>
      <c r="G43" t="s">
        <v>1</v>
      </c>
      <c r="H43" s="23" t="s">
        <v>89</v>
      </c>
      <c r="I43" s="23">
        <v>10</v>
      </c>
      <c r="J43" s="23">
        <v>22</v>
      </c>
      <c r="K43" s="8">
        <v>0.66</v>
      </c>
      <c r="L43" s="8">
        <v>0.33999999999999997</v>
      </c>
      <c r="M43">
        <f t="shared" si="0"/>
        <v>6.6E-3</v>
      </c>
    </row>
    <row r="44" spans="1:13" x14ac:dyDescent="0.3">
      <c r="A44" s="23" t="s">
        <v>104</v>
      </c>
      <c r="B44" t="s">
        <v>23</v>
      </c>
      <c r="C44" s="38">
        <v>148</v>
      </c>
      <c r="D44" s="7">
        <v>6199</v>
      </c>
      <c r="E44" s="38">
        <v>335</v>
      </c>
      <c r="F44" s="39">
        <v>4.4190000000000002E-3</v>
      </c>
      <c r="G44" t="s">
        <v>2</v>
      </c>
      <c r="H44" s="23" t="s">
        <v>89</v>
      </c>
      <c r="I44" s="23">
        <v>8</v>
      </c>
      <c r="J44" s="23">
        <v>51</v>
      </c>
      <c r="K44" s="8">
        <v>0.2</v>
      </c>
      <c r="L44" s="8">
        <v>0.8</v>
      </c>
      <c r="M44">
        <f t="shared" si="0"/>
        <v>2E-3</v>
      </c>
    </row>
    <row r="45" spans="1:13" x14ac:dyDescent="0.3">
      <c r="A45" s="23" t="s">
        <v>104</v>
      </c>
      <c r="B45" t="s">
        <v>23</v>
      </c>
      <c r="C45" s="38">
        <v>182</v>
      </c>
      <c r="D45" s="7">
        <v>3271</v>
      </c>
      <c r="E45" s="38">
        <v>243</v>
      </c>
      <c r="F45" s="39">
        <v>3.6319999999999998E-3</v>
      </c>
      <c r="G45" t="s">
        <v>3</v>
      </c>
      <c r="H45" s="23" t="s">
        <v>89</v>
      </c>
      <c r="I45" s="23">
        <v>20</v>
      </c>
      <c r="J45" s="23">
        <v>68</v>
      </c>
      <c r="K45" s="8">
        <v>0.37</v>
      </c>
      <c r="L45" s="8">
        <v>0.63</v>
      </c>
      <c r="M45">
        <f t="shared" si="0"/>
        <v>3.7000000000000002E-3</v>
      </c>
    </row>
    <row r="46" spans="1:13" x14ac:dyDescent="0.3">
      <c r="A46" s="23" t="s">
        <v>104</v>
      </c>
      <c r="B46" t="s">
        <v>24</v>
      </c>
      <c r="C46" s="38">
        <v>82</v>
      </c>
      <c r="D46" s="7">
        <v>11346</v>
      </c>
      <c r="E46" s="38">
        <v>130</v>
      </c>
      <c r="F46" s="39">
        <v>3.029E-3</v>
      </c>
      <c r="G46" t="s">
        <v>0</v>
      </c>
      <c r="H46" s="23" t="s">
        <v>89</v>
      </c>
      <c r="I46" s="23">
        <v>22</v>
      </c>
      <c r="J46" s="23">
        <v>59</v>
      </c>
      <c r="K46" s="8">
        <v>0.69</v>
      </c>
      <c r="L46" s="8">
        <v>0.31000000000000005</v>
      </c>
      <c r="M46">
        <f t="shared" si="0"/>
        <v>6.8999999999999999E-3</v>
      </c>
    </row>
    <row r="47" spans="1:13" x14ac:dyDescent="0.3">
      <c r="A47" s="23" t="s">
        <v>104</v>
      </c>
      <c r="B47" t="s">
        <v>24</v>
      </c>
      <c r="C47" s="38">
        <v>87</v>
      </c>
      <c r="D47" s="7">
        <v>9200</v>
      </c>
      <c r="E47" s="38">
        <v>176</v>
      </c>
      <c r="F47" s="39">
        <v>3.274E-3</v>
      </c>
      <c r="G47" t="s">
        <v>1</v>
      </c>
      <c r="H47" s="23" t="s">
        <v>89</v>
      </c>
      <c r="I47" s="23">
        <v>16</v>
      </c>
      <c r="J47" s="23">
        <v>11</v>
      </c>
      <c r="K47" s="8">
        <v>0.65</v>
      </c>
      <c r="L47" s="8">
        <v>0.35</v>
      </c>
      <c r="M47">
        <f t="shared" si="0"/>
        <v>6.5000000000000006E-3</v>
      </c>
    </row>
    <row r="48" spans="1:13" x14ac:dyDescent="0.3">
      <c r="A48" s="23" t="s">
        <v>104</v>
      </c>
      <c r="B48" t="s">
        <v>24</v>
      </c>
      <c r="C48" s="38">
        <v>78</v>
      </c>
      <c r="D48" s="7">
        <v>9892</v>
      </c>
      <c r="E48" s="38">
        <v>156</v>
      </c>
      <c r="F48" s="39">
        <v>4.9540000000000001E-3</v>
      </c>
      <c r="G48" t="s">
        <v>2</v>
      </c>
      <c r="H48" s="23" t="s">
        <v>89</v>
      </c>
      <c r="I48" s="23">
        <v>13</v>
      </c>
      <c r="J48" s="23">
        <v>57</v>
      </c>
      <c r="K48" s="8">
        <v>0.2</v>
      </c>
      <c r="L48" s="8">
        <v>0.8</v>
      </c>
      <c r="M48">
        <f t="shared" si="0"/>
        <v>2E-3</v>
      </c>
    </row>
    <row r="49" spans="1:13" x14ac:dyDescent="0.3">
      <c r="A49" s="23" t="s">
        <v>104</v>
      </c>
      <c r="B49" t="s">
        <v>24</v>
      </c>
      <c r="C49" s="38">
        <v>83</v>
      </c>
      <c r="D49" s="7">
        <v>7747</v>
      </c>
      <c r="E49" s="38">
        <v>202</v>
      </c>
      <c r="F49" s="39">
        <v>4.581E-3</v>
      </c>
      <c r="G49" t="s">
        <v>3</v>
      </c>
      <c r="H49" s="23" t="s">
        <v>89</v>
      </c>
      <c r="I49" s="23">
        <v>13</v>
      </c>
      <c r="J49" s="23">
        <v>57</v>
      </c>
      <c r="K49" s="8">
        <v>0.69</v>
      </c>
      <c r="L49" s="8">
        <v>0.31000000000000005</v>
      </c>
      <c r="M49">
        <f t="shared" si="0"/>
        <v>6.8999999999999999E-3</v>
      </c>
    </row>
    <row r="50" spans="1:13" x14ac:dyDescent="0.3">
      <c r="A50" s="23" t="s">
        <v>104</v>
      </c>
      <c r="B50" t="s">
        <v>19</v>
      </c>
      <c r="C50" s="38">
        <v>286</v>
      </c>
      <c r="D50" s="7">
        <v>4940</v>
      </c>
      <c r="E50" s="38">
        <v>389</v>
      </c>
      <c r="F50" s="39">
        <v>4.2579999999999996E-3</v>
      </c>
      <c r="G50" t="s">
        <v>0</v>
      </c>
      <c r="H50" s="23" t="s">
        <v>91</v>
      </c>
      <c r="I50" s="23">
        <v>21</v>
      </c>
      <c r="J50" s="23">
        <v>47</v>
      </c>
      <c r="K50" s="8">
        <v>0.56000000000000005</v>
      </c>
      <c r="L50" s="8">
        <v>0.43999999999999995</v>
      </c>
      <c r="M50">
        <f t="shared" si="0"/>
        <v>5.6000000000000008E-3</v>
      </c>
    </row>
    <row r="51" spans="1:13" x14ac:dyDescent="0.3">
      <c r="A51" s="23" t="s">
        <v>104</v>
      </c>
      <c r="B51" t="s">
        <v>19</v>
      </c>
      <c r="C51" s="38">
        <v>340</v>
      </c>
      <c r="D51" s="7">
        <v>12233</v>
      </c>
      <c r="E51" s="38">
        <v>799</v>
      </c>
      <c r="F51" s="39">
        <v>3.4359999999999998E-3</v>
      </c>
      <c r="G51" t="s">
        <v>1</v>
      </c>
      <c r="H51" s="23" t="s">
        <v>91</v>
      </c>
      <c r="I51" s="23">
        <v>7</v>
      </c>
      <c r="J51" s="23">
        <v>43</v>
      </c>
      <c r="K51" s="8">
        <v>0.88</v>
      </c>
      <c r="L51" s="8">
        <v>0.12</v>
      </c>
      <c r="M51">
        <f t="shared" si="0"/>
        <v>8.8000000000000005E-3</v>
      </c>
    </row>
    <row r="52" spans="1:13" x14ac:dyDescent="0.3">
      <c r="A52" s="23" t="s">
        <v>104</v>
      </c>
      <c r="B52" t="s">
        <v>19</v>
      </c>
      <c r="C52" s="38">
        <v>313</v>
      </c>
      <c r="D52" s="7">
        <v>8050</v>
      </c>
      <c r="E52" s="38">
        <v>508</v>
      </c>
      <c r="F52" s="39">
        <v>2.2339999999999999E-3</v>
      </c>
      <c r="G52" t="s">
        <v>2</v>
      </c>
      <c r="H52" s="23" t="s">
        <v>91</v>
      </c>
      <c r="I52" s="23">
        <v>18</v>
      </c>
      <c r="J52" s="23">
        <v>77</v>
      </c>
      <c r="K52" s="8">
        <v>0.24</v>
      </c>
      <c r="L52" s="8">
        <v>0.76</v>
      </c>
      <c r="M52">
        <f t="shared" si="0"/>
        <v>2.3999999999999998E-3</v>
      </c>
    </row>
    <row r="53" spans="1:13" x14ac:dyDescent="0.3">
      <c r="A53" s="23" t="s">
        <v>104</v>
      </c>
      <c r="B53" t="s">
        <v>19</v>
      </c>
      <c r="C53" s="38">
        <v>367</v>
      </c>
      <c r="D53" s="7">
        <v>15343</v>
      </c>
      <c r="E53" s="38">
        <v>919</v>
      </c>
      <c r="F53" s="39">
        <v>1.5809999999999999E-3</v>
      </c>
      <c r="G53" t="s">
        <v>3</v>
      </c>
      <c r="H53" s="23" t="s">
        <v>91</v>
      </c>
      <c r="I53" s="23">
        <v>16</v>
      </c>
      <c r="J53" s="23">
        <v>58</v>
      </c>
      <c r="K53" s="8">
        <v>0.89</v>
      </c>
      <c r="L53" s="8">
        <v>0.10999999999999999</v>
      </c>
      <c r="M53">
        <f t="shared" si="0"/>
        <v>8.8999999999999999E-3</v>
      </c>
    </row>
    <row r="54" spans="1:13" x14ac:dyDescent="0.3">
      <c r="A54" s="23" t="s">
        <v>104</v>
      </c>
      <c r="B54" t="s">
        <v>20</v>
      </c>
      <c r="C54" s="38">
        <v>332</v>
      </c>
      <c r="D54" s="7">
        <v>8735</v>
      </c>
      <c r="E54" s="38">
        <v>1288</v>
      </c>
      <c r="F54" s="39">
        <v>5.0010000000000002E-3</v>
      </c>
      <c r="G54" t="s">
        <v>0</v>
      </c>
      <c r="H54" s="23" t="s">
        <v>91</v>
      </c>
      <c r="I54" s="23">
        <v>22</v>
      </c>
      <c r="J54" s="23">
        <v>22</v>
      </c>
      <c r="K54" s="8">
        <v>0.63</v>
      </c>
      <c r="L54" s="8">
        <v>0.37</v>
      </c>
      <c r="M54">
        <f t="shared" si="0"/>
        <v>6.3E-3</v>
      </c>
    </row>
    <row r="55" spans="1:13" x14ac:dyDescent="0.3">
      <c r="A55" s="23" t="s">
        <v>104</v>
      </c>
      <c r="B55" t="s">
        <v>20</v>
      </c>
      <c r="C55" s="38">
        <v>609</v>
      </c>
      <c r="D55" s="7">
        <v>28709</v>
      </c>
      <c r="E55" s="38">
        <v>859</v>
      </c>
      <c r="F55" s="39">
        <v>2.0479999999999999E-3</v>
      </c>
      <c r="G55" t="s">
        <v>1</v>
      </c>
      <c r="H55" s="23" t="s">
        <v>91</v>
      </c>
      <c r="I55" s="23">
        <v>14</v>
      </c>
      <c r="J55" s="23">
        <v>68</v>
      </c>
      <c r="K55" s="8">
        <v>0.67</v>
      </c>
      <c r="L55" s="8">
        <v>0.32999999999999996</v>
      </c>
      <c r="M55">
        <f t="shared" si="0"/>
        <v>6.7000000000000002E-3</v>
      </c>
    </row>
    <row r="56" spans="1:13" x14ac:dyDescent="0.3">
      <c r="A56" s="23" t="s">
        <v>104</v>
      </c>
      <c r="B56" t="s">
        <v>20</v>
      </c>
      <c r="C56" s="38">
        <v>259</v>
      </c>
      <c r="D56" s="7">
        <v>10400</v>
      </c>
      <c r="E56" s="38">
        <v>877</v>
      </c>
      <c r="F56" s="39">
        <v>3.967E-3</v>
      </c>
      <c r="G56" t="s">
        <v>2</v>
      </c>
      <c r="H56" s="23" t="s">
        <v>91</v>
      </c>
      <c r="I56" s="23">
        <v>21</v>
      </c>
      <c r="J56" s="23">
        <v>46</v>
      </c>
      <c r="K56" s="8">
        <v>0.87</v>
      </c>
      <c r="L56" s="8">
        <v>0.13</v>
      </c>
      <c r="M56">
        <f t="shared" si="0"/>
        <v>8.6999999999999994E-3</v>
      </c>
    </row>
    <row r="57" spans="1:13" x14ac:dyDescent="0.3">
      <c r="A57" s="23" t="s">
        <v>104</v>
      </c>
      <c r="B57" t="s">
        <v>20</v>
      </c>
      <c r="C57" s="38">
        <v>535</v>
      </c>
      <c r="D57" s="7">
        <v>30375</v>
      </c>
      <c r="E57" s="38">
        <v>448</v>
      </c>
      <c r="F57" s="39">
        <v>2.2039999999999998E-3</v>
      </c>
      <c r="G57" t="s">
        <v>3</v>
      </c>
      <c r="H57" s="23" t="s">
        <v>91</v>
      </c>
      <c r="I57" s="23">
        <v>6</v>
      </c>
      <c r="J57" s="23">
        <v>38</v>
      </c>
      <c r="K57" s="8">
        <v>0.47</v>
      </c>
      <c r="L57" s="8">
        <v>0.53</v>
      </c>
      <c r="M57">
        <f t="shared" si="0"/>
        <v>4.6999999999999993E-3</v>
      </c>
    </row>
    <row r="58" spans="1:13" x14ac:dyDescent="0.3">
      <c r="A58" s="23" t="s">
        <v>104</v>
      </c>
      <c r="B58" t="s">
        <v>22</v>
      </c>
      <c r="C58" s="38">
        <v>216</v>
      </c>
      <c r="D58" s="7">
        <v>11447</v>
      </c>
      <c r="E58" s="38">
        <v>528</v>
      </c>
      <c r="F58" s="39">
        <v>2.611E-3</v>
      </c>
      <c r="G58" t="s">
        <v>0</v>
      </c>
      <c r="H58" s="23" t="s">
        <v>91</v>
      </c>
      <c r="I58" s="23">
        <v>12</v>
      </c>
      <c r="J58" s="23">
        <v>3</v>
      </c>
      <c r="K58" s="8">
        <v>0.78</v>
      </c>
      <c r="L58" s="8">
        <v>0.21999999999999997</v>
      </c>
      <c r="M58">
        <f t="shared" si="0"/>
        <v>7.8000000000000005E-3</v>
      </c>
    </row>
    <row r="59" spans="1:13" x14ac:dyDescent="0.3">
      <c r="A59" s="23" t="s">
        <v>104</v>
      </c>
      <c r="B59" t="s">
        <v>22</v>
      </c>
      <c r="C59" s="38">
        <v>197</v>
      </c>
      <c r="D59" s="7">
        <v>17683</v>
      </c>
      <c r="E59" s="38">
        <v>397</v>
      </c>
      <c r="F59" s="39">
        <v>3.9060000000000002E-3</v>
      </c>
      <c r="G59" t="s">
        <v>1</v>
      </c>
      <c r="H59" s="23" t="s">
        <v>91</v>
      </c>
      <c r="I59" s="23">
        <v>20</v>
      </c>
      <c r="J59" s="23">
        <v>57</v>
      </c>
      <c r="K59" s="8">
        <v>0.6</v>
      </c>
      <c r="L59" s="8">
        <v>0.4</v>
      </c>
      <c r="M59">
        <f t="shared" si="0"/>
        <v>6.0000000000000001E-3</v>
      </c>
    </row>
    <row r="60" spans="1:13" x14ac:dyDescent="0.3">
      <c r="A60" s="23" t="s">
        <v>104</v>
      </c>
      <c r="B60" t="s">
        <v>22</v>
      </c>
      <c r="C60" s="38">
        <v>89</v>
      </c>
      <c r="D60" s="7">
        <v>7958</v>
      </c>
      <c r="E60" s="38">
        <v>176</v>
      </c>
      <c r="F60" s="39">
        <v>5.3400000000000001E-3</v>
      </c>
      <c r="G60" t="s">
        <v>2</v>
      </c>
      <c r="H60" s="23" t="s">
        <v>91</v>
      </c>
      <c r="I60" s="23">
        <v>16</v>
      </c>
      <c r="J60" s="23">
        <v>17</v>
      </c>
      <c r="K60" s="8">
        <v>0.33</v>
      </c>
      <c r="L60" s="8">
        <v>0.66999999999999993</v>
      </c>
      <c r="M60">
        <f t="shared" si="0"/>
        <v>3.3E-3</v>
      </c>
    </row>
    <row r="61" spans="1:13" x14ac:dyDescent="0.3">
      <c r="A61" s="23" t="s">
        <v>104</v>
      </c>
      <c r="B61" t="s">
        <v>22</v>
      </c>
      <c r="C61" s="38">
        <v>70</v>
      </c>
      <c r="D61" s="7">
        <v>14194</v>
      </c>
      <c r="E61" s="38">
        <v>45</v>
      </c>
      <c r="F61" s="39">
        <v>2.5590000000000001E-3</v>
      </c>
      <c r="G61" t="s">
        <v>3</v>
      </c>
      <c r="H61" s="23" t="s">
        <v>91</v>
      </c>
      <c r="I61" s="23">
        <v>1</v>
      </c>
      <c r="J61" s="23">
        <v>41</v>
      </c>
      <c r="K61" s="8">
        <v>0.76</v>
      </c>
      <c r="L61" s="8">
        <v>0.24</v>
      </c>
      <c r="M61">
        <f t="shared" si="0"/>
        <v>7.6E-3</v>
      </c>
    </row>
    <row r="62" spans="1:13" x14ac:dyDescent="0.3">
      <c r="A62" s="23" t="s">
        <v>104</v>
      </c>
      <c r="B62" t="s">
        <v>21</v>
      </c>
      <c r="C62" s="38">
        <v>261</v>
      </c>
      <c r="D62" s="7">
        <v>13611</v>
      </c>
      <c r="E62" s="38">
        <v>140</v>
      </c>
      <c r="F62" s="39">
        <v>1.7160000000000001E-3</v>
      </c>
      <c r="G62" t="s">
        <v>0</v>
      </c>
      <c r="H62" s="23" t="s">
        <v>91</v>
      </c>
      <c r="I62" s="23">
        <v>18</v>
      </c>
      <c r="J62" s="23">
        <v>5</v>
      </c>
      <c r="K62" s="8">
        <v>0.81</v>
      </c>
      <c r="L62" s="8">
        <v>0.18999999999999995</v>
      </c>
      <c r="M62">
        <f t="shared" si="0"/>
        <v>8.1000000000000013E-3</v>
      </c>
    </row>
    <row r="63" spans="1:13" x14ac:dyDescent="0.3">
      <c r="A63" s="23" t="s">
        <v>104</v>
      </c>
      <c r="B63" t="s">
        <v>21</v>
      </c>
      <c r="C63" s="38">
        <v>300</v>
      </c>
      <c r="D63" s="7">
        <v>17442</v>
      </c>
      <c r="E63" s="38">
        <v>267</v>
      </c>
      <c r="F63" s="39">
        <v>4.2979999999999997E-3</v>
      </c>
      <c r="G63" t="s">
        <v>1</v>
      </c>
      <c r="H63" s="23" t="s">
        <v>91</v>
      </c>
      <c r="I63" s="23">
        <v>6</v>
      </c>
      <c r="J63" s="23">
        <v>28</v>
      </c>
      <c r="K63" s="8">
        <v>0.75</v>
      </c>
      <c r="L63" s="8">
        <v>0.25</v>
      </c>
      <c r="M63">
        <f t="shared" si="0"/>
        <v>7.4999999999999997E-3</v>
      </c>
    </row>
    <row r="64" spans="1:13" x14ac:dyDescent="0.3">
      <c r="A64" s="23" t="s">
        <v>104</v>
      </c>
      <c r="B64" t="s">
        <v>21</v>
      </c>
      <c r="C64" s="38">
        <v>74</v>
      </c>
      <c r="D64" s="7">
        <v>6030</v>
      </c>
      <c r="E64" s="38">
        <v>482</v>
      </c>
      <c r="F64" s="39">
        <v>1.652E-3</v>
      </c>
      <c r="G64" t="s">
        <v>2</v>
      </c>
      <c r="H64" s="23" t="s">
        <v>91</v>
      </c>
      <c r="I64" s="23">
        <v>9</v>
      </c>
      <c r="J64" s="23">
        <v>6</v>
      </c>
      <c r="K64" s="8">
        <v>0.81</v>
      </c>
      <c r="L64" s="8">
        <v>0.18999999999999995</v>
      </c>
      <c r="M64">
        <f t="shared" si="0"/>
        <v>8.1000000000000013E-3</v>
      </c>
    </row>
    <row r="65" spans="1:13" x14ac:dyDescent="0.3">
      <c r="A65" s="23" t="s">
        <v>104</v>
      </c>
      <c r="B65" t="s">
        <v>21</v>
      </c>
      <c r="C65" s="38">
        <v>113</v>
      </c>
      <c r="D65" s="7">
        <v>9861</v>
      </c>
      <c r="E65" s="38">
        <v>609</v>
      </c>
      <c r="F65" s="39">
        <v>4.7359999999999998E-3</v>
      </c>
      <c r="G65" t="s">
        <v>3</v>
      </c>
      <c r="H65" s="23" t="s">
        <v>91</v>
      </c>
      <c r="I65" s="23">
        <v>23</v>
      </c>
      <c r="J65" s="23">
        <v>67</v>
      </c>
      <c r="K65" s="8">
        <v>0.88</v>
      </c>
      <c r="L65" s="8">
        <v>0.12</v>
      </c>
      <c r="M65">
        <f t="shared" si="0"/>
        <v>8.8000000000000005E-3</v>
      </c>
    </row>
    <row r="66" spans="1:13" x14ac:dyDescent="0.3">
      <c r="A66" s="23" t="s">
        <v>104</v>
      </c>
      <c r="B66" t="s">
        <v>23</v>
      </c>
      <c r="C66" s="38">
        <v>90</v>
      </c>
      <c r="D66" s="7">
        <v>3727</v>
      </c>
      <c r="E66" s="38">
        <v>278</v>
      </c>
      <c r="F66" s="39">
        <v>3.3149999999999998E-3</v>
      </c>
      <c r="G66" t="s">
        <v>0</v>
      </c>
      <c r="H66" s="23" t="s">
        <v>91</v>
      </c>
      <c r="I66" s="23">
        <v>22</v>
      </c>
      <c r="J66" s="23">
        <v>20</v>
      </c>
      <c r="K66" s="8">
        <v>0.46</v>
      </c>
      <c r="L66" s="8">
        <v>0.54</v>
      </c>
      <c r="M66">
        <f t="shared" si="0"/>
        <v>4.5999999999999999E-3</v>
      </c>
    </row>
    <row r="67" spans="1:13" x14ac:dyDescent="0.3">
      <c r="A67" s="23" t="s">
        <v>104</v>
      </c>
      <c r="B67" t="s">
        <v>23</v>
      </c>
      <c r="C67" s="38">
        <v>100</v>
      </c>
      <c r="D67" s="7">
        <v>2993</v>
      </c>
      <c r="E67" s="38">
        <v>129</v>
      </c>
      <c r="F67" s="39">
        <v>1.738E-3</v>
      </c>
      <c r="G67" t="s">
        <v>1</v>
      </c>
      <c r="H67" s="23" t="s">
        <v>91</v>
      </c>
      <c r="I67" s="23">
        <v>17</v>
      </c>
      <c r="J67" s="23">
        <v>77</v>
      </c>
      <c r="K67" s="8">
        <v>0.55000000000000004</v>
      </c>
      <c r="L67" s="8">
        <v>0.44999999999999996</v>
      </c>
      <c r="M67">
        <f t="shared" ref="M67:M130" si="1">K67/100</f>
        <v>5.5000000000000005E-3</v>
      </c>
    </row>
    <row r="68" spans="1:13" x14ac:dyDescent="0.3">
      <c r="A68" s="23" t="s">
        <v>104</v>
      </c>
      <c r="B68" t="s">
        <v>23</v>
      </c>
      <c r="C68" s="38">
        <v>71</v>
      </c>
      <c r="D68" s="7">
        <v>4141</v>
      </c>
      <c r="E68" s="38">
        <v>214</v>
      </c>
      <c r="F68" s="39">
        <v>1.596E-3</v>
      </c>
      <c r="G68" t="s">
        <v>2</v>
      </c>
      <c r="H68" s="23" t="s">
        <v>91</v>
      </c>
      <c r="I68" s="23">
        <v>4</v>
      </c>
      <c r="J68" s="23">
        <v>16</v>
      </c>
      <c r="K68" s="8">
        <v>0.45</v>
      </c>
      <c r="L68" s="8">
        <v>0.55000000000000004</v>
      </c>
      <c r="M68">
        <f t="shared" si="1"/>
        <v>4.5000000000000005E-3</v>
      </c>
    </row>
    <row r="69" spans="1:13" x14ac:dyDescent="0.3">
      <c r="A69" s="23" t="s">
        <v>104</v>
      </c>
      <c r="B69" t="s">
        <v>23</v>
      </c>
      <c r="C69" s="38">
        <v>81</v>
      </c>
      <c r="D69" s="7">
        <v>3407</v>
      </c>
      <c r="E69" s="38">
        <v>65</v>
      </c>
      <c r="F69" s="39">
        <v>1.9369999999999999E-3</v>
      </c>
      <c r="G69" t="s">
        <v>3</v>
      </c>
      <c r="H69" s="23" t="s">
        <v>91</v>
      </c>
      <c r="I69" s="23">
        <v>16</v>
      </c>
      <c r="J69" s="23">
        <v>11</v>
      </c>
      <c r="K69" s="8">
        <v>0.56000000000000005</v>
      </c>
      <c r="L69" s="8">
        <v>0.43999999999999995</v>
      </c>
      <c r="M69">
        <f t="shared" si="1"/>
        <v>5.6000000000000008E-3</v>
      </c>
    </row>
    <row r="70" spans="1:13" x14ac:dyDescent="0.3">
      <c r="A70" s="23" t="s">
        <v>104</v>
      </c>
      <c r="B70" t="s">
        <v>24</v>
      </c>
      <c r="C70" s="38">
        <v>114</v>
      </c>
      <c r="D70" s="7">
        <v>9839</v>
      </c>
      <c r="E70" s="38">
        <v>123</v>
      </c>
      <c r="F70" s="39">
        <v>4.7829999999999999E-3</v>
      </c>
      <c r="G70" t="s">
        <v>0</v>
      </c>
      <c r="H70" s="23" t="s">
        <v>91</v>
      </c>
      <c r="I70" s="23">
        <v>8</v>
      </c>
      <c r="J70" s="23">
        <v>2</v>
      </c>
      <c r="K70" s="8">
        <v>0.23</v>
      </c>
      <c r="L70" s="8">
        <v>0.77</v>
      </c>
      <c r="M70">
        <f t="shared" si="1"/>
        <v>2.3E-3</v>
      </c>
    </row>
    <row r="71" spans="1:13" x14ac:dyDescent="0.3">
      <c r="A71" s="23" t="s">
        <v>104</v>
      </c>
      <c r="B71" t="s">
        <v>24</v>
      </c>
      <c r="C71" s="38">
        <v>31</v>
      </c>
      <c r="D71" s="7">
        <v>7409</v>
      </c>
      <c r="E71" s="38">
        <v>137</v>
      </c>
      <c r="F71" s="39">
        <v>2.6180000000000001E-3</v>
      </c>
      <c r="G71" t="s">
        <v>1</v>
      </c>
      <c r="H71" s="23" t="s">
        <v>91</v>
      </c>
      <c r="I71" s="23">
        <v>4</v>
      </c>
      <c r="J71" s="23">
        <v>67</v>
      </c>
      <c r="K71" s="8">
        <v>0.51</v>
      </c>
      <c r="L71" s="8">
        <v>0.49</v>
      </c>
      <c r="M71">
        <f t="shared" si="1"/>
        <v>5.1000000000000004E-3</v>
      </c>
    </row>
    <row r="72" spans="1:13" x14ac:dyDescent="0.3">
      <c r="A72" s="23" t="s">
        <v>104</v>
      </c>
      <c r="B72" t="s">
        <v>24</v>
      </c>
      <c r="C72" s="38">
        <v>98</v>
      </c>
      <c r="D72" s="7">
        <v>7516</v>
      </c>
      <c r="E72" s="38">
        <v>122</v>
      </c>
      <c r="F72" s="39">
        <v>3.6099999999999999E-3</v>
      </c>
      <c r="G72" t="s">
        <v>2</v>
      </c>
      <c r="H72" s="23" t="s">
        <v>91</v>
      </c>
      <c r="I72" s="23">
        <v>23</v>
      </c>
      <c r="J72" s="23">
        <v>24</v>
      </c>
      <c r="K72" s="8">
        <v>0.66</v>
      </c>
      <c r="L72" s="8">
        <v>0.33999999999999997</v>
      </c>
      <c r="M72">
        <f t="shared" si="1"/>
        <v>6.6E-3</v>
      </c>
    </row>
    <row r="73" spans="1:13" x14ac:dyDescent="0.3">
      <c r="A73" s="23" t="s">
        <v>104</v>
      </c>
      <c r="B73" t="s">
        <v>24</v>
      </c>
      <c r="C73" s="38">
        <v>15</v>
      </c>
      <c r="D73" s="7">
        <v>5086</v>
      </c>
      <c r="E73" s="38">
        <v>136</v>
      </c>
      <c r="F73" s="39">
        <v>3.1489999999999999E-3</v>
      </c>
      <c r="G73" t="s">
        <v>3</v>
      </c>
      <c r="H73" s="23" t="s">
        <v>91</v>
      </c>
      <c r="I73" s="23">
        <v>14</v>
      </c>
      <c r="J73" s="23">
        <v>15</v>
      </c>
      <c r="K73" s="8">
        <v>0.17</v>
      </c>
      <c r="L73" s="8">
        <v>0.83</v>
      </c>
      <c r="M73">
        <f t="shared" si="1"/>
        <v>1.7000000000000001E-3</v>
      </c>
    </row>
    <row r="74" spans="1:13" x14ac:dyDescent="0.3">
      <c r="A74" s="23" t="s">
        <v>105</v>
      </c>
      <c r="B74" t="s">
        <v>19</v>
      </c>
      <c r="C74" s="38">
        <v>850</v>
      </c>
      <c r="D74" s="7">
        <v>86305</v>
      </c>
      <c r="E74" s="38">
        <v>1507</v>
      </c>
      <c r="F74" s="39">
        <v>3.9890000000000004E-3</v>
      </c>
      <c r="G74" t="s">
        <v>0</v>
      </c>
      <c r="H74" s="23" t="s">
        <v>90</v>
      </c>
      <c r="I74" s="23">
        <v>16</v>
      </c>
      <c r="J74" s="23">
        <v>60</v>
      </c>
      <c r="K74" s="8">
        <v>0.68</v>
      </c>
      <c r="L74" s="8">
        <v>0.31999999999999995</v>
      </c>
      <c r="M74">
        <f t="shared" si="1"/>
        <v>6.8000000000000005E-3</v>
      </c>
    </row>
    <row r="75" spans="1:13" x14ac:dyDescent="0.3">
      <c r="A75" s="23" t="s">
        <v>105</v>
      </c>
      <c r="B75" t="s">
        <v>19</v>
      </c>
      <c r="C75" s="38">
        <v>263</v>
      </c>
      <c r="D75" s="7">
        <v>65012</v>
      </c>
      <c r="E75" s="38">
        <v>1195</v>
      </c>
      <c r="F75" s="39">
        <v>3.3170000000000001E-3</v>
      </c>
      <c r="G75" t="s">
        <v>1</v>
      </c>
      <c r="H75" s="23" t="s">
        <v>90</v>
      </c>
      <c r="I75" s="23">
        <v>10</v>
      </c>
      <c r="J75" s="23">
        <v>54</v>
      </c>
      <c r="K75" s="8">
        <v>0.65</v>
      </c>
      <c r="L75" s="8">
        <v>0.35</v>
      </c>
      <c r="M75">
        <f t="shared" si="1"/>
        <v>6.5000000000000006E-3</v>
      </c>
    </row>
    <row r="76" spans="1:13" x14ac:dyDescent="0.3">
      <c r="A76" s="23" t="s">
        <v>105</v>
      </c>
      <c r="B76" t="s">
        <v>19</v>
      </c>
      <c r="C76" s="38">
        <v>1717</v>
      </c>
      <c r="D76" s="7">
        <v>72827</v>
      </c>
      <c r="E76" s="38">
        <v>2767</v>
      </c>
      <c r="F76" s="39">
        <v>1.39E-3</v>
      </c>
      <c r="G76" t="s">
        <v>2</v>
      </c>
      <c r="H76" s="23" t="s">
        <v>90</v>
      </c>
      <c r="I76" s="23">
        <v>8</v>
      </c>
      <c r="J76" s="23">
        <v>63</v>
      </c>
      <c r="K76" s="8">
        <v>0.7</v>
      </c>
      <c r="L76" s="8">
        <v>0.30000000000000004</v>
      </c>
      <c r="M76">
        <f t="shared" si="1"/>
        <v>6.9999999999999993E-3</v>
      </c>
    </row>
    <row r="77" spans="1:13" x14ac:dyDescent="0.3">
      <c r="A77" s="23" t="s">
        <v>105</v>
      </c>
      <c r="B77" t="s">
        <v>19</v>
      </c>
      <c r="C77" s="38">
        <v>1130</v>
      </c>
      <c r="D77" s="7">
        <v>51535</v>
      </c>
      <c r="E77" s="38">
        <v>2456</v>
      </c>
      <c r="F77" s="39">
        <v>3.9179999999999996E-3</v>
      </c>
      <c r="G77" t="s">
        <v>3</v>
      </c>
      <c r="H77" s="23" t="s">
        <v>90</v>
      </c>
      <c r="I77" s="23">
        <v>5</v>
      </c>
      <c r="J77" s="23">
        <v>52</v>
      </c>
      <c r="K77" s="8">
        <v>0.35</v>
      </c>
      <c r="L77" s="8">
        <v>0.65</v>
      </c>
      <c r="M77">
        <f t="shared" si="1"/>
        <v>3.4999999999999996E-3</v>
      </c>
    </row>
    <row r="78" spans="1:13" x14ac:dyDescent="0.3">
      <c r="A78" s="23" t="s">
        <v>105</v>
      </c>
      <c r="B78" t="s">
        <v>20</v>
      </c>
      <c r="C78" s="38">
        <v>340</v>
      </c>
      <c r="D78" s="7">
        <v>29343</v>
      </c>
      <c r="E78" s="38">
        <v>1960</v>
      </c>
      <c r="F78" s="39">
        <v>4.3200000000000001E-3</v>
      </c>
      <c r="G78" t="s">
        <v>0</v>
      </c>
      <c r="H78" s="23" t="s">
        <v>90</v>
      </c>
      <c r="I78" s="23">
        <v>7</v>
      </c>
      <c r="J78" s="23">
        <v>36</v>
      </c>
      <c r="K78" s="8">
        <v>0.14000000000000001</v>
      </c>
      <c r="L78" s="8">
        <v>0.86</v>
      </c>
      <c r="M78">
        <f t="shared" si="1"/>
        <v>1.4000000000000002E-3</v>
      </c>
    </row>
    <row r="79" spans="1:13" x14ac:dyDescent="0.3">
      <c r="A79" s="23" t="s">
        <v>105</v>
      </c>
      <c r="B79" t="s">
        <v>20</v>
      </c>
      <c r="C79" s="38">
        <v>989</v>
      </c>
      <c r="D79" s="7">
        <v>25678</v>
      </c>
      <c r="E79" s="38">
        <v>2101</v>
      </c>
      <c r="F79" s="39">
        <v>7.5699999999999997E-4</v>
      </c>
      <c r="G79" t="s">
        <v>1</v>
      </c>
      <c r="H79" s="23" t="s">
        <v>90</v>
      </c>
      <c r="I79" s="23">
        <v>19</v>
      </c>
      <c r="J79" s="23">
        <v>21</v>
      </c>
      <c r="K79" s="8">
        <v>0.88</v>
      </c>
      <c r="L79" s="8">
        <v>0.12</v>
      </c>
      <c r="M79">
        <f t="shared" si="1"/>
        <v>8.8000000000000005E-3</v>
      </c>
    </row>
    <row r="80" spans="1:13" x14ac:dyDescent="0.3">
      <c r="A80" s="23" t="s">
        <v>105</v>
      </c>
      <c r="B80" t="s">
        <v>20</v>
      </c>
      <c r="C80" s="38">
        <v>640</v>
      </c>
      <c r="D80" s="7">
        <v>12288</v>
      </c>
      <c r="E80" s="38">
        <v>1158</v>
      </c>
      <c r="F80" s="39">
        <v>3.862E-3</v>
      </c>
      <c r="G80" t="s">
        <v>2</v>
      </c>
      <c r="H80" s="23" t="s">
        <v>90</v>
      </c>
      <c r="I80" s="23">
        <v>17</v>
      </c>
      <c r="J80" s="23">
        <v>52</v>
      </c>
      <c r="K80" s="8">
        <v>0.38</v>
      </c>
      <c r="L80" s="8">
        <v>0.62</v>
      </c>
      <c r="M80">
        <f t="shared" si="1"/>
        <v>3.8E-3</v>
      </c>
    </row>
    <row r="81" spans="1:13" x14ac:dyDescent="0.3">
      <c r="A81" s="23" t="s">
        <v>105</v>
      </c>
      <c r="B81" t="s">
        <v>20</v>
      </c>
      <c r="C81" s="38">
        <v>1289</v>
      </c>
      <c r="D81" s="7">
        <v>8623</v>
      </c>
      <c r="E81" s="38">
        <v>1299</v>
      </c>
      <c r="F81" s="39">
        <v>2.2290000000000001E-3</v>
      </c>
      <c r="G81" t="s">
        <v>3</v>
      </c>
      <c r="H81" s="23" t="s">
        <v>90</v>
      </c>
      <c r="I81" s="23">
        <v>15</v>
      </c>
      <c r="J81" s="23">
        <v>77</v>
      </c>
      <c r="K81" s="8">
        <v>0.33</v>
      </c>
      <c r="L81" s="8">
        <v>0.66999999999999993</v>
      </c>
      <c r="M81">
        <f t="shared" si="1"/>
        <v>3.3E-3</v>
      </c>
    </row>
    <row r="82" spans="1:13" x14ac:dyDescent="0.3">
      <c r="A82" s="23" t="s">
        <v>105</v>
      </c>
      <c r="B82" t="s">
        <v>22</v>
      </c>
      <c r="C82" s="38">
        <v>437</v>
      </c>
      <c r="D82" s="7">
        <v>58600</v>
      </c>
      <c r="E82" s="38">
        <v>1338</v>
      </c>
      <c r="F82" s="39">
        <v>1.0449999999999999E-3</v>
      </c>
      <c r="G82" t="s">
        <v>0</v>
      </c>
      <c r="H82" s="23" t="s">
        <v>90</v>
      </c>
      <c r="I82" s="23">
        <v>2</v>
      </c>
      <c r="J82" s="23">
        <v>41</v>
      </c>
      <c r="K82" s="8">
        <v>0.12</v>
      </c>
      <c r="L82" s="8">
        <v>0.88</v>
      </c>
      <c r="M82">
        <f t="shared" si="1"/>
        <v>1.1999999999999999E-3</v>
      </c>
    </row>
    <row r="83" spans="1:13" x14ac:dyDescent="0.3">
      <c r="A83" s="23" t="s">
        <v>105</v>
      </c>
      <c r="B83" t="s">
        <v>22</v>
      </c>
      <c r="C83" s="38">
        <v>356</v>
      </c>
      <c r="D83" s="7">
        <v>33797</v>
      </c>
      <c r="E83" s="38">
        <v>942</v>
      </c>
      <c r="F83" s="39">
        <v>1.967E-3</v>
      </c>
      <c r="G83" t="s">
        <v>1</v>
      </c>
      <c r="H83" s="23" t="s">
        <v>90</v>
      </c>
      <c r="I83" s="23">
        <v>4</v>
      </c>
      <c r="J83" s="23">
        <v>16</v>
      </c>
      <c r="K83" s="8">
        <v>0.38</v>
      </c>
      <c r="L83" s="8">
        <v>0.62</v>
      </c>
      <c r="M83">
        <f t="shared" si="1"/>
        <v>3.8E-3</v>
      </c>
    </row>
    <row r="84" spans="1:13" x14ac:dyDescent="0.3">
      <c r="A84" s="23" t="s">
        <v>105</v>
      </c>
      <c r="B84" t="s">
        <v>22</v>
      </c>
      <c r="C84" s="38">
        <v>367</v>
      </c>
      <c r="D84" s="7">
        <v>58662</v>
      </c>
      <c r="E84" s="38">
        <v>505</v>
      </c>
      <c r="F84" s="39">
        <v>4.548E-3</v>
      </c>
      <c r="G84" t="s">
        <v>2</v>
      </c>
      <c r="H84" s="23" t="s">
        <v>90</v>
      </c>
      <c r="I84" s="23">
        <v>15</v>
      </c>
      <c r="J84" s="23">
        <v>9</v>
      </c>
      <c r="K84" s="8">
        <v>0.52</v>
      </c>
      <c r="L84" s="8">
        <v>0.48</v>
      </c>
      <c r="M84">
        <f t="shared" si="1"/>
        <v>5.1999999999999998E-3</v>
      </c>
    </row>
    <row r="85" spans="1:13" x14ac:dyDescent="0.3">
      <c r="A85" s="23" t="s">
        <v>105</v>
      </c>
      <c r="B85" t="s">
        <v>22</v>
      </c>
      <c r="C85" s="38">
        <v>286</v>
      </c>
      <c r="D85" s="7">
        <v>33859</v>
      </c>
      <c r="E85" s="38">
        <v>109</v>
      </c>
      <c r="F85" s="39">
        <v>4.3169999999999997E-3</v>
      </c>
      <c r="G85" t="s">
        <v>3</v>
      </c>
      <c r="H85" s="23" t="s">
        <v>90</v>
      </c>
      <c r="I85" s="23">
        <v>9</v>
      </c>
      <c r="J85" s="23">
        <v>67</v>
      </c>
      <c r="K85" s="8">
        <v>0.47</v>
      </c>
      <c r="L85" s="8">
        <v>0.53</v>
      </c>
      <c r="M85">
        <f t="shared" si="1"/>
        <v>4.6999999999999993E-3</v>
      </c>
    </row>
    <row r="86" spans="1:13" x14ac:dyDescent="0.3">
      <c r="A86" s="23" t="s">
        <v>105</v>
      </c>
      <c r="B86" t="s">
        <v>21</v>
      </c>
      <c r="C86" s="38">
        <v>750</v>
      </c>
      <c r="D86" s="7">
        <v>111352</v>
      </c>
      <c r="E86" s="38">
        <v>2372</v>
      </c>
      <c r="F86" s="39">
        <v>4.4419999999999998E-3</v>
      </c>
      <c r="G86" t="s">
        <v>0</v>
      </c>
      <c r="H86" s="23" t="s">
        <v>90</v>
      </c>
      <c r="I86" s="23">
        <v>21</v>
      </c>
      <c r="J86" s="23">
        <v>69</v>
      </c>
      <c r="K86" s="8">
        <v>0.47</v>
      </c>
      <c r="L86" s="8">
        <v>0.53</v>
      </c>
      <c r="M86">
        <f t="shared" si="1"/>
        <v>4.6999999999999993E-3</v>
      </c>
    </row>
    <row r="87" spans="1:13" x14ac:dyDescent="0.3">
      <c r="A87" s="23" t="s">
        <v>105</v>
      </c>
      <c r="B87" t="s">
        <v>21</v>
      </c>
      <c r="C87" s="38">
        <v>340</v>
      </c>
      <c r="D87" s="7">
        <v>88051</v>
      </c>
      <c r="E87" s="38">
        <v>1208</v>
      </c>
      <c r="F87" s="39">
        <v>2.8770000000000002E-3</v>
      </c>
      <c r="G87" t="s">
        <v>1</v>
      </c>
      <c r="H87" s="23" t="s">
        <v>90</v>
      </c>
      <c r="I87" s="23">
        <v>2</v>
      </c>
      <c r="J87" s="23">
        <v>50</v>
      </c>
      <c r="K87" s="8">
        <v>0.16</v>
      </c>
      <c r="L87" s="8">
        <v>0.84</v>
      </c>
      <c r="M87">
        <f t="shared" si="1"/>
        <v>1.6000000000000001E-3</v>
      </c>
    </row>
    <row r="88" spans="1:13" x14ac:dyDescent="0.3">
      <c r="A88" s="23" t="s">
        <v>105</v>
      </c>
      <c r="B88" t="s">
        <v>21</v>
      </c>
      <c r="C88" s="38">
        <v>979</v>
      </c>
      <c r="D88" s="7">
        <v>38908</v>
      </c>
      <c r="E88" s="38">
        <v>1431</v>
      </c>
      <c r="F88" s="39">
        <v>2.578E-3</v>
      </c>
      <c r="G88" t="s">
        <v>2</v>
      </c>
      <c r="H88" s="23" t="s">
        <v>90</v>
      </c>
      <c r="I88" s="23">
        <v>3</v>
      </c>
      <c r="J88" s="23">
        <v>12</v>
      </c>
      <c r="K88" s="8">
        <v>0.63</v>
      </c>
      <c r="L88" s="8">
        <v>0.37</v>
      </c>
      <c r="M88">
        <f t="shared" si="1"/>
        <v>6.3E-3</v>
      </c>
    </row>
    <row r="89" spans="1:13" x14ac:dyDescent="0.3">
      <c r="A89" s="23" t="s">
        <v>105</v>
      </c>
      <c r="B89" t="s">
        <v>21</v>
      </c>
      <c r="C89" s="38">
        <v>569</v>
      </c>
      <c r="D89" s="7">
        <v>15607</v>
      </c>
      <c r="E89" s="38">
        <v>267</v>
      </c>
      <c r="F89" s="39">
        <v>2.4580000000000001E-3</v>
      </c>
      <c r="G89" t="s">
        <v>3</v>
      </c>
      <c r="H89" s="23" t="s">
        <v>90</v>
      </c>
      <c r="I89" s="23">
        <v>21</v>
      </c>
      <c r="J89" s="23">
        <v>17</v>
      </c>
      <c r="K89" s="8">
        <v>0.39</v>
      </c>
      <c r="L89" s="8">
        <v>0.61</v>
      </c>
      <c r="M89">
        <f t="shared" si="1"/>
        <v>3.9000000000000003E-3</v>
      </c>
    </row>
    <row r="90" spans="1:13" x14ac:dyDescent="0.3">
      <c r="A90" s="23" t="s">
        <v>105</v>
      </c>
      <c r="B90" t="s">
        <v>23</v>
      </c>
      <c r="C90" s="38">
        <v>353</v>
      </c>
      <c r="D90" s="7">
        <v>25241</v>
      </c>
      <c r="E90" s="38">
        <v>386</v>
      </c>
      <c r="F90" s="39">
        <v>1.155E-3</v>
      </c>
      <c r="G90" t="s">
        <v>0</v>
      </c>
      <c r="H90" s="23" t="s">
        <v>90</v>
      </c>
      <c r="I90" s="23">
        <v>21</v>
      </c>
      <c r="J90" s="23">
        <v>1</v>
      </c>
      <c r="K90" s="8">
        <v>0.85</v>
      </c>
      <c r="L90" s="8">
        <v>0.15000000000000002</v>
      </c>
      <c r="M90">
        <f t="shared" si="1"/>
        <v>8.5000000000000006E-3</v>
      </c>
    </row>
    <row r="91" spans="1:13" x14ac:dyDescent="0.3">
      <c r="A91" s="23" t="s">
        <v>105</v>
      </c>
      <c r="B91" t="s">
        <v>23</v>
      </c>
      <c r="C91" s="38">
        <v>306</v>
      </c>
      <c r="D91" s="7">
        <v>20263</v>
      </c>
      <c r="E91" s="38">
        <v>579</v>
      </c>
      <c r="F91" s="39">
        <v>1.691E-3</v>
      </c>
      <c r="G91" t="s">
        <v>1</v>
      </c>
      <c r="H91" s="23" t="s">
        <v>90</v>
      </c>
      <c r="I91" s="23">
        <v>11</v>
      </c>
      <c r="J91" s="23">
        <v>61</v>
      </c>
      <c r="K91" s="8">
        <v>0.41</v>
      </c>
      <c r="L91" s="8">
        <v>0.59000000000000008</v>
      </c>
      <c r="M91">
        <f t="shared" si="1"/>
        <v>4.0999999999999995E-3</v>
      </c>
    </row>
    <row r="92" spans="1:13" x14ac:dyDescent="0.3">
      <c r="A92" s="23" t="s">
        <v>105</v>
      </c>
      <c r="B92" t="s">
        <v>23</v>
      </c>
      <c r="C92" s="38">
        <v>138</v>
      </c>
      <c r="D92" s="7">
        <v>7442</v>
      </c>
      <c r="E92" s="38">
        <v>309</v>
      </c>
      <c r="F92" s="39">
        <v>1.9070000000000001E-3</v>
      </c>
      <c r="G92" t="s">
        <v>2</v>
      </c>
      <c r="H92" s="23" t="s">
        <v>90</v>
      </c>
      <c r="I92" s="23">
        <v>22</v>
      </c>
      <c r="J92" s="23">
        <v>47</v>
      </c>
      <c r="K92" s="8">
        <v>0.88</v>
      </c>
      <c r="L92" s="8">
        <v>0.12</v>
      </c>
      <c r="M92">
        <f t="shared" si="1"/>
        <v>8.8000000000000005E-3</v>
      </c>
    </row>
    <row r="93" spans="1:13" x14ac:dyDescent="0.3">
      <c r="A93" s="23" t="s">
        <v>105</v>
      </c>
      <c r="B93" t="s">
        <v>23</v>
      </c>
      <c r="C93" s="38">
        <v>90</v>
      </c>
      <c r="D93" s="7">
        <v>2464</v>
      </c>
      <c r="E93" s="38">
        <v>502</v>
      </c>
      <c r="F93" s="39">
        <v>1.0169999999999999E-3</v>
      </c>
      <c r="G93" t="s">
        <v>3</v>
      </c>
      <c r="H93" s="23" t="s">
        <v>90</v>
      </c>
      <c r="I93" s="23">
        <v>18</v>
      </c>
      <c r="J93" s="23">
        <v>40</v>
      </c>
      <c r="K93" s="8">
        <v>0.12</v>
      </c>
      <c r="L93" s="8">
        <v>0.88</v>
      </c>
      <c r="M93">
        <f t="shared" si="1"/>
        <v>1.1999999999999999E-3</v>
      </c>
    </row>
    <row r="94" spans="1:13" x14ac:dyDescent="0.3">
      <c r="A94" s="23" t="s">
        <v>105</v>
      </c>
      <c r="B94" t="s">
        <v>24</v>
      </c>
      <c r="C94" s="38">
        <v>174</v>
      </c>
      <c r="D94" s="7">
        <v>21329</v>
      </c>
      <c r="E94" s="38">
        <v>367</v>
      </c>
      <c r="F94" s="39">
        <v>3.6619999999999999E-3</v>
      </c>
      <c r="G94" t="s">
        <v>0</v>
      </c>
      <c r="H94" s="23" t="s">
        <v>90</v>
      </c>
      <c r="I94" s="23">
        <v>19</v>
      </c>
      <c r="J94" s="23">
        <v>37</v>
      </c>
      <c r="K94" s="8">
        <v>0.63</v>
      </c>
      <c r="L94" s="8">
        <v>0.37</v>
      </c>
      <c r="M94">
        <f t="shared" si="1"/>
        <v>6.3E-3</v>
      </c>
    </row>
    <row r="95" spans="1:13" x14ac:dyDescent="0.3">
      <c r="A95" s="23" t="s">
        <v>105</v>
      </c>
      <c r="B95" t="s">
        <v>24</v>
      </c>
      <c r="C95" s="38">
        <v>179</v>
      </c>
      <c r="D95" s="7">
        <v>15624</v>
      </c>
      <c r="E95" s="38">
        <v>297</v>
      </c>
      <c r="F95" s="39">
        <v>9.9599999999999992E-4</v>
      </c>
      <c r="G95" t="s">
        <v>1</v>
      </c>
      <c r="H95" s="23" t="s">
        <v>90</v>
      </c>
      <c r="I95" s="23">
        <v>20</v>
      </c>
      <c r="J95" s="23">
        <v>75</v>
      </c>
      <c r="K95" s="8">
        <v>0.53</v>
      </c>
      <c r="L95" s="8">
        <v>0.47</v>
      </c>
      <c r="M95">
        <f t="shared" si="1"/>
        <v>5.3E-3</v>
      </c>
    </row>
    <row r="96" spans="1:13" x14ac:dyDescent="0.3">
      <c r="A96" s="23" t="s">
        <v>105</v>
      </c>
      <c r="B96" t="s">
        <v>24</v>
      </c>
      <c r="C96" s="38">
        <v>113</v>
      </c>
      <c r="D96" s="7">
        <v>24395</v>
      </c>
      <c r="E96" s="38">
        <v>287</v>
      </c>
      <c r="F96" s="39">
        <v>1.16E-3</v>
      </c>
      <c r="G96" t="s">
        <v>2</v>
      </c>
      <c r="H96" s="23" t="s">
        <v>90</v>
      </c>
      <c r="I96" s="23">
        <v>17</v>
      </c>
      <c r="J96" s="23">
        <v>40</v>
      </c>
      <c r="K96" s="8">
        <v>0.89</v>
      </c>
      <c r="L96" s="8">
        <v>0.10999999999999999</v>
      </c>
      <c r="M96">
        <f t="shared" si="1"/>
        <v>8.8999999999999999E-3</v>
      </c>
    </row>
    <row r="97" spans="1:13" x14ac:dyDescent="0.3">
      <c r="A97" s="23" t="s">
        <v>105</v>
      </c>
      <c r="B97" t="s">
        <v>24</v>
      </c>
      <c r="C97" s="38">
        <v>117</v>
      </c>
      <c r="D97" s="7">
        <v>18690</v>
      </c>
      <c r="E97" s="38">
        <v>217</v>
      </c>
      <c r="F97" s="39">
        <v>4.2969999999999996E-3</v>
      </c>
      <c r="G97" t="s">
        <v>3</v>
      </c>
      <c r="H97" s="23" t="s">
        <v>90</v>
      </c>
      <c r="I97" s="23">
        <v>6</v>
      </c>
      <c r="J97" s="23">
        <v>73</v>
      </c>
      <c r="K97" s="8">
        <v>0.8</v>
      </c>
      <c r="L97" s="8">
        <v>0.19999999999999996</v>
      </c>
      <c r="M97">
        <f t="shared" si="1"/>
        <v>8.0000000000000002E-3</v>
      </c>
    </row>
    <row r="98" spans="1:13" x14ac:dyDescent="0.3">
      <c r="A98" s="23" t="s">
        <v>105</v>
      </c>
      <c r="B98" t="s">
        <v>19</v>
      </c>
      <c r="C98" s="38">
        <v>814</v>
      </c>
      <c r="D98" s="7">
        <v>27809</v>
      </c>
      <c r="E98" s="38">
        <v>1220</v>
      </c>
      <c r="F98" s="39">
        <v>2.9380000000000001E-3</v>
      </c>
      <c r="G98" t="s">
        <v>0</v>
      </c>
      <c r="H98" s="23" t="s">
        <v>89</v>
      </c>
      <c r="I98" s="23">
        <v>3</v>
      </c>
      <c r="J98" s="23">
        <v>58</v>
      </c>
      <c r="K98" s="8">
        <v>0.86</v>
      </c>
      <c r="L98" s="8">
        <v>0.14000000000000001</v>
      </c>
      <c r="M98">
        <f t="shared" si="1"/>
        <v>8.6E-3</v>
      </c>
    </row>
    <row r="99" spans="1:13" x14ac:dyDescent="0.3">
      <c r="A99" s="23" t="s">
        <v>105</v>
      </c>
      <c r="B99" t="s">
        <v>19</v>
      </c>
      <c r="C99" s="38">
        <v>465</v>
      </c>
      <c r="D99" s="7">
        <v>54906</v>
      </c>
      <c r="E99" s="38">
        <v>1731</v>
      </c>
      <c r="F99" s="39">
        <v>3.839E-3</v>
      </c>
      <c r="G99" t="s">
        <v>1</v>
      </c>
      <c r="H99" s="23" t="s">
        <v>89</v>
      </c>
      <c r="I99" s="23">
        <v>10</v>
      </c>
      <c r="J99" s="23">
        <v>63</v>
      </c>
      <c r="K99" s="8">
        <v>0.56999999999999995</v>
      </c>
      <c r="L99" s="8">
        <v>0.43000000000000005</v>
      </c>
      <c r="M99">
        <f t="shared" si="1"/>
        <v>5.6999999999999993E-3</v>
      </c>
    </row>
    <row r="100" spans="1:13" x14ac:dyDescent="0.3">
      <c r="A100" s="23" t="s">
        <v>105</v>
      </c>
      <c r="B100" t="s">
        <v>19</v>
      </c>
      <c r="C100" s="38">
        <v>1340</v>
      </c>
      <c r="D100" s="7">
        <v>35911</v>
      </c>
      <c r="E100" s="38">
        <v>1879</v>
      </c>
      <c r="F100" s="39">
        <v>4.4949999999999999E-3</v>
      </c>
      <c r="G100" t="s">
        <v>2</v>
      </c>
      <c r="H100" s="23" t="s">
        <v>89</v>
      </c>
      <c r="I100" s="23">
        <v>4</v>
      </c>
      <c r="J100" s="23">
        <v>62</v>
      </c>
      <c r="K100" s="8">
        <v>0.28000000000000003</v>
      </c>
      <c r="L100" s="8">
        <v>0.72</v>
      </c>
      <c r="M100">
        <f t="shared" si="1"/>
        <v>2.8000000000000004E-3</v>
      </c>
    </row>
    <row r="101" spans="1:13" x14ac:dyDescent="0.3">
      <c r="A101" s="23" t="s">
        <v>105</v>
      </c>
      <c r="B101" t="s">
        <v>19</v>
      </c>
      <c r="C101" s="38">
        <v>991</v>
      </c>
      <c r="D101" s="7">
        <v>63008</v>
      </c>
      <c r="E101" s="38">
        <v>2390</v>
      </c>
      <c r="F101" s="39">
        <v>3.725E-3</v>
      </c>
      <c r="G101" t="s">
        <v>3</v>
      </c>
      <c r="H101" s="23" t="s">
        <v>89</v>
      </c>
      <c r="I101" s="23">
        <v>1</v>
      </c>
      <c r="J101" s="23">
        <v>54</v>
      </c>
      <c r="K101" s="8">
        <v>0.48</v>
      </c>
      <c r="L101" s="8">
        <v>0.52</v>
      </c>
      <c r="M101">
        <f t="shared" si="1"/>
        <v>4.7999999999999996E-3</v>
      </c>
    </row>
    <row r="102" spans="1:13" x14ac:dyDescent="0.3">
      <c r="A102" s="23" t="s">
        <v>105</v>
      </c>
      <c r="B102" t="s">
        <v>20</v>
      </c>
      <c r="C102" s="38">
        <v>462</v>
      </c>
      <c r="D102" s="7">
        <v>20048</v>
      </c>
      <c r="E102" s="38">
        <v>531</v>
      </c>
      <c r="F102" s="39">
        <v>1.3129999999999999E-3</v>
      </c>
      <c r="G102" t="s">
        <v>0</v>
      </c>
      <c r="H102" s="23" t="s">
        <v>89</v>
      </c>
      <c r="I102" s="23">
        <v>17</v>
      </c>
      <c r="J102" s="23">
        <v>33</v>
      </c>
      <c r="K102" s="8">
        <v>0.38</v>
      </c>
      <c r="L102" s="8">
        <v>0.62</v>
      </c>
      <c r="M102">
        <f t="shared" si="1"/>
        <v>3.8E-3</v>
      </c>
    </row>
    <row r="103" spans="1:13" x14ac:dyDescent="0.3">
      <c r="A103" s="23" t="s">
        <v>105</v>
      </c>
      <c r="B103" t="s">
        <v>20</v>
      </c>
      <c r="C103" s="38">
        <v>392</v>
      </c>
      <c r="D103" s="7">
        <v>13996</v>
      </c>
      <c r="E103" s="38">
        <v>576</v>
      </c>
      <c r="F103" s="39">
        <v>4.718E-3</v>
      </c>
      <c r="G103" t="s">
        <v>1</v>
      </c>
      <c r="H103" s="23" t="s">
        <v>89</v>
      </c>
      <c r="I103" s="23">
        <v>21</v>
      </c>
      <c r="J103" s="23">
        <v>15</v>
      </c>
      <c r="K103" s="8">
        <v>0.35</v>
      </c>
      <c r="L103" s="8">
        <v>0.65</v>
      </c>
      <c r="M103">
        <f t="shared" si="1"/>
        <v>3.4999999999999996E-3</v>
      </c>
    </row>
    <row r="104" spans="1:13" x14ac:dyDescent="0.3">
      <c r="A104" s="23" t="s">
        <v>105</v>
      </c>
      <c r="B104" t="s">
        <v>20</v>
      </c>
      <c r="C104" s="38">
        <v>352</v>
      </c>
      <c r="D104" s="7">
        <v>11019</v>
      </c>
      <c r="E104" s="38">
        <v>912</v>
      </c>
      <c r="F104" s="39">
        <v>8.5099999999999998E-4</v>
      </c>
      <c r="G104" t="s">
        <v>2</v>
      </c>
      <c r="H104" s="23" t="s">
        <v>89</v>
      </c>
      <c r="I104" s="23">
        <v>10</v>
      </c>
      <c r="J104" s="23">
        <v>29</v>
      </c>
      <c r="K104" s="8">
        <v>0.19</v>
      </c>
      <c r="L104" s="8">
        <v>0.81</v>
      </c>
      <c r="M104">
        <f t="shared" si="1"/>
        <v>1.9E-3</v>
      </c>
    </row>
    <row r="105" spans="1:13" x14ac:dyDescent="0.3">
      <c r="A105" s="23" t="s">
        <v>105</v>
      </c>
      <c r="B105" t="s">
        <v>20</v>
      </c>
      <c r="C105" s="38">
        <v>281</v>
      </c>
      <c r="D105" s="7">
        <v>4967</v>
      </c>
      <c r="E105" s="38">
        <v>957</v>
      </c>
      <c r="F105" s="39">
        <v>3.6679999999999998E-3</v>
      </c>
      <c r="G105" t="s">
        <v>3</v>
      </c>
      <c r="H105" s="23" t="s">
        <v>89</v>
      </c>
      <c r="I105" s="23">
        <v>17</v>
      </c>
      <c r="J105" s="23">
        <v>56</v>
      </c>
      <c r="K105" s="8">
        <v>0.44</v>
      </c>
      <c r="L105" s="8">
        <v>0.56000000000000005</v>
      </c>
      <c r="M105">
        <f t="shared" si="1"/>
        <v>4.4000000000000003E-3</v>
      </c>
    </row>
    <row r="106" spans="1:13" x14ac:dyDescent="0.3">
      <c r="A106" s="23" t="s">
        <v>105</v>
      </c>
      <c r="B106" t="s">
        <v>22</v>
      </c>
      <c r="C106" s="38">
        <v>300</v>
      </c>
      <c r="D106" s="7">
        <v>28267</v>
      </c>
      <c r="E106" s="38">
        <v>575</v>
      </c>
      <c r="F106" s="39">
        <v>1.423E-3</v>
      </c>
      <c r="G106" t="s">
        <v>0</v>
      </c>
      <c r="H106" s="23" t="s">
        <v>89</v>
      </c>
      <c r="I106" s="23">
        <v>13</v>
      </c>
      <c r="J106" s="23">
        <v>63</v>
      </c>
      <c r="K106" s="8">
        <v>0.33</v>
      </c>
      <c r="L106" s="8">
        <v>0.66999999999999993</v>
      </c>
      <c r="M106">
        <f t="shared" si="1"/>
        <v>3.3E-3</v>
      </c>
    </row>
    <row r="107" spans="1:13" x14ac:dyDescent="0.3">
      <c r="A107" s="23" t="s">
        <v>105</v>
      </c>
      <c r="B107" t="s">
        <v>22</v>
      </c>
      <c r="C107" s="38">
        <v>244</v>
      </c>
      <c r="D107" s="7">
        <v>29983</v>
      </c>
      <c r="E107" s="38">
        <v>707</v>
      </c>
      <c r="F107" s="39">
        <v>3.9890000000000004E-3</v>
      </c>
      <c r="G107" t="s">
        <v>1</v>
      </c>
      <c r="H107" s="23" t="s">
        <v>89</v>
      </c>
      <c r="I107" s="23">
        <v>16</v>
      </c>
      <c r="J107" s="23">
        <v>66</v>
      </c>
      <c r="K107" s="8">
        <v>0.73</v>
      </c>
      <c r="L107" s="8">
        <v>0.27</v>
      </c>
      <c r="M107">
        <f t="shared" si="1"/>
        <v>7.3000000000000001E-3</v>
      </c>
    </row>
    <row r="108" spans="1:13" x14ac:dyDescent="0.3">
      <c r="A108" s="23" t="s">
        <v>105</v>
      </c>
      <c r="B108" t="s">
        <v>22</v>
      </c>
      <c r="C108" s="38">
        <v>232</v>
      </c>
      <c r="D108" s="7">
        <v>30934</v>
      </c>
      <c r="E108" s="38">
        <v>246</v>
      </c>
      <c r="F108" s="39">
        <v>4.4759999999999999E-3</v>
      </c>
      <c r="G108" t="s">
        <v>2</v>
      </c>
      <c r="H108" s="23" t="s">
        <v>89</v>
      </c>
      <c r="I108" s="23">
        <v>21</v>
      </c>
      <c r="J108" s="23">
        <v>54</v>
      </c>
      <c r="K108" s="8">
        <v>0.54</v>
      </c>
      <c r="L108" s="8">
        <v>0.45999999999999996</v>
      </c>
      <c r="M108">
        <f t="shared" si="1"/>
        <v>5.4000000000000003E-3</v>
      </c>
    </row>
    <row r="109" spans="1:13" x14ac:dyDescent="0.3">
      <c r="A109" s="23" t="s">
        <v>105</v>
      </c>
      <c r="B109" t="s">
        <v>22</v>
      </c>
      <c r="C109" s="38">
        <v>176</v>
      </c>
      <c r="D109" s="7">
        <v>32650</v>
      </c>
      <c r="E109" s="38">
        <v>378</v>
      </c>
      <c r="F109" s="39">
        <v>2.0579999999999999E-3</v>
      </c>
      <c r="G109" t="s">
        <v>3</v>
      </c>
      <c r="H109" s="23" t="s">
        <v>89</v>
      </c>
      <c r="I109" s="23">
        <v>13</v>
      </c>
      <c r="J109" s="23">
        <v>5</v>
      </c>
      <c r="K109" s="8">
        <v>0.28999999999999998</v>
      </c>
      <c r="L109" s="8">
        <v>0.71</v>
      </c>
      <c r="M109">
        <f t="shared" si="1"/>
        <v>2.8999999999999998E-3</v>
      </c>
    </row>
    <row r="110" spans="1:13" x14ac:dyDescent="0.3">
      <c r="A110" s="23" t="s">
        <v>105</v>
      </c>
      <c r="B110" t="s">
        <v>21</v>
      </c>
      <c r="C110" s="38">
        <v>725</v>
      </c>
      <c r="D110" s="7">
        <v>34317</v>
      </c>
      <c r="E110" s="38">
        <v>707</v>
      </c>
      <c r="F110" s="39">
        <v>3.3149999999999998E-3</v>
      </c>
      <c r="G110" t="s">
        <v>0</v>
      </c>
      <c r="H110" s="23" t="s">
        <v>89</v>
      </c>
      <c r="I110" s="23">
        <v>13</v>
      </c>
      <c r="J110" s="23">
        <v>18</v>
      </c>
      <c r="K110" s="8">
        <v>0.21</v>
      </c>
      <c r="L110" s="8">
        <v>0.79</v>
      </c>
      <c r="M110">
        <f t="shared" si="1"/>
        <v>2.0999999999999999E-3</v>
      </c>
    </row>
    <row r="111" spans="1:13" x14ac:dyDescent="0.3">
      <c r="A111" s="23" t="s">
        <v>105</v>
      </c>
      <c r="B111" t="s">
        <v>21</v>
      </c>
      <c r="C111" s="38">
        <v>826</v>
      </c>
      <c r="D111" s="7">
        <v>25389</v>
      </c>
      <c r="E111" s="38">
        <v>1692</v>
      </c>
      <c r="F111" s="39">
        <v>2.199E-3</v>
      </c>
      <c r="G111" t="s">
        <v>1</v>
      </c>
      <c r="H111" s="23" t="s">
        <v>89</v>
      </c>
      <c r="I111" s="23">
        <v>13</v>
      </c>
      <c r="J111" s="23">
        <v>41</v>
      </c>
      <c r="K111" s="8">
        <v>0.37</v>
      </c>
      <c r="L111" s="8">
        <v>0.63</v>
      </c>
      <c r="M111">
        <f t="shared" si="1"/>
        <v>3.7000000000000002E-3</v>
      </c>
    </row>
    <row r="112" spans="1:13" x14ac:dyDescent="0.3">
      <c r="A112" s="23" t="s">
        <v>105</v>
      </c>
      <c r="B112" t="s">
        <v>21</v>
      </c>
      <c r="C112" s="38">
        <v>403</v>
      </c>
      <c r="D112" s="7">
        <v>58259</v>
      </c>
      <c r="E112" s="38">
        <v>767</v>
      </c>
      <c r="F112" s="39">
        <v>2.3960000000000001E-3</v>
      </c>
      <c r="G112" t="s">
        <v>2</v>
      </c>
      <c r="H112" s="23" t="s">
        <v>89</v>
      </c>
      <c r="I112" s="23">
        <v>4</v>
      </c>
      <c r="J112" s="23">
        <v>8</v>
      </c>
      <c r="K112" s="8">
        <v>0.63</v>
      </c>
      <c r="L112" s="8">
        <v>0.37</v>
      </c>
      <c r="M112">
        <f t="shared" si="1"/>
        <v>6.3E-3</v>
      </c>
    </row>
    <row r="113" spans="1:13" x14ac:dyDescent="0.3">
      <c r="A113" s="23" t="s">
        <v>105</v>
      </c>
      <c r="B113" t="s">
        <v>21</v>
      </c>
      <c r="C113" s="38">
        <v>504</v>
      </c>
      <c r="D113" s="7">
        <v>49331</v>
      </c>
      <c r="E113" s="38">
        <v>1752</v>
      </c>
      <c r="F113" s="39">
        <v>2.954E-3</v>
      </c>
      <c r="G113" t="s">
        <v>3</v>
      </c>
      <c r="H113" s="23" t="s">
        <v>89</v>
      </c>
      <c r="I113" s="23">
        <v>21</v>
      </c>
      <c r="J113" s="23">
        <v>56</v>
      </c>
      <c r="K113" s="8">
        <v>0.57999999999999996</v>
      </c>
      <c r="L113" s="8">
        <v>0.42000000000000004</v>
      </c>
      <c r="M113">
        <f t="shared" si="1"/>
        <v>5.7999999999999996E-3</v>
      </c>
    </row>
    <row r="114" spans="1:13" x14ac:dyDescent="0.3">
      <c r="A114" s="23" t="s">
        <v>105</v>
      </c>
      <c r="B114" t="s">
        <v>23</v>
      </c>
      <c r="C114" s="38">
        <v>162</v>
      </c>
      <c r="D114" s="7">
        <v>12114</v>
      </c>
      <c r="E114" s="38">
        <v>321</v>
      </c>
      <c r="F114" s="39">
        <v>4.3249999999999999E-3</v>
      </c>
      <c r="G114" t="s">
        <v>0</v>
      </c>
      <c r="H114" s="23" t="s">
        <v>89</v>
      </c>
      <c r="I114" s="23">
        <v>2</v>
      </c>
      <c r="J114" s="23">
        <v>67</v>
      </c>
      <c r="K114" s="8">
        <v>0.67</v>
      </c>
      <c r="L114" s="8">
        <v>0.32999999999999996</v>
      </c>
      <c r="M114">
        <f t="shared" si="1"/>
        <v>6.7000000000000002E-3</v>
      </c>
    </row>
    <row r="115" spans="1:13" x14ac:dyDescent="0.3">
      <c r="A115" s="23" t="s">
        <v>105</v>
      </c>
      <c r="B115" t="s">
        <v>23</v>
      </c>
      <c r="C115" s="38">
        <v>19</v>
      </c>
      <c r="D115" s="7">
        <v>3359</v>
      </c>
      <c r="E115" s="38">
        <v>183</v>
      </c>
      <c r="F115" s="39">
        <v>3.656E-3</v>
      </c>
      <c r="G115" t="s">
        <v>1</v>
      </c>
      <c r="H115" s="23" t="s">
        <v>89</v>
      </c>
      <c r="I115" s="23">
        <v>15</v>
      </c>
      <c r="J115" s="23">
        <v>39</v>
      </c>
      <c r="K115" s="8">
        <v>0.79</v>
      </c>
      <c r="L115" s="8">
        <v>0.20999999999999996</v>
      </c>
      <c r="M115">
        <f t="shared" si="1"/>
        <v>7.9000000000000008E-3</v>
      </c>
    </row>
    <row r="116" spans="1:13" x14ac:dyDescent="0.3">
      <c r="A116" s="23" t="s">
        <v>105</v>
      </c>
      <c r="B116" t="s">
        <v>23</v>
      </c>
      <c r="C116" s="38">
        <v>348</v>
      </c>
      <c r="D116" s="7">
        <v>14894</v>
      </c>
      <c r="E116" s="38">
        <v>551</v>
      </c>
      <c r="F116" s="39">
        <v>2.2070000000000002E-3</v>
      </c>
      <c r="G116" t="s">
        <v>2</v>
      </c>
      <c r="H116" s="23" t="s">
        <v>89</v>
      </c>
      <c r="I116" s="23">
        <v>20</v>
      </c>
      <c r="J116" s="23">
        <v>69</v>
      </c>
      <c r="K116" s="8">
        <v>0.26</v>
      </c>
      <c r="L116" s="8">
        <v>0.74</v>
      </c>
      <c r="M116">
        <f t="shared" si="1"/>
        <v>2.5999999999999999E-3</v>
      </c>
    </row>
    <row r="117" spans="1:13" x14ac:dyDescent="0.3">
      <c r="A117" s="23" t="s">
        <v>105</v>
      </c>
      <c r="B117" t="s">
        <v>23</v>
      </c>
      <c r="C117" s="38">
        <v>204</v>
      </c>
      <c r="D117" s="7">
        <v>6139</v>
      </c>
      <c r="E117" s="38">
        <v>413</v>
      </c>
      <c r="F117" s="39">
        <v>1.1999999999999999E-3</v>
      </c>
      <c r="G117" t="s">
        <v>3</v>
      </c>
      <c r="H117" s="23" t="s">
        <v>89</v>
      </c>
      <c r="I117" s="23">
        <v>8</v>
      </c>
      <c r="J117" s="23">
        <v>60</v>
      </c>
      <c r="K117" s="8">
        <v>0.31</v>
      </c>
      <c r="L117" s="8">
        <v>0.69</v>
      </c>
      <c r="M117">
        <f t="shared" si="1"/>
        <v>3.0999999999999999E-3</v>
      </c>
    </row>
    <row r="118" spans="1:13" x14ac:dyDescent="0.3">
      <c r="A118" s="23" t="s">
        <v>105</v>
      </c>
      <c r="B118" t="s">
        <v>24</v>
      </c>
      <c r="C118" s="38">
        <v>100</v>
      </c>
      <c r="D118" s="7">
        <v>14962</v>
      </c>
      <c r="E118" s="38">
        <v>214</v>
      </c>
      <c r="F118" s="39">
        <v>9.7199999999999999E-4</v>
      </c>
      <c r="G118" t="s">
        <v>0</v>
      </c>
      <c r="H118" s="23" t="s">
        <v>89</v>
      </c>
      <c r="I118" s="23">
        <v>2</v>
      </c>
      <c r="J118" s="23">
        <v>28</v>
      </c>
      <c r="K118" s="8">
        <v>0.37</v>
      </c>
      <c r="L118" s="8">
        <v>0.63</v>
      </c>
      <c r="M118">
        <f t="shared" si="1"/>
        <v>3.7000000000000002E-3</v>
      </c>
    </row>
    <row r="119" spans="1:13" x14ac:dyDescent="0.3">
      <c r="A119" s="23" t="s">
        <v>105</v>
      </c>
      <c r="B119" t="s">
        <v>24</v>
      </c>
      <c r="C119" s="38">
        <v>67</v>
      </c>
      <c r="D119" s="7">
        <v>8775</v>
      </c>
      <c r="E119" s="38">
        <v>182</v>
      </c>
      <c r="F119" s="39">
        <v>2.0690000000000001E-3</v>
      </c>
      <c r="G119" t="s">
        <v>1</v>
      </c>
      <c r="H119" s="23" t="s">
        <v>89</v>
      </c>
      <c r="I119" s="23">
        <v>13</v>
      </c>
      <c r="J119" s="23">
        <v>53</v>
      </c>
      <c r="K119" s="8">
        <v>0.35</v>
      </c>
      <c r="L119" s="8">
        <v>0.65</v>
      </c>
      <c r="M119">
        <f t="shared" si="1"/>
        <v>3.4999999999999996E-3</v>
      </c>
    </row>
    <row r="120" spans="1:13" x14ac:dyDescent="0.3">
      <c r="A120" s="23" t="s">
        <v>105</v>
      </c>
      <c r="B120" t="s">
        <v>24</v>
      </c>
      <c r="C120" s="38">
        <v>124</v>
      </c>
      <c r="D120" s="7">
        <v>17591</v>
      </c>
      <c r="E120" s="38">
        <v>202</v>
      </c>
      <c r="F120" s="39">
        <v>1.343E-3</v>
      </c>
      <c r="G120" t="s">
        <v>2</v>
      </c>
      <c r="H120" s="23" t="s">
        <v>89</v>
      </c>
      <c r="I120" s="23">
        <v>19</v>
      </c>
      <c r="J120" s="23">
        <v>15</v>
      </c>
      <c r="K120" s="8">
        <v>0.8</v>
      </c>
      <c r="L120" s="8">
        <v>0.19999999999999996</v>
      </c>
      <c r="M120">
        <f t="shared" si="1"/>
        <v>8.0000000000000002E-3</v>
      </c>
    </row>
    <row r="121" spans="1:13" x14ac:dyDescent="0.3">
      <c r="A121" s="23" t="s">
        <v>105</v>
      </c>
      <c r="B121" t="s">
        <v>24</v>
      </c>
      <c r="C121" s="38">
        <v>92</v>
      </c>
      <c r="D121" s="7">
        <v>11404</v>
      </c>
      <c r="E121" s="38">
        <v>170</v>
      </c>
      <c r="F121" s="39">
        <v>2.6700000000000001E-3</v>
      </c>
      <c r="G121" t="s">
        <v>3</v>
      </c>
      <c r="H121" s="23" t="s">
        <v>89</v>
      </c>
      <c r="I121" s="23">
        <v>13</v>
      </c>
      <c r="J121" s="23">
        <v>58</v>
      </c>
      <c r="K121" s="8">
        <v>0.55000000000000004</v>
      </c>
      <c r="L121" s="8">
        <v>0.44999999999999996</v>
      </c>
      <c r="M121">
        <f t="shared" si="1"/>
        <v>5.5000000000000005E-3</v>
      </c>
    </row>
    <row r="122" spans="1:13" x14ac:dyDescent="0.3">
      <c r="A122" s="23" t="s">
        <v>105</v>
      </c>
      <c r="B122" t="s">
        <v>19</v>
      </c>
      <c r="C122" s="38">
        <v>341</v>
      </c>
      <c r="D122" s="7">
        <v>7240</v>
      </c>
      <c r="E122" s="38">
        <v>1248</v>
      </c>
      <c r="F122" s="39">
        <v>9.0799999999999995E-4</v>
      </c>
      <c r="G122" t="s">
        <v>0</v>
      </c>
      <c r="H122" s="23" t="s">
        <v>91</v>
      </c>
      <c r="I122" s="23">
        <v>2</v>
      </c>
      <c r="J122" s="23">
        <v>59</v>
      </c>
      <c r="K122" s="8">
        <v>0.32</v>
      </c>
      <c r="L122" s="8">
        <v>0.67999999999999994</v>
      </c>
      <c r="M122">
        <f t="shared" si="1"/>
        <v>3.2000000000000002E-3</v>
      </c>
    </row>
    <row r="123" spans="1:13" x14ac:dyDescent="0.3">
      <c r="A123" s="23" t="s">
        <v>105</v>
      </c>
      <c r="B123" t="s">
        <v>19</v>
      </c>
      <c r="C123" s="38">
        <v>379</v>
      </c>
      <c r="D123" s="7">
        <v>26919</v>
      </c>
      <c r="E123" s="38">
        <v>738</v>
      </c>
      <c r="F123" s="39">
        <v>4.2199999999999998E-3</v>
      </c>
      <c r="G123" t="s">
        <v>1</v>
      </c>
      <c r="H123" s="23" t="s">
        <v>91</v>
      </c>
      <c r="I123" s="23">
        <v>12</v>
      </c>
      <c r="J123" s="23">
        <v>43</v>
      </c>
      <c r="K123" s="8">
        <v>0.76</v>
      </c>
      <c r="L123" s="8">
        <v>0.24</v>
      </c>
      <c r="M123">
        <f t="shared" si="1"/>
        <v>7.6E-3</v>
      </c>
    </row>
    <row r="124" spans="1:13" x14ac:dyDescent="0.3">
      <c r="A124" s="23" t="s">
        <v>105</v>
      </c>
      <c r="B124" t="s">
        <v>19</v>
      </c>
      <c r="C124" s="38">
        <v>890</v>
      </c>
      <c r="D124" s="7">
        <v>44074</v>
      </c>
      <c r="E124" s="38">
        <v>1802</v>
      </c>
      <c r="F124" s="39">
        <v>3.993E-3</v>
      </c>
      <c r="G124" t="s">
        <v>2</v>
      </c>
      <c r="H124" s="23" t="s">
        <v>91</v>
      </c>
      <c r="I124" s="23">
        <v>20</v>
      </c>
      <c r="J124" s="23">
        <v>59</v>
      </c>
      <c r="K124" s="8">
        <v>0.82</v>
      </c>
      <c r="L124" s="8">
        <v>0.18000000000000005</v>
      </c>
      <c r="M124">
        <f t="shared" si="1"/>
        <v>8.199999999999999E-3</v>
      </c>
    </row>
    <row r="125" spans="1:13" x14ac:dyDescent="0.3">
      <c r="A125" s="23" t="s">
        <v>105</v>
      </c>
      <c r="B125" t="s">
        <v>19</v>
      </c>
      <c r="C125" s="38">
        <v>928</v>
      </c>
      <c r="D125" s="7">
        <v>63753</v>
      </c>
      <c r="E125" s="38">
        <v>1292</v>
      </c>
      <c r="F125" s="39">
        <v>8.6600000000000002E-4</v>
      </c>
      <c r="G125" t="s">
        <v>3</v>
      </c>
      <c r="H125" s="23" t="s">
        <v>91</v>
      </c>
      <c r="I125" s="23">
        <v>18</v>
      </c>
      <c r="J125" s="23">
        <v>49</v>
      </c>
      <c r="K125" s="8">
        <v>0.54</v>
      </c>
      <c r="L125" s="8">
        <v>0.45999999999999996</v>
      </c>
      <c r="M125">
        <f t="shared" si="1"/>
        <v>5.4000000000000003E-3</v>
      </c>
    </row>
    <row r="126" spans="1:13" x14ac:dyDescent="0.3">
      <c r="A126" s="23" t="s">
        <v>105</v>
      </c>
      <c r="B126" t="s">
        <v>20</v>
      </c>
      <c r="C126" s="38">
        <v>116</v>
      </c>
      <c r="D126" s="7">
        <v>4082</v>
      </c>
      <c r="E126" s="38">
        <v>592</v>
      </c>
      <c r="F126" s="39">
        <v>3.6159999999999999E-3</v>
      </c>
      <c r="G126" t="s">
        <v>0</v>
      </c>
      <c r="H126" s="23" t="s">
        <v>91</v>
      </c>
      <c r="I126" s="23">
        <v>14</v>
      </c>
      <c r="J126" s="23">
        <v>65</v>
      </c>
      <c r="K126" s="8">
        <v>0.46</v>
      </c>
      <c r="L126" s="8">
        <v>0.54</v>
      </c>
      <c r="M126">
        <f t="shared" si="1"/>
        <v>4.5999999999999999E-3</v>
      </c>
    </row>
    <row r="127" spans="1:13" x14ac:dyDescent="0.3">
      <c r="A127" s="23" t="s">
        <v>105</v>
      </c>
      <c r="B127" t="s">
        <v>20</v>
      </c>
      <c r="C127" s="38">
        <v>235</v>
      </c>
      <c r="D127" s="7">
        <v>10393</v>
      </c>
      <c r="E127" s="38">
        <v>1118</v>
      </c>
      <c r="F127" s="39">
        <v>1.317E-3</v>
      </c>
      <c r="G127" t="s">
        <v>1</v>
      </c>
      <c r="H127" s="23" t="s">
        <v>91</v>
      </c>
      <c r="I127" s="23">
        <v>14</v>
      </c>
      <c r="J127" s="23">
        <v>2</v>
      </c>
      <c r="K127" s="8">
        <v>0.35</v>
      </c>
      <c r="L127" s="8">
        <v>0.65</v>
      </c>
      <c r="M127">
        <f t="shared" si="1"/>
        <v>3.4999999999999996E-3</v>
      </c>
    </row>
    <row r="128" spans="1:13" x14ac:dyDescent="0.3">
      <c r="A128" s="23" t="s">
        <v>105</v>
      </c>
      <c r="B128" t="s">
        <v>20</v>
      </c>
      <c r="C128" s="38">
        <v>346</v>
      </c>
      <c r="D128" s="7">
        <v>9161</v>
      </c>
      <c r="E128" s="38">
        <v>45</v>
      </c>
      <c r="F128" s="39">
        <v>9.6199999999999996E-4</v>
      </c>
      <c r="G128" t="s">
        <v>2</v>
      </c>
      <c r="H128" s="23" t="s">
        <v>91</v>
      </c>
      <c r="I128" s="23">
        <v>17</v>
      </c>
      <c r="J128" s="23">
        <v>10</v>
      </c>
      <c r="K128" s="8">
        <v>0.48</v>
      </c>
      <c r="L128" s="8">
        <v>0.52</v>
      </c>
      <c r="M128">
        <f t="shared" si="1"/>
        <v>4.7999999999999996E-3</v>
      </c>
    </row>
    <row r="129" spans="1:13" x14ac:dyDescent="0.3">
      <c r="A129" s="23" t="s">
        <v>105</v>
      </c>
      <c r="B129" t="s">
        <v>20</v>
      </c>
      <c r="C129" s="38">
        <v>465</v>
      </c>
      <c r="D129" s="7">
        <v>15472</v>
      </c>
      <c r="E129" s="38">
        <v>571</v>
      </c>
      <c r="F129" s="39">
        <v>9.1600000000000004E-4</v>
      </c>
      <c r="G129" t="s">
        <v>3</v>
      </c>
      <c r="H129" s="23" t="s">
        <v>91</v>
      </c>
      <c r="I129" s="23">
        <v>1</v>
      </c>
      <c r="J129" s="23">
        <v>25</v>
      </c>
      <c r="K129" s="8">
        <v>0.82</v>
      </c>
      <c r="L129" s="8">
        <v>0.18000000000000005</v>
      </c>
      <c r="M129">
        <f t="shared" si="1"/>
        <v>8.199999999999999E-3</v>
      </c>
    </row>
    <row r="130" spans="1:13" x14ac:dyDescent="0.3">
      <c r="A130" s="23" t="s">
        <v>105</v>
      </c>
      <c r="B130" t="s">
        <v>22</v>
      </c>
      <c r="C130" s="38">
        <v>180</v>
      </c>
      <c r="D130" s="7">
        <v>29651</v>
      </c>
      <c r="E130" s="38">
        <v>210</v>
      </c>
      <c r="F130" s="39">
        <v>3.186E-3</v>
      </c>
      <c r="G130" t="s">
        <v>0</v>
      </c>
      <c r="H130" s="23" t="s">
        <v>91</v>
      </c>
      <c r="I130" s="23">
        <v>20</v>
      </c>
      <c r="J130" s="23">
        <v>1</v>
      </c>
      <c r="K130" s="8">
        <v>0.42</v>
      </c>
      <c r="L130" s="8">
        <v>0.58000000000000007</v>
      </c>
      <c r="M130">
        <f t="shared" si="1"/>
        <v>4.1999999999999997E-3</v>
      </c>
    </row>
    <row r="131" spans="1:13" x14ac:dyDescent="0.3">
      <c r="A131" s="23" t="s">
        <v>105</v>
      </c>
      <c r="B131" t="s">
        <v>22</v>
      </c>
      <c r="C131" s="38">
        <v>152</v>
      </c>
      <c r="D131" s="7">
        <v>25797</v>
      </c>
      <c r="E131" s="38">
        <v>102</v>
      </c>
      <c r="F131" s="39">
        <v>2.6909999999999998E-3</v>
      </c>
      <c r="G131" t="s">
        <v>1</v>
      </c>
      <c r="H131" s="23" t="s">
        <v>91</v>
      </c>
      <c r="I131" s="23">
        <v>8</v>
      </c>
      <c r="J131" s="23">
        <v>44</v>
      </c>
      <c r="K131" s="8">
        <v>0.26</v>
      </c>
      <c r="L131" s="8">
        <v>0.74</v>
      </c>
      <c r="M131">
        <f t="shared" ref="M131:M194" si="2">K131/100</f>
        <v>2.5999999999999999E-3</v>
      </c>
    </row>
    <row r="132" spans="1:13" x14ac:dyDescent="0.3">
      <c r="A132" s="23" t="s">
        <v>105</v>
      </c>
      <c r="B132" t="s">
        <v>22</v>
      </c>
      <c r="C132" s="38">
        <v>220</v>
      </c>
      <c r="D132" s="7">
        <v>21824</v>
      </c>
      <c r="E132" s="38">
        <v>643</v>
      </c>
      <c r="F132" s="39">
        <v>4.6579999999999998E-3</v>
      </c>
      <c r="G132" t="s">
        <v>2</v>
      </c>
      <c r="H132" s="23" t="s">
        <v>91</v>
      </c>
      <c r="I132" s="23">
        <v>9</v>
      </c>
      <c r="J132" s="23">
        <v>70</v>
      </c>
      <c r="K132" s="8">
        <v>0.77</v>
      </c>
      <c r="L132" s="8">
        <v>0.22999999999999998</v>
      </c>
      <c r="M132">
        <f t="shared" si="2"/>
        <v>7.7000000000000002E-3</v>
      </c>
    </row>
    <row r="133" spans="1:13" x14ac:dyDescent="0.3">
      <c r="A133" s="23" t="s">
        <v>105</v>
      </c>
      <c r="B133" t="s">
        <v>22</v>
      </c>
      <c r="C133" s="38">
        <v>192</v>
      </c>
      <c r="D133" s="7">
        <v>17969</v>
      </c>
      <c r="E133" s="38">
        <v>535</v>
      </c>
      <c r="F133" s="39">
        <v>2.5209999999999998E-3</v>
      </c>
      <c r="G133" t="s">
        <v>3</v>
      </c>
      <c r="H133" s="23" t="s">
        <v>91</v>
      </c>
      <c r="I133" s="23">
        <v>16</v>
      </c>
      <c r="J133" s="23">
        <v>77</v>
      </c>
      <c r="K133" s="8">
        <v>0.52</v>
      </c>
      <c r="L133" s="8">
        <v>0.48</v>
      </c>
      <c r="M133">
        <f t="shared" si="2"/>
        <v>5.1999999999999998E-3</v>
      </c>
    </row>
    <row r="134" spans="1:13" x14ac:dyDescent="0.3">
      <c r="A134" s="23" t="s">
        <v>105</v>
      </c>
      <c r="B134" t="s">
        <v>21</v>
      </c>
      <c r="C134" s="38">
        <v>181</v>
      </c>
      <c r="D134" s="7">
        <v>48232</v>
      </c>
      <c r="E134" s="38">
        <v>659</v>
      </c>
      <c r="F134" s="39">
        <v>1.34E-3</v>
      </c>
      <c r="G134" t="s">
        <v>0</v>
      </c>
      <c r="H134" s="23" t="s">
        <v>91</v>
      </c>
      <c r="I134" s="23">
        <v>12</v>
      </c>
      <c r="J134" s="23">
        <v>15</v>
      </c>
      <c r="K134" s="8">
        <v>0.77</v>
      </c>
      <c r="L134" s="8">
        <v>0.22999999999999998</v>
      </c>
      <c r="M134">
        <f t="shared" si="2"/>
        <v>7.7000000000000002E-3</v>
      </c>
    </row>
    <row r="135" spans="1:13" x14ac:dyDescent="0.3">
      <c r="A135" s="23" t="s">
        <v>105</v>
      </c>
      <c r="B135" t="s">
        <v>21</v>
      </c>
      <c r="C135" s="38">
        <v>440</v>
      </c>
      <c r="D135" s="7">
        <v>58669</v>
      </c>
      <c r="E135" s="38">
        <v>97</v>
      </c>
      <c r="F135" s="39">
        <v>9.1799999999999998E-4</v>
      </c>
      <c r="G135" t="s">
        <v>1</v>
      </c>
      <c r="H135" s="23" t="s">
        <v>91</v>
      </c>
      <c r="I135" s="23">
        <v>20</v>
      </c>
      <c r="J135" s="23">
        <v>45</v>
      </c>
      <c r="K135" s="8">
        <v>0.13</v>
      </c>
      <c r="L135" s="8">
        <v>0.87</v>
      </c>
      <c r="M135">
        <f t="shared" si="2"/>
        <v>1.2999999999999999E-3</v>
      </c>
    </row>
    <row r="136" spans="1:13" x14ac:dyDescent="0.3">
      <c r="A136" s="23" t="s">
        <v>105</v>
      </c>
      <c r="B136" t="s">
        <v>21</v>
      </c>
      <c r="C136" s="38">
        <v>110</v>
      </c>
      <c r="D136" s="7">
        <v>6721</v>
      </c>
      <c r="E136" s="38">
        <v>1005</v>
      </c>
      <c r="F136" s="39">
        <v>4.0679999999999996E-3</v>
      </c>
      <c r="G136" t="s">
        <v>2</v>
      </c>
      <c r="H136" s="23" t="s">
        <v>91</v>
      </c>
      <c r="I136" s="23">
        <v>12</v>
      </c>
      <c r="J136" s="23">
        <v>52</v>
      </c>
      <c r="K136" s="8">
        <v>0.31</v>
      </c>
      <c r="L136" s="8">
        <v>0.69</v>
      </c>
      <c r="M136">
        <f t="shared" si="2"/>
        <v>3.0999999999999999E-3</v>
      </c>
    </row>
    <row r="137" spans="1:13" x14ac:dyDescent="0.3">
      <c r="A137" s="23" t="s">
        <v>105</v>
      </c>
      <c r="B137" t="s">
        <v>21</v>
      </c>
      <c r="C137" s="38">
        <v>369</v>
      </c>
      <c r="D137" s="7">
        <v>17157</v>
      </c>
      <c r="E137" s="38">
        <v>443</v>
      </c>
      <c r="F137" s="39">
        <v>4.2579999999999996E-3</v>
      </c>
      <c r="G137" t="s">
        <v>3</v>
      </c>
      <c r="H137" s="23" t="s">
        <v>91</v>
      </c>
      <c r="I137" s="23">
        <v>23</v>
      </c>
      <c r="J137" s="23">
        <v>56</v>
      </c>
      <c r="K137" s="8">
        <v>0.52</v>
      </c>
      <c r="L137" s="8">
        <v>0.48</v>
      </c>
      <c r="M137">
        <f t="shared" si="2"/>
        <v>5.1999999999999998E-3</v>
      </c>
    </row>
    <row r="138" spans="1:13" x14ac:dyDescent="0.3">
      <c r="A138" s="23" t="s">
        <v>105</v>
      </c>
      <c r="B138" t="s">
        <v>23</v>
      </c>
      <c r="C138" s="38">
        <v>151</v>
      </c>
      <c r="D138" s="7">
        <v>3855</v>
      </c>
      <c r="E138" s="38">
        <v>229</v>
      </c>
      <c r="F138" s="39">
        <v>4.4520000000000002E-3</v>
      </c>
      <c r="G138" t="s">
        <v>0</v>
      </c>
      <c r="H138" s="23" t="s">
        <v>91</v>
      </c>
      <c r="I138" s="23">
        <v>15</v>
      </c>
      <c r="J138" s="23">
        <v>33</v>
      </c>
      <c r="K138" s="8">
        <v>0.62</v>
      </c>
      <c r="L138" s="8">
        <v>0.38</v>
      </c>
      <c r="M138">
        <f t="shared" si="2"/>
        <v>6.1999999999999998E-3</v>
      </c>
    </row>
    <row r="139" spans="1:13" x14ac:dyDescent="0.3">
      <c r="A139" s="23" t="s">
        <v>105</v>
      </c>
      <c r="B139" t="s">
        <v>23</v>
      </c>
      <c r="C139" s="38">
        <v>104</v>
      </c>
      <c r="D139" s="7">
        <v>3873</v>
      </c>
      <c r="E139" s="38">
        <v>299</v>
      </c>
      <c r="F139" s="39">
        <v>3.7369999999999999E-3</v>
      </c>
      <c r="G139" t="s">
        <v>1</v>
      </c>
      <c r="H139" s="23" t="s">
        <v>91</v>
      </c>
      <c r="I139" s="23">
        <v>5</v>
      </c>
      <c r="J139" s="23">
        <v>77</v>
      </c>
      <c r="K139" s="8">
        <v>0.84</v>
      </c>
      <c r="L139" s="8">
        <v>0.16000000000000003</v>
      </c>
      <c r="M139">
        <f t="shared" si="2"/>
        <v>8.3999999999999995E-3</v>
      </c>
    </row>
    <row r="140" spans="1:13" x14ac:dyDescent="0.3">
      <c r="A140" s="23" t="s">
        <v>105</v>
      </c>
      <c r="B140" t="s">
        <v>23</v>
      </c>
      <c r="C140" s="38">
        <v>149</v>
      </c>
      <c r="D140" s="7">
        <v>10396</v>
      </c>
      <c r="E140" s="38">
        <v>207</v>
      </c>
      <c r="F140" s="39">
        <v>2.0110000000000002E-3</v>
      </c>
      <c r="G140" t="s">
        <v>2</v>
      </c>
      <c r="H140" s="23" t="s">
        <v>91</v>
      </c>
      <c r="I140" s="23">
        <v>5</v>
      </c>
      <c r="J140" s="23">
        <v>5</v>
      </c>
      <c r="K140" s="8">
        <v>0.56999999999999995</v>
      </c>
      <c r="L140" s="8">
        <v>0.43000000000000005</v>
      </c>
      <c r="M140">
        <f t="shared" si="2"/>
        <v>5.6999999999999993E-3</v>
      </c>
    </row>
    <row r="141" spans="1:13" x14ac:dyDescent="0.3">
      <c r="A141" s="23" t="s">
        <v>105</v>
      </c>
      <c r="B141" t="s">
        <v>23</v>
      </c>
      <c r="C141" s="38">
        <v>102</v>
      </c>
      <c r="D141" s="7">
        <v>10414</v>
      </c>
      <c r="E141" s="38">
        <v>278</v>
      </c>
      <c r="F141" s="39">
        <v>2.5360000000000001E-3</v>
      </c>
      <c r="G141" t="s">
        <v>3</v>
      </c>
      <c r="H141" s="23" t="s">
        <v>91</v>
      </c>
      <c r="I141" s="23">
        <v>9</v>
      </c>
      <c r="J141" s="23">
        <v>40</v>
      </c>
      <c r="K141" s="8">
        <v>0.32</v>
      </c>
      <c r="L141" s="8">
        <v>0.67999999999999994</v>
      </c>
      <c r="M141">
        <f t="shared" si="2"/>
        <v>3.2000000000000002E-3</v>
      </c>
    </row>
    <row r="142" spans="1:13" x14ac:dyDescent="0.3">
      <c r="A142" s="23" t="s">
        <v>105</v>
      </c>
      <c r="B142" t="s">
        <v>24</v>
      </c>
      <c r="C142" s="38">
        <v>194</v>
      </c>
      <c r="D142" s="7">
        <v>9491</v>
      </c>
      <c r="E142" s="38">
        <v>173</v>
      </c>
      <c r="F142" s="39">
        <v>3.934E-3</v>
      </c>
      <c r="G142" t="s">
        <v>0</v>
      </c>
      <c r="H142" s="23" t="s">
        <v>91</v>
      </c>
      <c r="I142" s="23">
        <v>17</v>
      </c>
      <c r="J142" s="23">
        <v>66</v>
      </c>
      <c r="K142" s="8">
        <v>0.71</v>
      </c>
      <c r="L142" s="8">
        <v>0.29000000000000004</v>
      </c>
      <c r="M142">
        <f t="shared" si="2"/>
        <v>7.0999999999999995E-3</v>
      </c>
    </row>
    <row r="143" spans="1:13" x14ac:dyDescent="0.3">
      <c r="A143" s="23" t="s">
        <v>105</v>
      </c>
      <c r="B143" t="s">
        <v>24</v>
      </c>
      <c r="C143" s="38">
        <v>63</v>
      </c>
      <c r="D143" s="7">
        <v>10115</v>
      </c>
      <c r="E143" s="38">
        <v>155</v>
      </c>
      <c r="F143" s="39">
        <v>3.019E-3</v>
      </c>
      <c r="G143" t="s">
        <v>1</v>
      </c>
      <c r="H143" s="23" t="s">
        <v>91</v>
      </c>
      <c r="I143" s="23">
        <v>17</v>
      </c>
      <c r="J143" s="23">
        <v>73</v>
      </c>
      <c r="K143" s="8">
        <v>0.73</v>
      </c>
      <c r="L143" s="8">
        <v>0.27</v>
      </c>
      <c r="M143">
        <f t="shared" si="2"/>
        <v>7.3000000000000001E-3</v>
      </c>
    </row>
    <row r="144" spans="1:13" x14ac:dyDescent="0.3">
      <c r="A144" s="23" t="s">
        <v>105</v>
      </c>
      <c r="B144" t="s">
        <v>24</v>
      </c>
      <c r="C144" s="38">
        <v>162</v>
      </c>
      <c r="D144" s="7">
        <v>10496</v>
      </c>
      <c r="E144" s="38">
        <v>295</v>
      </c>
      <c r="F144" s="39">
        <v>2.3419999999999999E-3</v>
      </c>
      <c r="G144" t="s">
        <v>2</v>
      </c>
      <c r="H144" s="23" t="s">
        <v>91</v>
      </c>
      <c r="I144" s="23">
        <v>20</v>
      </c>
      <c r="J144" s="23">
        <v>4</v>
      </c>
      <c r="K144" s="8">
        <v>0.28000000000000003</v>
      </c>
      <c r="L144" s="8">
        <v>0.72</v>
      </c>
      <c r="M144">
        <f t="shared" si="2"/>
        <v>2.8000000000000004E-3</v>
      </c>
    </row>
    <row r="145" spans="1:13" x14ac:dyDescent="0.3">
      <c r="A145" s="23" t="s">
        <v>105</v>
      </c>
      <c r="B145" t="s">
        <v>24</v>
      </c>
      <c r="C145" s="38">
        <v>31</v>
      </c>
      <c r="D145" s="7">
        <v>11120</v>
      </c>
      <c r="E145" s="38">
        <v>277</v>
      </c>
      <c r="F145" s="39">
        <v>4.7790000000000003E-3</v>
      </c>
      <c r="G145" t="s">
        <v>3</v>
      </c>
      <c r="H145" s="23" t="s">
        <v>91</v>
      </c>
      <c r="I145" s="23">
        <v>10</v>
      </c>
      <c r="J145" s="23">
        <v>75</v>
      </c>
      <c r="K145" s="8">
        <v>0.78</v>
      </c>
      <c r="L145" s="8">
        <v>0.21999999999999997</v>
      </c>
      <c r="M145">
        <f t="shared" si="2"/>
        <v>7.8000000000000005E-3</v>
      </c>
    </row>
    <row r="146" spans="1:13" x14ac:dyDescent="0.3">
      <c r="A146" s="23" t="s">
        <v>106</v>
      </c>
      <c r="B146" t="s">
        <v>19</v>
      </c>
      <c r="C146" s="38">
        <v>318</v>
      </c>
      <c r="D146" s="7">
        <v>87578</v>
      </c>
      <c r="E146" s="38">
        <v>701</v>
      </c>
      <c r="F146" s="39">
        <v>2.6359999999999999E-3</v>
      </c>
      <c r="G146" t="s">
        <v>0</v>
      </c>
      <c r="H146" s="23" t="s">
        <v>90</v>
      </c>
      <c r="I146" s="23">
        <v>10</v>
      </c>
      <c r="J146" s="23">
        <v>33</v>
      </c>
      <c r="K146" s="8">
        <v>0.53</v>
      </c>
      <c r="L146" s="8">
        <v>0.47</v>
      </c>
      <c r="M146">
        <f t="shared" si="2"/>
        <v>5.3E-3</v>
      </c>
    </row>
    <row r="147" spans="1:13" x14ac:dyDescent="0.3">
      <c r="A147" s="23" t="s">
        <v>106</v>
      </c>
      <c r="B147" t="s">
        <v>19</v>
      </c>
      <c r="C147" s="38">
        <v>36</v>
      </c>
      <c r="D147" s="7">
        <v>27353</v>
      </c>
      <c r="E147" s="38">
        <v>294</v>
      </c>
      <c r="F147" s="39">
        <v>2.1710000000000002E-3</v>
      </c>
      <c r="G147" t="s">
        <v>1</v>
      </c>
      <c r="H147" s="23" t="s">
        <v>90</v>
      </c>
      <c r="I147" s="23">
        <v>1</v>
      </c>
      <c r="J147" s="23">
        <v>40</v>
      </c>
      <c r="K147" s="8">
        <v>0.31</v>
      </c>
      <c r="L147" s="8">
        <v>0.69</v>
      </c>
      <c r="M147">
        <f t="shared" si="2"/>
        <v>3.0999999999999999E-3</v>
      </c>
    </row>
    <row r="148" spans="1:13" x14ac:dyDescent="0.3">
      <c r="A148" s="23" t="s">
        <v>106</v>
      </c>
      <c r="B148" t="s">
        <v>19</v>
      </c>
      <c r="C148" s="38">
        <v>435</v>
      </c>
      <c r="D148" s="7">
        <v>190190</v>
      </c>
      <c r="E148" s="38">
        <v>649</v>
      </c>
      <c r="F148" s="39">
        <v>1.7750000000000001E-3</v>
      </c>
      <c r="G148" t="s">
        <v>2</v>
      </c>
      <c r="H148" s="23" t="s">
        <v>90</v>
      </c>
      <c r="I148" s="23">
        <v>12</v>
      </c>
      <c r="J148" s="23">
        <v>29</v>
      </c>
      <c r="K148" s="8">
        <v>0.15</v>
      </c>
      <c r="L148" s="8">
        <v>0.85</v>
      </c>
      <c r="M148">
        <f t="shared" si="2"/>
        <v>1.5E-3</v>
      </c>
    </row>
    <row r="149" spans="1:13" x14ac:dyDescent="0.3">
      <c r="A149" s="23" t="s">
        <v>106</v>
      </c>
      <c r="B149" t="s">
        <v>19</v>
      </c>
      <c r="C149" s="38">
        <v>153</v>
      </c>
      <c r="D149" s="7">
        <v>129965</v>
      </c>
      <c r="E149" s="38">
        <v>242</v>
      </c>
      <c r="F149" s="39">
        <v>2.5920000000000001E-3</v>
      </c>
      <c r="G149" t="s">
        <v>3</v>
      </c>
      <c r="H149" s="23" t="s">
        <v>90</v>
      </c>
      <c r="I149" s="23">
        <v>11</v>
      </c>
      <c r="J149" s="23">
        <v>45</v>
      </c>
      <c r="K149" s="8">
        <v>0.48</v>
      </c>
      <c r="L149" s="8">
        <v>0.52</v>
      </c>
      <c r="M149">
        <f t="shared" si="2"/>
        <v>4.7999999999999996E-3</v>
      </c>
    </row>
    <row r="150" spans="1:13" x14ac:dyDescent="0.3">
      <c r="A150" s="23" t="s">
        <v>106</v>
      </c>
      <c r="B150" t="s">
        <v>20</v>
      </c>
      <c r="C150" s="38">
        <v>921</v>
      </c>
      <c r="D150" s="7">
        <v>19713</v>
      </c>
      <c r="E150" s="38">
        <v>1428</v>
      </c>
      <c r="F150" s="39">
        <v>1.7700000000000001E-3</v>
      </c>
      <c r="G150" t="s">
        <v>0</v>
      </c>
      <c r="H150" s="23" t="s">
        <v>90</v>
      </c>
      <c r="I150" s="23">
        <v>10</v>
      </c>
      <c r="J150" s="23">
        <v>49</v>
      </c>
      <c r="K150" s="8">
        <v>0.1</v>
      </c>
      <c r="L150" s="8">
        <v>0.9</v>
      </c>
      <c r="M150">
        <f t="shared" si="2"/>
        <v>1E-3</v>
      </c>
    </row>
    <row r="151" spans="1:13" x14ac:dyDescent="0.3">
      <c r="A151" s="23" t="s">
        <v>106</v>
      </c>
      <c r="B151" t="s">
        <v>20</v>
      </c>
      <c r="C151" s="38">
        <v>1384</v>
      </c>
      <c r="D151" s="7">
        <v>31608</v>
      </c>
      <c r="E151" s="38">
        <v>1522</v>
      </c>
      <c r="F151" s="39">
        <v>2.4599999999999999E-3</v>
      </c>
      <c r="G151" t="s">
        <v>1</v>
      </c>
      <c r="H151" s="23" t="s">
        <v>90</v>
      </c>
      <c r="I151" s="23">
        <v>13</v>
      </c>
      <c r="J151" s="23">
        <v>1</v>
      </c>
      <c r="K151" s="8">
        <v>0.52</v>
      </c>
      <c r="L151" s="8">
        <v>0.48</v>
      </c>
      <c r="M151">
        <f t="shared" si="2"/>
        <v>5.1999999999999998E-3</v>
      </c>
    </row>
    <row r="152" spans="1:13" x14ac:dyDescent="0.3">
      <c r="A152" s="23" t="s">
        <v>106</v>
      </c>
      <c r="B152" t="s">
        <v>20</v>
      </c>
      <c r="C152" s="38">
        <v>316</v>
      </c>
      <c r="D152" s="7">
        <v>23378</v>
      </c>
      <c r="E152" s="38">
        <v>1878</v>
      </c>
      <c r="F152" s="39">
        <v>1.7669999999999999E-3</v>
      </c>
      <c r="G152" t="s">
        <v>2</v>
      </c>
      <c r="H152" s="23" t="s">
        <v>90</v>
      </c>
      <c r="I152" s="23">
        <v>12</v>
      </c>
      <c r="J152" s="23">
        <v>39</v>
      </c>
      <c r="K152" s="8">
        <v>0.46</v>
      </c>
      <c r="L152" s="8">
        <v>0.54</v>
      </c>
      <c r="M152">
        <f t="shared" si="2"/>
        <v>4.5999999999999999E-3</v>
      </c>
    </row>
    <row r="153" spans="1:13" x14ac:dyDescent="0.3">
      <c r="A153" s="23" t="s">
        <v>106</v>
      </c>
      <c r="B153" t="s">
        <v>20</v>
      </c>
      <c r="C153" s="38">
        <v>778</v>
      </c>
      <c r="D153" s="7">
        <v>35274</v>
      </c>
      <c r="E153" s="38">
        <v>1972</v>
      </c>
      <c r="F153" s="39">
        <v>1.1529999999999999E-3</v>
      </c>
      <c r="G153" t="s">
        <v>3</v>
      </c>
      <c r="H153" s="23" t="s">
        <v>90</v>
      </c>
      <c r="I153" s="23">
        <v>5</v>
      </c>
      <c r="J153" s="23">
        <v>43</v>
      </c>
      <c r="K153" s="8">
        <v>0.55000000000000004</v>
      </c>
      <c r="L153" s="8">
        <v>0.44999999999999996</v>
      </c>
      <c r="M153">
        <f t="shared" si="2"/>
        <v>5.5000000000000005E-3</v>
      </c>
    </row>
    <row r="154" spans="1:13" x14ac:dyDescent="0.3">
      <c r="A154" s="23" t="s">
        <v>106</v>
      </c>
      <c r="B154" t="s">
        <v>22</v>
      </c>
      <c r="C154" s="38">
        <v>27</v>
      </c>
      <c r="D154" s="7">
        <v>155407</v>
      </c>
      <c r="E154" s="38">
        <v>47</v>
      </c>
      <c r="F154" s="39">
        <v>2.5469999999999998E-3</v>
      </c>
      <c r="G154" t="s">
        <v>0</v>
      </c>
      <c r="H154" s="23" t="s">
        <v>90</v>
      </c>
      <c r="I154" s="23">
        <v>16</v>
      </c>
      <c r="J154" s="23">
        <v>26</v>
      </c>
      <c r="K154" s="8">
        <v>0.18</v>
      </c>
      <c r="L154" s="8">
        <v>0.82000000000000006</v>
      </c>
      <c r="M154">
        <f t="shared" si="2"/>
        <v>1.8E-3</v>
      </c>
    </row>
    <row r="155" spans="1:13" x14ac:dyDescent="0.3">
      <c r="A155" s="23" t="s">
        <v>106</v>
      </c>
      <c r="B155" t="s">
        <v>22</v>
      </c>
      <c r="C155" s="38">
        <v>86</v>
      </c>
      <c r="D155" s="7">
        <v>96774</v>
      </c>
      <c r="E155" s="38">
        <v>235</v>
      </c>
      <c r="F155" s="39">
        <v>2.6970000000000002E-3</v>
      </c>
      <c r="G155" t="s">
        <v>1</v>
      </c>
      <c r="H155" s="23" t="s">
        <v>90</v>
      </c>
      <c r="I155" s="23">
        <v>9</v>
      </c>
      <c r="J155" s="23">
        <v>16</v>
      </c>
      <c r="K155" s="8">
        <v>0.27</v>
      </c>
      <c r="L155" s="8">
        <v>0.73</v>
      </c>
      <c r="M155">
        <f t="shared" si="2"/>
        <v>2.7000000000000001E-3</v>
      </c>
    </row>
    <row r="156" spans="1:13" x14ac:dyDescent="0.3">
      <c r="A156" s="23" t="s">
        <v>106</v>
      </c>
      <c r="B156" t="s">
        <v>22</v>
      </c>
      <c r="C156" s="38">
        <v>82</v>
      </c>
      <c r="D156" s="7">
        <v>158083</v>
      </c>
      <c r="E156" s="38">
        <v>101</v>
      </c>
      <c r="F156" s="39">
        <v>1.152E-3</v>
      </c>
      <c r="G156" t="s">
        <v>2</v>
      </c>
      <c r="H156" s="23" t="s">
        <v>90</v>
      </c>
      <c r="I156" s="23">
        <v>13</v>
      </c>
      <c r="J156" s="23">
        <v>39</v>
      </c>
      <c r="K156" s="8">
        <v>0.66</v>
      </c>
      <c r="L156" s="8">
        <v>0.33999999999999997</v>
      </c>
      <c r="M156">
        <f t="shared" si="2"/>
        <v>6.6E-3</v>
      </c>
    </row>
    <row r="157" spans="1:13" x14ac:dyDescent="0.3">
      <c r="A157" s="23" t="s">
        <v>106</v>
      </c>
      <c r="B157" t="s">
        <v>22</v>
      </c>
      <c r="C157" s="38">
        <v>141</v>
      </c>
      <c r="D157" s="7">
        <v>99450</v>
      </c>
      <c r="E157" s="38">
        <v>290</v>
      </c>
      <c r="F157" s="39">
        <v>2.516E-3</v>
      </c>
      <c r="G157" t="s">
        <v>3</v>
      </c>
      <c r="H157" s="23" t="s">
        <v>90</v>
      </c>
      <c r="I157" s="23">
        <v>1</v>
      </c>
      <c r="J157" s="23">
        <v>13</v>
      </c>
      <c r="K157" s="8">
        <v>0.11</v>
      </c>
      <c r="L157" s="8">
        <v>0.89</v>
      </c>
      <c r="M157">
        <f t="shared" si="2"/>
        <v>1.1000000000000001E-3</v>
      </c>
    </row>
    <row r="158" spans="1:13" x14ac:dyDescent="0.3">
      <c r="A158" s="23" t="s">
        <v>106</v>
      </c>
      <c r="B158" t="s">
        <v>21</v>
      </c>
      <c r="C158" s="38">
        <v>405</v>
      </c>
      <c r="D158" s="7">
        <v>52262</v>
      </c>
      <c r="E158" s="38">
        <v>614</v>
      </c>
      <c r="F158" s="39">
        <v>1.456E-3</v>
      </c>
      <c r="G158" t="s">
        <v>0</v>
      </c>
      <c r="H158" s="23" t="s">
        <v>90</v>
      </c>
      <c r="I158" s="23">
        <v>4</v>
      </c>
      <c r="J158" s="23">
        <v>60</v>
      </c>
      <c r="K158" s="8">
        <v>0.6</v>
      </c>
      <c r="L158" s="8">
        <v>0.4</v>
      </c>
      <c r="M158">
        <f t="shared" si="2"/>
        <v>6.0000000000000001E-3</v>
      </c>
    </row>
    <row r="159" spans="1:13" x14ac:dyDescent="0.3">
      <c r="A159" s="23" t="s">
        <v>106</v>
      </c>
      <c r="B159" t="s">
        <v>21</v>
      </c>
      <c r="C159" s="38">
        <v>295</v>
      </c>
      <c r="D159" s="7">
        <v>66159</v>
      </c>
      <c r="E159" s="38">
        <v>874</v>
      </c>
      <c r="F159" s="39">
        <v>1.036E-3</v>
      </c>
      <c r="G159" t="s">
        <v>1</v>
      </c>
      <c r="H159" s="23" t="s">
        <v>90</v>
      </c>
      <c r="I159" s="23">
        <v>1</v>
      </c>
      <c r="J159" s="23">
        <v>18</v>
      </c>
      <c r="K159" s="8">
        <v>0.33</v>
      </c>
      <c r="L159" s="8">
        <v>0.66999999999999993</v>
      </c>
      <c r="M159">
        <f t="shared" si="2"/>
        <v>3.3E-3</v>
      </c>
    </row>
    <row r="160" spans="1:13" x14ac:dyDescent="0.3">
      <c r="A160" s="23" t="s">
        <v>106</v>
      </c>
      <c r="B160" t="s">
        <v>21</v>
      </c>
      <c r="C160" s="38">
        <v>244</v>
      </c>
      <c r="D160" s="7">
        <v>28246</v>
      </c>
      <c r="E160" s="38">
        <v>205</v>
      </c>
      <c r="F160" s="39">
        <v>1.6659999999999999E-3</v>
      </c>
      <c r="G160" t="s">
        <v>2</v>
      </c>
      <c r="H160" s="23" t="s">
        <v>90</v>
      </c>
      <c r="I160" s="23">
        <v>18</v>
      </c>
      <c r="J160" s="23">
        <v>65</v>
      </c>
      <c r="K160" s="8">
        <v>0.33</v>
      </c>
      <c r="L160" s="8">
        <v>0.66999999999999993</v>
      </c>
      <c r="M160">
        <f t="shared" si="2"/>
        <v>3.3E-3</v>
      </c>
    </row>
    <row r="161" spans="1:13" x14ac:dyDescent="0.3">
      <c r="A161" s="23" t="s">
        <v>106</v>
      </c>
      <c r="B161" t="s">
        <v>21</v>
      </c>
      <c r="C161" s="38">
        <v>134</v>
      </c>
      <c r="D161" s="7">
        <v>42143</v>
      </c>
      <c r="E161" s="38">
        <v>465</v>
      </c>
      <c r="F161" s="39">
        <v>1.2819999999999999E-3</v>
      </c>
      <c r="G161" t="s">
        <v>3</v>
      </c>
      <c r="H161" s="23" t="s">
        <v>90</v>
      </c>
      <c r="I161" s="23">
        <v>23</v>
      </c>
      <c r="J161" s="23">
        <v>60</v>
      </c>
      <c r="K161" s="8">
        <v>0.81</v>
      </c>
      <c r="L161" s="8">
        <v>0.18999999999999995</v>
      </c>
      <c r="M161">
        <f t="shared" si="2"/>
        <v>8.1000000000000013E-3</v>
      </c>
    </row>
    <row r="162" spans="1:13" x14ac:dyDescent="0.3">
      <c r="A162" s="23" t="s">
        <v>106</v>
      </c>
      <c r="B162" t="s">
        <v>23</v>
      </c>
      <c r="C162" s="38">
        <v>140</v>
      </c>
      <c r="D162" s="7">
        <v>24294</v>
      </c>
      <c r="E162" s="38">
        <v>368</v>
      </c>
      <c r="F162" s="39">
        <v>1.521E-3</v>
      </c>
      <c r="G162" t="s">
        <v>0</v>
      </c>
      <c r="H162" s="23" t="s">
        <v>90</v>
      </c>
      <c r="I162" s="23">
        <v>8</v>
      </c>
      <c r="J162" s="23">
        <v>10</v>
      </c>
      <c r="K162" s="8">
        <v>0.32</v>
      </c>
      <c r="L162" s="8">
        <v>0.67999999999999994</v>
      </c>
      <c r="M162">
        <f t="shared" si="2"/>
        <v>3.2000000000000002E-3</v>
      </c>
    </row>
    <row r="163" spans="1:13" x14ac:dyDescent="0.3">
      <c r="A163" s="23" t="s">
        <v>106</v>
      </c>
      <c r="B163" t="s">
        <v>23</v>
      </c>
      <c r="C163" s="38">
        <v>138</v>
      </c>
      <c r="D163" s="7">
        <v>27482</v>
      </c>
      <c r="E163" s="38">
        <v>490</v>
      </c>
      <c r="F163" s="39">
        <v>1.042E-3</v>
      </c>
      <c r="G163" t="s">
        <v>1</v>
      </c>
      <c r="H163" s="23" t="s">
        <v>90</v>
      </c>
      <c r="I163" s="23">
        <v>9</v>
      </c>
      <c r="J163" s="23">
        <v>27</v>
      </c>
      <c r="K163" s="8">
        <v>0.31</v>
      </c>
      <c r="L163" s="8">
        <v>0.69</v>
      </c>
      <c r="M163">
        <f t="shared" si="2"/>
        <v>3.0999999999999999E-3</v>
      </c>
    </row>
    <row r="164" spans="1:13" x14ac:dyDescent="0.3">
      <c r="A164" s="23" t="s">
        <v>106</v>
      </c>
      <c r="B164" t="s">
        <v>23</v>
      </c>
      <c r="C164" s="38">
        <v>133</v>
      </c>
      <c r="D164" s="7">
        <v>16465</v>
      </c>
      <c r="E164" s="38">
        <v>54</v>
      </c>
      <c r="F164" s="39">
        <v>1.7361111111111112E-4</v>
      </c>
      <c r="G164" t="s">
        <v>2</v>
      </c>
      <c r="H164" s="23" t="s">
        <v>90</v>
      </c>
      <c r="I164" s="23">
        <v>17</v>
      </c>
      <c r="J164" s="23">
        <v>19</v>
      </c>
      <c r="K164" s="8">
        <v>0.25</v>
      </c>
      <c r="L164" s="8">
        <v>0.75</v>
      </c>
      <c r="M164">
        <f t="shared" si="2"/>
        <v>2.5000000000000001E-3</v>
      </c>
    </row>
    <row r="165" spans="1:13" x14ac:dyDescent="0.3">
      <c r="A165" s="23" t="s">
        <v>106</v>
      </c>
      <c r="B165" t="s">
        <v>23</v>
      </c>
      <c r="C165" s="38">
        <v>131</v>
      </c>
      <c r="D165" s="7">
        <v>19653</v>
      </c>
      <c r="E165" s="38">
        <v>175</v>
      </c>
      <c r="F165" s="39">
        <v>1.0416666666666667E-4</v>
      </c>
      <c r="G165" t="s">
        <v>3</v>
      </c>
      <c r="H165" s="23" t="s">
        <v>90</v>
      </c>
      <c r="I165" s="23">
        <v>11</v>
      </c>
      <c r="J165" s="23">
        <v>50</v>
      </c>
      <c r="K165" s="8">
        <v>0.56999999999999995</v>
      </c>
      <c r="L165" s="8">
        <v>0.43000000000000005</v>
      </c>
      <c r="M165">
        <f t="shared" si="2"/>
        <v>5.6999999999999993E-3</v>
      </c>
    </row>
    <row r="166" spans="1:13" x14ac:dyDescent="0.3">
      <c r="A166" s="23" t="s">
        <v>106</v>
      </c>
      <c r="B166" t="s">
        <v>24</v>
      </c>
      <c r="C166" s="38">
        <v>36</v>
      </c>
      <c r="D166" s="7">
        <v>46626</v>
      </c>
      <c r="E166" s="38">
        <v>50</v>
      </c>
      <c r="F166" s="39">
        <v>2.2980000000000001E-3</v>
      </c>
      <c r="G166" t="s">
        <v>0</v>
      </c>
      <c r="H166" s="23" t="s">
        <v>90</v>
      </c>
      <c r="I166" s="23">
        <v>15</v>
      </c>
      <c r="J166" s="23">
        <v>6</v>
      </c>
      <c r="K166" s="8">
        <v>0.85</v>
      </c>
      <c r="L166" s="8">
        <v>0.15000000000000002</v>
      </c>
      <c r="M166">
        <f t="shared" si="2"/>
        <v>8.5000000000000006E-3</v>
      </c>
    </row>
    <row r="167" spans="1:13" x14ac:dyDescent="0.3">
      <c r="A167" s="23" t="s">
        <v>106</v>
      </c>
      <c r="B167" t="s">
        <v>24</v>
      </c>
      <c r="C167" s="38">
        <v>50</v>
      </c>
      <c r="D167" s="7">
        <v>41793</v>
      </c>
      <c r="E167" s="38">
        <v>74</v>
      </c>
      <c r="F167" s="39">
        <v>2.5690000000000001E-3</v>
      </c>
      <c r="G167" t="s">
        <v>1</v>
      </c>
      <c r="H167" s="23" t="s">
        <v>90</v>
      </c>
      <c r="I167" s="23">
        <v>22</v>
      </c>
      <c r="J167" s="23">
        <v>38</v>
      </c>
      <c r="K167" s="8">
        <v>0.32</v>
      </c>
      <c r="L167" s="8">
        <v>0.67999999999999994</v>
      </c>
      <c r="M167">
        <f t="shared" si="2"/>
        <v>3.2000000000000002E-3</v>
      </c>
    </row>
    <row r="168" spans="1:13" x14ac:dyDescent="0.3">
      <c r="A168" s="23" t="s">
        <v>106</v>
      </c>
      <c r="B168" t="s">
        <v>24</v>
      </c>
      <c r="C168" s="38">
        <v>32</v>
      </c>
      <c r="D168" s="7">
        <v>59636</v>
      </c>
      <c r="E168" s="38">
        <v>93</v>
      </c>
      <c r="F168" s="39">
        <v>1.9040000000000001E-3</v>
      </c>
      <c r="G168" t="s">
        <v>2</v>
      </c>
      <c r="H168" s="23" t="s">
        <v>90</v>
      </c>
      <c r="I168" s="23">
        <v>6</v>
      </c>
      <c r="J168" s="23">
        <v>47</v>
      </c>
      <c r="K168" s="8">
        <v>0.86</v>
      </c>
      <c r="L168" s="8">
        <v>0.14000000000000001</v>
      </c>
      <c r="M168">
        <f t="shared" si="2"/>
        <v>8.6E-3</v>
      </c>
    </row>
    <row r="169" spans="1:13" x14ac:dyDescent="0.3">
      <c r="A169" s="23" t="s">
        <v>106</v>
      </c>
      <c r="B169" t="s">
        <v>24</v>
      </c>
      <c r="C169" s="38">
        <v>47</v>
      </c>
      <c r="D169" s="7">
        <v>54803</v>
      </c>
      <c r="E169" s="38">
        <v>117</v>
      </c>
      <c r="F169" s="39">
        <v>1.2999999999999999E-3</v>
      </c>
      <c r="G169" t="s">
        <v>3</v>
      </c>
      <c r="H169" s="23" t="s">
        <v>90</v>
      </c>
      <c r="I169" s="23">
        <v>22</v>
      </c>
      <c r="J169" s="23">
        <v>12</v>
      </c>
      <c r="K169" s="8">
        <v>0.31</v>
      </c>
      <c r="L169" s="8">
        <v>0.69</v>
      </c>
      <c r="M169">
        <f t="shared" si="2"/>
        <v>3.0999999999999999E-3</v>
      </c>
    </row>
    <row r="170" spans="1:13" x14ac:dyDescent="0.3">
      <c r="A170" s="23" t="s">
        <v>106</v>
      </c>
      <c r="B170" t="s">
        <v>19</v>
      </c>
      <c r="C170" s="38">
        <v>76</v>
      </c>
      <c r="D170" s="7">
        <v>85085</v>
      </c>
      <c r="E170" s="38">
        <v>607</v>
      </c>
      <c r="F170" s="39">
        <v>1.9675925925925926E-4</v>
      </c>
      <c r="G170" t="s">
        <v>0</v>
      </c>
      <c r="H170" s="23" t="s">
        <v>89</v>
      </c>
      <c r="I170" s="23">
        <v>7</v>
      </c>
      <c r="J170" s="23">
        <v>14</v>
      </c>
      <c r="K170" s="8">
        <v>0.15</v>
      </c>
      <c r="L170" s="8">
        <v>0.85</v>
      </c>
      <c r="M170">
        <f t="shared" si="2"/>
        <v>1.5E-3</v>
      </c>
    </row>
    <row r="171" spans="1:13" x14ac:dyDescent="0.3">
      <c r="A171" s="23" t="s">
        <v>106</v>
      </c>
      <c r="B171" t="s">
        <v>19</v>
      </c>
      <c r="C171" s="38">
        <v>295</v>
      </c>
      <c r="D171" s="7">
        <v>55759</v>
      </c>
      <c r="E171" s="38">
        <v>827</v>
      </c>
      <c r="F171" s="39">
        <v>1.462E-3</v>
      </c>
      <c r="G171" t="s">
        <v>1</v>
      </c>
      <c r="H171" s="23" t="s">
        <v>89</v>
      </c>
      <c r="I171" s="23">
        <v>23</v>
      </c>
      <c r="J171" s="23">
        <v>18</v>
      </c>
      <c r="K171" s="8">
        <v>0.81</v>
      </c>
      <c r="L171" s="8">
        <v>0.18999999999999995</v>
      </c>
      <c r="M171">
        <f t="shared" si="2"/>
        <v>8.1000000000000013E-3</v>
      </c>
    </row>
    <row r="172" spans="1:13" x14ac:dyDescent="0.3">
      <c r="A172" s="23" t="s">
        <v>106</v>
      </c>
      <c r="B172" t="s">
        <v>19</v>
      </c>
      <c r="C172" s="38">
        <v>303</v>
      </c>
      <c r="D172" s="7">
        <v>87572</v>
      </c>
      <c r="E172" s="38">
        <v>371</v>
      </c>
      <c r="F172" s="39">
        <v>2.7950000000000002E-3</v>
      </c>
      <c r="G172" t="s">
        <v>2</v>
      </c>
      <c r="H172" s="23" t="s">
        <v>89</v>
      </c>
      <c r="I172" s="23">
        <v>5</v>
      </c>
      <c r="J172" s="23">
        <v>35</v>
      </c>
      <c r="K172" s="8">
        <v>0.63</v>
      </c>
      <c r="L172" s="8">
        <v>0.37</v>
      </c>
      <c r="M172">
        <f t="shared" si="2"/>
        <v>6.3E-3</v>
      </c>
    </row>
    <row r="173" spans="1:13" x14ac:dyDescent="0.3">
      <c r="A173" s="23" t="s">
        <v>106</v>
      </c>
      <c r="B173" t="s">
        <v>19</v>
      </c>
      <c r="C173" s="38">
        <v>523</v>
      </c>
      <c r="D173" s="7">
        <v>58246</v>
      </c>
      <c r="E173" s="38">
        <v>591</v>
      </c>
      <c r="F173" s="39">
        <v>1.2340000000000001E-3</v>
      </c>
      <c r="G173" t="s">
        <v>3</v>
      </c>
      <c r="H173" s="23" t="s">
        <v>89</v>
      </c>
      <c r="I173" s="23">
        <v>12</v>
      </c>
      <c r="J173" s="23">
        <v>42</v>
      </c>
      <c r="K173" s="8">
        <v>0.34</v>
      </c>
      <c r="L173" s="8">
        <v>0.65999999999999992</v>
      </c>
      <c r="M173">
        <f t="shared" si="2"/>
        <v>3.4000000000000002E-3</v>
      </c>
    </row>
    <row r="174" spans="1:13" x14ac:dyDescent="0.3">
      <c r="A174" s="23" t="s">
        <v>106</v>
      </c>
      <c r="B174" t="s">
        <v>20</v>
      </c>
      <c r="C174" s="38">
        <v>469</v>
      </c>
      <c r="D174" s="7">
        <v>21106</v>
      </c>
      <c r="E174" s="38">
        <v>1066</v>
      </c>
      <c r="F174" s="39">
        <v>1.353E-3</v>
      </c>
      <c r="G174" t="s">
        <v>0</v>
      </c>
      <c r="H174" s="23" t="s">
        <v>89</v>
      </c>
      <c r="I174" s="23">
        <v>4</v>
      </c>
      <c r="J174" s="23">
        <v>51</v>
      </c>
      <c r="K174" s="8">
        <v>0.78</v>
      </c>
      <c r="L174" s="8">
        <v>0.21999999999999997</v>
      </c>
      <c r="M174">
        <f t="shared" si="2"/>
        <v>7.8000000000000005E-3</v>
      </c>
    </row>
    <row r="175" spans="1:13" x14ac:dyDescent="0.3">
      <c r="A175" s="23" t="s">
        <v>106</v>
      </c>
      <c r="B175" t="s">
        <v>20</v>
      </c>
      <c r="C175" s="38">
        <v>130</v>
      </c>
      <c r="D175" s="7">
        <v>18020</v>
      </c>
      <c r="E175" s="38">
        <v>951</v>
      </c>
      <c r="F175" s="39">
        <v>1.1590000000000001E-3</v>
      </c>
      <c r="G175" t="s">
        <v>1</v>
      </c>
      <c r="H175" s="23" t="s">
        <v>89</v>
      </c>
      <c r="I175" s="23">
        <v>21</v>
      </c>
      <c r="J175" s="23">
        <v>30</v>
      </c>
      <c r="K175" s="8">
        <v>0.14000000000000001</v>
      </c>
      <c r="L175" s="8">
        <v>0.86</v>
      </c>
      <c r="M175">
        <f t="shared" si="2"/>
        <v>1.4000000000000002E-3</v>
      </c>
    </row>
    <row r="176" spans="1:13" x14ac:dyDescent="0.3">
      <c r="A176" s="23" t="s">
        <v>106</v>
      </c>
      <c r="B176" t="s">
        <v>20</v>
      </c>
      <c r="C176" s="38">
        <v>646</v>
      </c>
      <c r="D176" s="7">
        <v>18208</v>
      </c>
      <c r="E176" s="38">
        <v>601</v>
      </c>
      <c r="F176" s="39">
        <v>1.0499999999999999E-3</v>
      </c>
      <c r="G176" t="s">
        <v>2</v>
      </c>
      <c r="H176" s="23" t="s">
        <v>89</v>
      </c>
      <c r="I176" s="23">
        <v>2</v>
      </c>
      <c r="J176" s="23">
        <v>21</v>
      </c>
      <c r="K176" s="8">
        <v>0.6</v>
      </c>
      <c r="L176" s="8">
        <v>0.4</v>
      </c>
      <c r="M176">
        <f t="shared" si="2"/>
        <v>6.0000000000000001E-3</v>
      </c>
    </row>
    <row r="177" spans="1:13" x14ac:dyDescent="0.3">
      <c r="A177" s="23" t="s">
        <v>106</v>
      </c>
      <c r="B177" t="s">
        <v>20</v>
      </c>
      <c r="C177" s="38">
        <v>306</v>
      </c>
      <c r="D177" s="7">
        <v>15122</v>
      </c>
      <c r="E177" s="38">
        <v>487</v>
      </c>
      <c r="F177" s="39">
        <v>1.3600000000000001E-3</v>
      </c>
      <c r="G177" t="s">
        <v>3</v>
      </c>
      <c r="H177" s="23" t="s">
        <v>89</v>
      </c>
      <c r="I177" s="23">
        <v>4</v>
      </c>
      <c r="J177" s="23">
        <v>5</v>
      </c>
      <c r="K177" s="8">
        <v>0.24</v>
      </c>
      <c r="L177" s="8">
        <v>0.76</v>
      </c>
      <c r="M177">
        <f t="shared" si="2"/>
        <v>2.3999999999999998E-3</v>
      </c>
    </row>
    <row r="178" spans="1:13" x14ac:dyDescent="0.3">
      <c r="A178" s="23" t="s">
        <v>106</v>
      </c>
      <c r="B178" t="s">
        <v>22</v>
      </c>
      <c r="C178" s="38">
        <v>101</v>
      </c>
      <c r="D178" s="7">
        <v>42311</v>
      </c>
      <c r="E178" s="38">
        <v>60</v>
      </c>
      <c r="F178" s="39">
        <v>2.1459999999999999E-3</v>
      </c>
      <c r="G178" t="s">
        <v>0</v>
      </c>
      <c r="H178" s="23" t="s">
        <v>89</v>
      </c>
      <c r="I178" s="23">
        <v>14</v>
      </c>
      <c r="J178" s="23">
        <v>67</v>
      </c>
      <c r="K178" s="8">
        <v>0.62</v>
      </c>
      <c r="L178" s="8">
        <v>0.38</v>
      </c>
      <c r="M178">
        <f t="shared" si="2"/>
        <v>6.1999999999999998E-3</v>
      </c>
    </row>
    <row r="179" spans="1:13" x14ac:dyDescent="0.3">
      <c r="A179" s="23" t="s">
        <v>106</v>
      </c>
      <c r="B179" t="s">
        <v>22</v>
      </c>
      <c r="C179" s="38">
        <v>34</v>
      </c>
      <c r="D179" s="7">
        <v>54460</v>
      </c>
      <c r="E179" s="38">
        <v>88</v>
      </c>
      <c r="F179" s="39">
        <v>1.408E-3</v>
      </c>
      <c r="G179" t="s">
        <v>1</v>
      </c>
      <c r="H179" s="23" t="s">
        <v>89</v>
      </c>
      <c r="I179" s="23">
        <v>16</v>
      </c>
      <c r="J179" s="23">
        <v>48</v>
      </c>
      <c r="K179" s="8">
        <v>0.13</v>
      </c>
      <c r="L179" s="8">
        <v>0.87</v>
      </c>
      <c r="M179">
        <f t="shared" si="2"/>
        <v>1.2999999999999999E-3</v>
      </c>
    </row>
    <row r="180" spans="1:13" x14ac:dyDescent="0.3">
      <c r="A180" s="23" t="s">
        <v>106</v>
      </c>
      <c r="B180" t="s">
        <v>22</v>
      </c>
      <c r="C180" s="38">
        <v>76</v>
      </c>
      <c r="D180" s="7">
        <v>113455</v>
      </c>
      <c r="E180" s="38">
        <v>133</v>
      </c>
      <c r="F180" s="39">
        <v>2.9009999999999999E-3</v>
      </c>
      <c r="G180" t="s">
        <v>2</v>
      </c>
      <c r="H180" s="23" t="s">
        <v>89</v>
      </c>
      <c r="I180" s="23">
        <v>17</v>
      </c>
      <c r="J180" s="23">
        <v>8</v>
      </c>
      <c r="K180" s="8">
        <v>0.2</v>
      </c>
      <c r="L180" s="8">
        <v>0.8</v>
      </c>
      <c r="M180">
        <f t="shared" si="2"/>
        <v>2E-3</v>
      </c>
    </row>
    <row r="181" spans="1:13" x14ac:dyDescent="0.3">
      <c r="A181" s="23" t="s">
        <v>106</v>
      </c>
      <c r="B181" t="s">
        <v>22</v>
      </c>
      <c r="C181" s="38">
        <v>9</v>
      </c>
      <c r="D181" s="7">
        <v>125604</v>
      </c>
      <c r="E181" s="38">
        <v>161</v>
      </c>
      <c r="F181" s="39">
        <v>1.792E-3</v>
      </c>
      <c r="G181" t="s">
        <v>3</v>
      </c>
      <c r="H181" s="23" t="s">
        <v>89</v>
      </c>
      <c r="I181" s="23">
        <v>15</v>
      </c>
      <c r="J181" s="23">
        <v>7</v>
      </c>
      <c r="K181" s="8">
        <v>0.31</v>
      </c>
      <c r="L181" s="8">
        <v>0.69</v>
      </c>
      <c r="M181">
        <f t="shared" si="2"/>
        <v>3.0999999999999999E-3</v>
      </c>
    </row>
    <row r="182" spans="1:13" x14ac:dyDescent="0.3">
      <c r="A182" s="23" t="s">
        <v>106</v>
      </c>
      <c r="B182" t="s">
        <v>21</v>
      </c>
      <c r="C182" s="38">
        <v>476</v>
      </c>
      <c r="D182" s="7">
        <v>5118</v>
      </c>
      <c r="E182" s="38">
        <v>214</v>
      </c>
      <c r="F182" s="39">
        <v>2.4740000000000001E-3</v>
      </c>
      <c r="G182" t="s">
        <v>0</v>
      </c>
      <c r="H182" s="23" t="s">
        <v>89</v>
      </c>
      <c r="I182" s="23">
        <v>20</v>
      </c>
      <c r="J182" s="23">
        <v>54</v>
      </c>
      <c r="K182" s="8">
        <v>0.74</v>
      </c>
      <c r="L182" s="8">
        <v>0.26</v>
      </c>
      <c r="M182">
        <f t="shared" si="2"/>
        <v>7.4000000000000003E-3</v>
      </c>
    </row>
    <row r="183" spans="1:13" x14ac:dyDescent="0.3">
      <c r="A183" s="23" t="s">
        <v>106</v>
      </c>
      <c r="B183" t="s">
        <v>21</v>
      </c>
      <c r="C183" s="38">
        <v>337</v>
      </c>
      <c r="D183" s="7">
        <v>26903</v>
      </c>
      <c r="E183" s="38">
        <v>388</v>
      </c>
      <c r="F183" s="39">
        <v>2.5339999999999998E-3</v>
      </c>
      <c r="G183" t="s">
        <v>1</v>
      </c>
      <c r="H183" s="23" t="s">
        <v>89</v>
      </c>
      <c r="I183" s="23">
        <v>14</v>
      </c>
      <c r="J183" s="23">
        <v>54</v>
      </c>
      <c r="K183" s="8">
        <v>0.79</v>
      </c>
      <c r="L183" s="8">
        <v>0.20999999999999996</v>
      </c>
      <c r="M183">
        <f t="shared" si="2"/>
        <v>7.9000000000000008E-3</v>
      </c>
    </row>
    <row r="184" spans="1:13" x14ac:dyDescent="0.3">
      <c r="A184" s="23" t="s">
        <v>106</v>
      </c>
      <c r="B184" t="s">
        <v>21</v>
      </c>
      <c r="C184" s="38">
        <v>165</v>
      </c>
      <c r="D184" s="7">
        <v>35296</v>
      </c>
      <c r="E184" s="38">
        <v>617</v>
      </c>
      <c r="F184" s="39">
        <v>1.683E-3</v>
      </c>
      <c r="G184" t="s">
        <v>2</v>
      </c>
      <c r="H184" s="23" t="s">
        <v>89</v>
      </c>
      <c r="I184" s="23">
        <v>6</v>
      </c>
      <c r="J184" s="23">
        <v>37</v>
      </c>
      <c r="K184" s="8">
        <v>0.83</v>
      </c>
      <c r="L184" s="8">
        <v>0.17000000000000004</v>
      </c>
      <c r="M184">
        <f t="shared" si="2"/>
        <v>8.3000000000000001E-3</v>
      </c>
    </row>
    <row r="185" spans="1:13" x14ac:dyDescent="0.3">
      <c r="A185" s="23" t="s">
        <v>106</v>
      </c>
      <c r="B185" t="s">
        <v>21</v>
      </c>
      <c r="C185" s="38">
        <v>26</v>
      </c>
      <c r="D185" s="7">
        <v>57082</v>
      </c>
      <c r="E185" s="38">
        <v>791</v>
      </c>
      <c r="F185" s="39">
        <v>1.8519999999999999E-3</v>
      </c>
      <c r="G185" t="s">
        <v>3</v>
      </c>
      <c r="H185" s="23" t="s">
        <v>89</v>
      </c>
      <c r="I185" s="23">
        <v>4</v>
      </c>
      <c r="J185" s="23">
        <v>73</v>
      </c>
      <c r="K185" s="8">
        <v>0.49</v>
      </c>
      <c r="L185" s="8">
        <v>0.51</v>
      </c>
      <c r="M185">
        <f t="shared" si="2"/>
        <v>4.8999999999999998E-3</v>
      </c>
    </row>
    <row r="186" spans="1:13" x14ac:dyDescent="0.3">
      <c r="A186" s="23" t="s">
        <v>106</v>
      </c>
      <c r="B186" t="s">
        <v>23</v>
      </c>
      <c r="C186" s="38">
        <v>169</v>
      </c>
      <c r="D186" s="7">
        <v>15477</v>
      </c>
      <c r="E186" s="38">
        <v>339</v>
      </c>
      <c r="F186" s="39">
        <v>2.3259999999999999E-3</v>
      </c>
      <c r="G186" t="s">
        <v>0</v>
      </c>
      <c r="H186" s="23" t="s">
        <v>89</v>
      </c>
      <c r="I186" s="23">
        <v>4</v>
      </c>
      <c r="J186" s="23">
        <v>57</v>
      </c>
      <c r="K186" s="8">
        <v>0.88</v>
      </c>
      <c r="L186" s="8">
        <v>0.12</v>
      </c>
      <c r="M186">
        <f t="shared" si="2"/>
        <v>8.8000000000000005E-3</v>
      </c>
    </row>
    <row r="187" spans="1:13" x14ac:dyDescent="0.3">
      <c r="A187" s="23" t="s">
        <v>106</v>
      </c>
      <c r="B187" t="s">
        <v>23</v>
      </c>
      <c r="C187" s="38">
        <v>170</v>
      </c>
      <c r="D187" s="7">
        <v>4701</v>
      </c>
      <c r="E187" s="38">
        <v>240</v>
      </c>
      <c r="F187" s="39">
        <v>2.8349999999999998E-3</v>
      </c>
      <c r="G187" t="s">
        <v>1</v>
      </c>
      <c r="H187" s="23" t="s">
        <v>89</v>
      </c>
      <c r="I187" s="23">
        <v>22</v>
      </c>
      <c r="J187" s="23">
        <v>58</v>
      </c>
      <c r="K187" s="8">
        <v>0.56000000000000005</v>
      </c>
      <c r="L187" s="8">
        <v>0.43999999999999995</v>
      </c>
      <c r="M187">
        <f t="shared" si="2"/>
        <v>5.6000000000000008E-3</v>
      </c>
    </row>
    <row r="188" spans="1:13" x14ac:dyDescent="0.3">
      <c r="A188" s="23" t="s">
        <v>106</v>
      </c>
      <c r="B188" t="s">
        <v>23</v>
      </c>
      <c r="C188" s="38">
        <v>54</v>
      </c>
      <c r="D188" s="7">
        <v>24253</v>
      </c>
      <c r="E188" s="38">
        <v>209</v>
      </c>
      <c r="F188" s="39">
        <v>1.2830000000000001E-3</v>
      </c>
      <c r="G188" t="s">
        <v>2</v>
      </c>
      <c r="H188" s="23" t="s">
        <v>89</v>
      </c>
      <c r="I188" s="23">
        <v>18</v>
      </c>
      <c r="J188" s="23">
        <v>51</v>
      </c>
      <c r="K188" s="8">
        <v>0.56999999999999995</v>
      </c>
      <c r="L188" s="8">
        <v>0.43000000000000005</v>
      </c>
      <c r="M188">
        <f t="shared" si="2"/>
        <v>5.6999999999999993E-3</v>
      </c>
    </row>
    <row r="189" spans="1:13" x14ac:dyDescent="0.3">
      <c r="A189" s="23" t="s">
        <v>106</v>
      </c>
      <c r="B189" t="s">
        <v>23</v>
      </c>
      <c r="C189" s="38">
        <v>55</v>
      </c>
      <c r="D189" s="7">
        <v>13477</v>
      </c>
      <c r="E189" s="38">
        <v>110</v>
      </c>
      <c r="F189" s="39">
        <v>2.3259999999999999E-3</v>
      </c>
      <c r="G189" t="s">
        <v>3</v>
      </c>
      <c r="H189" s="23" t="s">
        <v>89</v>
      </c>
      <c r="I189" s="23">
        <v>7</v>
      </c>
      <c r="J189" s="23">
        <v>64</v>
      </c>
      <c r="K189" s="8">
        <v>0.43</v>
      </c>
      <c r="L189" s="8">
        <v>0.57000000000000006</v>
      </c>
      <c r="M189">
        <f t="shared" si="2"/>
        <v>4.3E-3</v>
      </c>
    </row>
    <row r="190" spans="1:13" x14ac:dyDescent="0.3">
      <c r="A190" s="23" t="s">
        <v>106</v>
      </c>
      <c r="B190" t="s">
        <v>24</v>
      </c>
      <c r="C190" s="38">
        <v>18</v>
      </c>
      <c r="D190" s="7">
        <v>51460</v>
      </c>
      <c r="E190" s="38">
        <v>64</v>
      </c>
      <c r="F190" s="39">
        <v>1.1770000000000001E-3</v>
      </c>
      <c r="G190" t="s">
        <v>0</v>
      </c>
      <c r="H190" s="23" t="s">
        <v>89</v>
      </c>
      <c r="I190" s="23">
        <v>21</v>
      </c>
      <c r="J190" s="23">
        <v>60</v>
      </c>
      <c r="K190" s="8">
        <v>0.12</v>
      </c>
      <c r="L190" s="8">
        <v>0.88</v>
      </c>
      <c r="M190">
        <f t="shared" si="2"/>
        <v>1.1999999999999999E-3</v>
      </c>
    </row>
    <row r="191" spans="1:13" x14ac:dyDescent="0.3">
      <c r="A191" s="23" t="s">
        <v>106</v>
      </c>
      <c r="B191" t="s">
        <v>24</v>
      </c>
      <c r="C191" s="38">
        <v>36</v>
      </c>
      <c r="D191" s="7">
        <v>35842</v>
      </c>
      <c r="E191" s="38">
        <v>32</v>
      </c>
      <c r="F191" s="39">
        <v>1.6000000000000001E-3</v>
      </c>
      <c r="G191" t="s">
        <v>1</v>
      </c>
      <c r="H191" s="23" t="s">
        <v>89</v>
      </c>
      <c r="I191" s="23">
        <v>22</v>
      </c>
      <c r="J191" s="23">
        <v>61</v>
      </c>
      <c r="K191" s="8">
        <v>0.8</v>
      </c>
      <c r="L191" s="8">
        <v>0.19999999999999996</v>
      </c>
      <c r="M191">
        <f t="shared" si="2"/>
        <v>8.0000000000000002E-3</v>
      </c>
    </row>
    <row r="192" spans="1:13" x14ac:dyDescent="0.3">
      <c r="A192" s="23" t="s">
        <v>106</v>
      </c>
      <c r="B192" t="s">
        <v>24</v>
      </c>
      <c r="C192" s="38">
        <v>18</v>
      </c>
      <c r="D192" s="7">
        <v>30985</v>
      </c>
      <c r="E192" s="38">
        <v>77</v>
      </c>
      <c r="F192" s="39">
        <v>2.1909999999999998E-3</v>
      </c>
      <c r="G192" t="s">
        <v>2</v>
      </c>
      <c r="H192" s="23" t="s">
        <v>89</v>
      </c>
      <c r="I192" s="23">
        <v>2</v>
      </c>
      <c r="J192" s="23">
        <v>25</v>
      </c>
      <c r="K192" s="8">
        <v>0.38</v>
      </c>
      <c r="L192" s="8">
        <v>0.62</v>
      </c>
      <c r="M192">
        <f t="shared" si="2"/>
        <v>3.8E-3</v>
      </c>
    </row>
    <row r="193" spans="1:13" x14ac:dyDescent="0.3">
      <c r="A193" s="23" t="s">
        <v>106</v>
      </c>
      <c r="B193" t="s">
        <v>24</v>
      </c>
      <c r="C193" s="38">
        <v>36</v>
      </c>
      <c r="D193" s="7">
        <v>15367</v>
      </c>
      <c r="E193" s="38">
        <v>45</v>
      </c>
      <c r="F193" s="39">
        <v>1.6800000000000001E-3</v>
      </c>
      <c r="G193" t="s">
        <v>3</v>
      </c>
      <c r="H193" s="23" t="s">
        <v>89</v>
      </c>
      <c r="I193" s="23">
        <v>10</v>
      </c>
      <c r="J193" s="23">
        <v>52</v>
      </c>
      <c r="K193" s="8">
        <v>0.27</v>
      </c>
      <c r="L193" s="8">
        <v>0.73</v>
      </c>
      <c r="M193">
        <f t="shared" si="2"/>
        <v>2.7000000000000001E-3</v>
      </c>
    </row>
    <row r="194" spans="1:13" x14ac:dyDescent="0.3">
      <c r="A194" s="23" t="s">
        <v>106</v>
      </c>
      <c r="B194" t="s">
        <v>19</v>
      </c>
      <c r="C194" s="38">
        <v>223</v>
      </c>
      <c r="D194" s="7">
        <v>60181</v>
      </c>
      <c r="E194" s="38">
        <v>372</v>
      </c>
      <c r="F194" s="39">
        <v>2.6250000000000002E-3</v>
      </c>
      <c r="G194" t="s">
        <v>0</v>
      </c>
      <c r="H194" s="23" t="s">
        <v>91</v>
      </c>
      <c r="I194" s="23">
        <v>11</v>
      </c>
      <c r="J194" s="23">
        <v>73</v>
      </c>
      <c r="K194" s="8">
        <v>0.12</v>
      </c>
      <c r="L194" s="8">
        <v>0.88</v>
      </c>
      <c r="M194">
        <f t="shared" si="2"/>
        <v>1.1999999999999999E-3</v>
      </c>
    </row>
    <row r="195" spans="1:13" x14ac:dyDescent="0.3">
      <c r="A195" s="23" t="s">
        <v>106</v>
      </c>
      <c r="B195" t="s">
        <v>19</v>
      </c>
      <c r="C195" s="38">
        <v>253</v>
      </c>
      <c r="D195" s="7">
        <v>83519</v>
      </c>
      <c r="E195" s="38">
        <v>209</v>
      </c>
      <c r="F195" s="39">
        <v>5.9027777777777778E-4</v>
      </c>
      <c r="G195" t="s">
        <v>1</v>
      </c>
      <c r="H195" s="23" t="s">
        <v>91</v>
      </c>
      <c r="I195" s="23">
        <v>9</v>
      </c>
      <c r="J195" s="23">
        <v>58</v>
      </c>
      <c r="K195" s="8">
        <v>0.43</v>
      </c>
      <c r="L195" s="8">
        <v>0.57000000000000006</v>
      </c>
      <c r="M195">
        <f t="shared" ref="M195:M258" si="3">K195/100</f>
        <v>4.3E-3</v>
      </c>
    </row>
    <row r="196" spans="1:13" x14ac:dyDescent="0.3">
      <c r="A196" s="23" t="s">
        <v>106</v>
      </c>
      <c r="B196" t="s">
        <v>19</v>
      </c>
      <c r="C196" s="38">
        <v>168</v>
      </c>
      <c r="D196" s="7">
        <v>28526</v>
      </c>
      <c r="E196" s="38">
        <v>633</v>
      </c>
      <c r="F196" s="39">
        <v>1.3339999999999999E-3</v>
      </c>
      <c r="G196" t="s">
        <v>2</v>
      </c>
      <c r="H196" s="23" t="s">
        <v>91</v>
      </c>
      <c r="I196" s="23">
        <v>20</v>
      </c>
      <c r="J196" s="23">
        <v>22</v>
      </c>
      <c r="K196" s="8">
        <v>0.57999999999999996</v>
      </c>
      <c r="L196" s="8">
        <v>0.42000000000000004</v>
      </c>
      <c r="M196">
        <f t="shared" si="3"/>
        <v>5.7999999999999996E-3</v>
      </c>
    </row>
    <row r="197" spans="1:13" x14ac:dyDescent="0.3">
      <c r="A197" s="23" t="s">
        <v>106</v>
      </c>
      <c r="B197" t="s">
        <v>19</v>
      </c>
      <c r="C197" s="38">
        <v>197</v>
      </c>
      <c r="D197" s="7">
        <v>51864</v>
      </c>
      <c r="E197" s="38">
        <v>470</v>
      </c>
      <c r="F197" s="39">
        <v>2.0339999999999998E-3</v>
      </c>
      <c r="G197" t="s">
        <v>3</v>
      </c>
      <c r="H197" s="23" t="s">
        <v>91</v>
      </c>
      <c r="I197" s="23">
        <v>22</v>
      </c>
      <c r="J197" s="23">
        <v>57</v>
      </c>
      <c r="K197" s="8">
        <v>0.49</v>
      </c>
      <c r="L197" s="8">
        <v>0.51</v>
      </c>
      <c r="M197">
        <f t="shared" si="3"/>
        <v>4.8999999999999998E-3</v>
      </c>
    </row>
    <row r="198" spans="1:13" x14ac:dyDescent="0.3">
      <c r="A198" s="23" t="s">
        <v>106</v>
      </c>
      <c r="B198" t="s">
        <v>20</v>
      </c>
      <c r="C198" s="38">
        <v>333</v>
      </c>
      <c r="D198" s="7">
        <v>3817</v>
      </c>
      <c r="E198" s="38">
        <v>1173</v>
      </c>
      <c r="F198" s="39">
        <v>1.8220000000000001E-3</v>
      </c>
      <c r="G198" t="s">
        <v>0</v>
      </c>
      <c r="H198" s="23" t="s">
        <v>91</v>
      </c>
      <c r="I198" s="23">
        <v>22</v>
      </c>
      <c r="J198" s="23">
        <v>61</v>
      </c>
      <c r="K198" s="8">
        <v>0.64</v>
      </c>
      <c r="L198" s="8">
        <v>0.36</v>
      </c>
      <c r="M198">
        <f t="shared" si="3"/>
        <v>6.4000000000000003E-3</v>
      </c>
    </row>
    <row r="199" spans="1:13" x14ac:dyDescent="0.3">
      <c r="A199" s="23" t="s">
        <v>106</v>
      </c>
      <c r="B199" t="s">
        <v>20</v>
      </c>
      <c r="C199" s="38">
        <v>259</v>
      </c>
      <c r="D199" s="7">
        <v>1526</v>
      </c>
      <c r="E199" s="38">
        <v>536</v>
      </c>
      <c r="F199" s="39">
        <v>2.7859999999999998E-3</v>
      </c>
      <c r="G199" t="s">
        <v>1</v>
      </c>
      <c r="H199" s="23" t="s">
        <v>91</v>
      </c>
      <c r="I199" s="23">
        <v>20</v>
      </c>
      <c r="J199" s="23">
        <v>36</v>
      </c>
      <c r="K199" s="8">
        <v>0.3</v>
      </c>
      <c r="L199" s="8">
        <v>0.7</v>
      </c>
      <c r="M199">
        <f t="shared" si="3"/>
        <v>3.0000000000000001E-3</v>
      </c>
    </row>
    <row r="200" spans="1:13" x14ac:dyDescent="0.3">
      <c r="A200" s="23" t="s">
        <v>106</v>
      </c>
      <c r="B200" t="s">
        <v>20</v>
      </c>
      <c r="C200" s="38">
        <v>347</v>
      </c>
      <c r="D200" s="7">
        <v>26794</v>
      </c>
      <c r="E200" s="38">
        <v>677</v>
      </c>
      <c r="F200" s="39">
        <v>1.8190000000000001E-3</v>
      </c>
      <c r="G200" t="s">
        <v>2</v>
      </c>
      <c r="H200" s="23" t="s">
        <v>91</v>
      </c>
      <c r="I200" s="23">
        <v>8</v>
      </c>
      <c r="J200" s="23">
        <v>53</v>
      </c>
      <c r="K200" s="8">
        <v>0.34</v>
      </c>
      <c r="L200" s="8">
        <v>0.65999999999999992</v>
      </c>
      <c r="M200">
        <f t="shared" si="3"/>
        <v>3.4000000000000002E-3</v>
      </c>
    </row>
    <row r="201" spans="1:13" x14ac:dyDescent="0.3">
      <c r="A201" s="23" t="s">
        <v>106</v>
      </c>
      <c r="B201" t="s">
        <v>20</v>
      </c>
      <c r="C201" s="38">
        <v>273</v>
      </c>
      <c r="D201" s="7">
        <v>24503</v>
      </c>
      <c r="E201" s="38">
        <v>40</v>
      </c>
      <c r="F201" s="39">
        <v>2.5460000000000001E-3</v>
      </c>
      <c r="G201" t="s">
        <v>3</v>
      </c>
      <c r="H201" s="23" t="s">
        <v>91</v>
      </c>
      <c r="I201" s="23">
        <v>9</v>
      </c>
      <c r="J201" s="23">
        <v>60</v>
      </c>
      <c r="K201" s="8">
        <v>0.76</v>
      </c>
      <c r="L201" s="8">
        <v>0.24</v>
      </c>
      <c r="M201">
        <f t="shared" si="3"/>
        <v>7.6E-3</v>
      </c>
    </row>
    <row r="202" spans="1:13" x14ac:dyDescent="0.3">
      <c r="A202" s="23" t="s">
        <v>106</v>
      </c>
      <c r="B202" t="s">
        <v>22</v>
      </c>
      <c r="C202" s="38">
        <v>17</v>
      </c>
      <c r="D202" s="7">
        <v>68741</v>
      </c>
      <c r="E202" s="38">
        <v>50</v>
      </c>
      <c r="F202" s="39">
        <v>2.0833333333333335E-4</v>
      </c>
      <c r="G202" t="s">
        <v>0</v>
      </c>
      <c r="H202" s="23" t="s">
        <v>91</v>
      </c>
      <c r="I202" s="23">
        <v>20</v>
      </c>
      <c r="J202" s="23">
        <v>12</v>
      </c>
      <c r="K202" s="8">
        <v>0.89</v>
      </c>
      <c r="L202" s="8">
        <v>0.10999999999999999</v>
      </c>
      <c r="M202">
        <f t="shared" si="3"/>
        <v>8.8999999999999999E-3</v>
      </c>
    </row>
    <row r="203" spans="1:13" x14ac:dyDescent="0.3">
      <c r="A203" s="23" t="s">
        <v>106</v>
      </c>
      <c r="B203" t="s">
        <v>22</v>
      </c>
      <c r="C203" s="38">
        <v>29</v>
      </c>
      <c r="D203" s="7">
        <v>89750</v>
      </c>
      <c r="E203" s="38">
        <v>19</v>
      </c>
      <c r="F203" s="39">
        <v>2.2910000000000001E-3</v>
      </c>
      <c r="G203" t="s">
        <v>1</v>
      </c>
      <c r="H203" s="23" t="s">
        <v>91</v>
      </c>
      <c r="I203" s="23">
        <v>1</v>
      </c>
      <c r="J203" s="23">
        <v>72</v>
      </c>
      <c r="K203" s="8">
        <v>0.28000000000000003</v>
      </c>
      <c r="L203" s="8">
        <v>0.72</v>
      </c>
      <c r="M203">
        <f t="shared" si="3"/>
        <v>2.8000000000000004E-3</v>
      </c>
    </row>
    <row r="204" spans="1:13" x14ac:dyDescent="0.3">
      <c r="A204" s="23" t="s">
        <v>106</v>
      </c>
      <c r="B204" t="s">
        <v>22</v>
      </c>
      <c r="C204" s="38">
        <v>57</v>
      </c>
      <c r="D204" s="7">
        <v>41514</v>
      </c>
      <c r="E204" s="38">
        <v>153</v>
      </c>
      <c r="F204" s="39">
        <v>1.776E-3</v>
      </c>
      <c r="G204" t="s">
        <v>2</v>
      </c>
      <c r="H204" s="23" t="s">
        <v>91</v>
      </c>
      <c r="I204" s="23">
        <v>19</v>
      </c>
      <c r="J204" s="23">
        <v>67</v>
      </c>
      <c r="K204" s="8">
        <v>0.69</v>
      </c>
      <c r="L204" s="8">
        <v>0.31000000000000005</v>
      </c>
      <c r="M204">
        <f t="shared" si="3"/>
        <v>6.8999999999999999E-3</v>
      </c>
    </row>
    <row r="205" spans="1:13" x14ac:dyDescent="0.3">
      <c r="A205" s="23" t="s">
        <v>106</v>
      </c>
      <c r="B205" t="s">
        <v>22</v>
      </c>
      <c r="C205" s="38">
        <v>68</v>
      </c>
      <c r="D205" s="7">
        <v>62523</v>
      </c>
      <c r="E205" s="38">
        <v>123</v>
      </c>
      <c r="F205" s="39">
        <v>2.3449999999999999E-3</v>
      </c>
      <c r="G205" t="s">
        <v>3</v>
      </c>
      <c r="H205" s="23" t="s">
        <v>91</v>
      </c>
      <c r="I205" s="23">
        <v>15</v>
      </c>
      <c r="J205" s="23">
        <v>22</v>
      </c>
      <c r="K205" s="8">
        <v>0.14000000000000001</v>
      </c>
      <c r="L205" s="8">
        <v>0.86</v>
      </c>
      <c r="M205">
        <f t="shared" si="3"/>
        <v>1.4000000000000002E-3</v>
      </c>
    </row>
    <row r="206" spans="1:13" x14ac:dyDescent="0.3">
      <c r="A206" s="23" t="s">
        <v>106</v>
      </c>
      <c r="B206" t="s">
        <v>21</v>
      </c>
      <c r="C206" s="38">
        <v>122</v>
      </c>
      <c r="D206" s="7">
        <v>29664</v>
      </c>
      <c r="E206" s="38">
        <v>270</v>
      </c>
      <c r="F206" s="39">
        <v>1.7409999999999999E-3</v>
      </c>
      <c r="G206" t="s">
        <v>0</v>
      </c>
      <c r="H206" s="23" t="s">
        <v>91</v>
      </c>
      <c r="I206" s="23">
        <v>1</v>
      </c>
      <c r="J206" s="23">
        <v>9</v>
      </c>
      <c r="K206" s="8">
        <v>0.75</v>
      </c>
      <c r="L206" s="8">
        <v>0.25</v>
      </c>
      <c r="M206">
        <f t="shared" si="3"/>
        <v>7.4999999999999997E-3</v>
      </c>
    </row>
    <row r="207" spans="1:13" x14ac:dyDescent="0.3">
      <c r="A207" s="23" t="s">
        <v>106</v>
      </c>
      <c r="B207" t="s">
        <v>21</v>
      </c>
      <c r="C207" s="38">
        <v>68</v>
      </c>
      <c r="D207" s="7">
        <v>23136</v>
      </c>
      <c r="E207" s="38">
        <v>232</v>
      </c>
      <c r="F207" s="39">
        <v>1.176E-3</v>
      </c>
      <c r="G207" t="s">
        <v>1</v>
      </c>
      <c r="H207" s="23" t="s">
        <v>91</v>
      </c>
      <c r="I207" s="23">
        <v>4</v>
      </c>
      <c r="J207" s="23">
        <v>34</v>
      </c>
      <c r="K207" s="8">
        <v>0.59</v>
      </c>
      <c r="L207" s="8">
        <v>0.41000000000000003</v>
      </c>
      <c r="M207">
        <f t="shared" si="3"/>
        <v>5.8999999999999999E-3</v>
      </c>
    </row>
    <row r="208" spans="1:13" x14ac:dyDescent="0.3">
      <c r="A208" s="23" t="s">
        <v>106</v>
      </c>
      <c r="B208" t="s">
        <v>21</v>
      </c>
      <c r="C208" s="38">
        <v>156</v>
      </c>
      <c r="D208" s="7">
        <v>25487</v>
      </c>
      <c r="E208" s="38">
        <v>218</v>
      </c>
      <c r="F208" s="39">
        <v>1.5870000000000001E-3</v>
      </c>
      <c r="G208" t="s">
        <v>2</v>
      </c>
      <c r="H208" s="23" t="s">
        <v>91</v>
      </c>
      <c r="I208" s="23">
        <v>2</v>
      </c>
      <c r="J208" s="23">
        <v>11</v>
      </c>
      <c r="K208" s="8">
        <v>0.39</v>
      </c>
      <c r="L208" s="8">
        <v>0.61</v>
      </c>
      <c r="M208">
        <f t="shared" si="3"/>
        <v>3.9000000000000003E-3</v>
      </c>
    </row>
    <row r="209" spans="1:13" x14ac:dyDescent="0.3">
      <c r="A209" s="23" t="s">
        <v>106</v>
      </c>
      <c r="B209" t="s">
        <v>21</v>
      </c>
      <c r="C209" s="38">
        <v>102</v>
      </c>
      <c r="D209" s="7">
        <v>18958</v>
      </c>
      <c r="E209" s="38">
        <v>180</v>
      </c>
      <c r="F209" s="39">
        <v>1.3090000000000001E-3</v>
      </c>
      <c r="G209" t="s">
        <v>3</v>
      </c>
      <c r="H209" s="23" t="s">
        <v>91</v>
      </c>
      <c r="I209" s="23">
        <v>23</v>
      </c>
      <c r="J209" s="23">
        <v>35</v>
      </c>
      <c r="K209" s="8">
        <v>0.43</v>
      </c>
      <c r="L209" s="8">
        <v>0.57000000000000006</v>
      </c>
      <c r="M209">
        <f t="shared" si="3"/>
        <v>4.3E-3</v>
      </c>
    </row>
    <row r="210" spans="1:13" x14ac:dyDescent="0.3">
      <c r="A210" s="23" t="s">
        <v>106</v>
      </c>
      <c r="B210" t="s">
        <v>23</v>
      </c>
      <c r="C210" s="38">
        <v>129</v>
      </c>
      <c r="D210" s="7">
        <v>16080</v>
      </c>
      <c r="E210" s="38">
        <v>73</v>
      </c>
      <c r="F210" s="39">
        <v>1.5349999999999999E-3</v>
      </c>
      <c r="G210" t="s">
        <v>0</v>
      </c>
      <c r="H210" s="23" t="s">
        <v>91</v>
      </c>
      <c r="I210" s="23">
        <v>20</v>
      </c>
      <c r="J210" s="23">
        <v>21</v>
      </c>
      <c r="K210" s="8">
        <v>0.13</v>
      </c>
      <c r="L210" s="8">
        <v>0.87</v>
      </c>
      <c r="M210">
        <f t="shared" si="3"/>
        <v>1.2999999999999999E-3</v>
      </c>
    </row>
    <row r="211" spans="1:13" x14ac:dyDescent="0.3">
      <c r="A211" s="23" t="s">
        <v>106</v>
      </c>
      <c r="B211" t="s">
        <v>23</v>
      </c>
      <c r="C211" s="38">
        <v>71</v>
      </c>
      <c r="D211" s="7">
        <v>8967</v>
      </c>
      <c r="E211" s="38">
        <v>138</v>
      </c>
      <c r="F211" s="39">
        <v>1.392E-3</v>
      </c>
      <c r="G211" t="s">
        <v>1</v>
      </c>
      <c r="H211" s="23" t="s">
        <v>91</v>
      </c>
      <c r="I211" s="23">
        <v>13</v>
      </c>
      <c r="J211" s="23">
        <v>49</v>
      </c>
      <c r="K211" s="8">
        <v>0.18</v>
      </c>
      <c r="L211" s="8">
        <v>0.82000000000000006</v>
      </c>
      <c r="M211">
        <f t="shared" si="3"/>
        <v>1.8E-3</v>
      </c>
    </row>
    <row r="212" spans="1:13" x14ac:dyDescent="0.3">
      <c r="A212" s="23" t="s">
        <v>106</v>
      </c>
      <c r="B212" t="s">
        <v>23</v>
      </c>
      <c r="C212" s="38">
        <v>83</v>
      </c>
      <c r="D212" s="7">
        <v>13667</v>
      </c>
      <c r="E212" s="38">
        <v>171</v>
      </c>
      <c r="F212" s="39">
        <v>1.186E-3</v>
      </c>
      <c r="G212" t="s">
        <v>2</v>
      </c>
      <c r="H212" s="23" t="s">
        <v>91</v>
      </c>
      <c r="I212" s="23">
        <v>21</v>
      </c>
      <c r="J212" s="23">
        <v>19</v>
      </c>
      <c r="K212" s="8">
        <v>0.54</v>
      </c>
      <c r="L212" s="8">
        <v>0.45999999999999996</v>
      </c>
      <c r="M212">
        <f t="shared" si="3"/>
        <v>5.4000000000000003E-3</v>
      </c>
    </row>
    <row r="213" spans="1:13" x14ac:dyDescent="0.3">
      <c r="A213" s="23" t="s">
        <v>106</v>
      </c>
      <c r="B213" t="s">
        <v>23</v>
      </c>
      <c r="C213" s="38">
        <v>25</v>
      </c>
      <c r="D213" s="7">
        <v>6554</v>
      </c>
      <c r="E213" s="38">
        <v>236</v>
      </c>
      <c r="F213" s="39">
        <v>1.639E-3</v>
      </c>
      <c r="G213" t="s">
        <v>3</v>
      </c>
      <c r="H213" s="23" t="s">
        <v>91</v>
      </c>
      <c r="I213" s="23">
        <v>5</v>
      </c>
      <c r="J213" s="23">
        <v>59</v>
      </c>
      <c r="K213" s="8">
        <v>0.2</v>
      </c>
      <c r="L213" s="8">
        <v>0.8</v>
      </c>
      <c r="M213">
        <f t="shared" si="3"/>
        <v>2E-3</v>
      </c>
    </row>
    <row r="214" spans="1:13" x14ac:dyDescent="0.3">
      <c r="A214" s="23" t="s">
        <v>106</v>
      </c>
      <c r="B214" t="s">
        <v>24</v>
      </c>
      <c r="C214" s="38">
        <v>32</v>
      </c>
      <c r="D214" s="7">
        <v>2092</v>
      </c>
      <c r="E214" s="38">
        <v>84</v>
      </c>
      <c r="F214" s="39">
        <v>1.8879999999999999E-3</v>
      </c>
      <c r="G214" t="s">
        <v>0</v>
      </c>
      <c r="H214" s="23" t="s">
        <v>91</v>
      </c>
      <c r="I214" s="23">
        <v>22</v>
      </c>
      <c r="J214" s="23">
        <v>29</v>
      </c>
      <c r="K214" s="8">
        <v>0.36</v>
      </c>
      <c r="L214" s="8">
        <v>0.64</v>
      </c>
      <c r="M214">
        <f t="shared" si="3"/>
        <v>3.5999999999999999E-3</v>
      </c>
    </row>
    <row r="215" spans="1:13" x14ac:dyDescent="0.3">
      <c r="A215" s="23" t="s">
        <v>106</v>
      </c>
      <c r="B215" t="s">
        <v>24</v>
      </c>
      <c r="C215" s="38">
        <v>31</v>
      </c>
      <c r="D215" s="7">
        <v>40165</v>
      </c>
      <c r="E215" s="38">
        <v>113</v>
      </c>
      <c r="F215" s="39">
        <v>2.6610000000000002E-3</v>
      </c>
      <c r="G215" t="s">
        <v>1</v>
      </c>
      <c r="H215" s="23" t="s">
        <v>91</v>
      </c>
      <c r="I215" s="23">
        <v>2</v>
      </c>
      <c r="J215" s="23">
        <v>73</v>
      </c>
      <c r="K215" s="8">
        <v>0.24</v>
      </c>
      <c r="L215" s="8">
        <v>0.76</v>
      </c>
      <c r="M215">
        <f t="shared" si="3"/>
        <v>2.3999999999999998E-3</v>
      </c>
    </row>
    <row r="216" spans="1:13" x14ac:dyDescent="0.3">
      <c r="A216" s="23" t="s">
        <v>106</v>
      </c>
      <c r="B216" t="s">
        <v>24</v>
      </c>
      <c r="C216" s="38">
        <v>32</v>
      </c>
      <c r="D216" s="7">
        <v>12076</v>
      </c>
      <c r="E216" s="38">
        <v>15</v>
      </c>
      <c r="F216" s="39">
        <v>1.799E-3</v>
      </c>
      <c r="G216" t="s">
        <v>2</v>
      </c>
      <c r="H216" s="23" t="s">
        <v>91</v>
      </c>
      <c r="I216" s="23">
        <v>1</v>
      </c>
      <c r="J216" s="23">
        <v>16</v>
      </c>
      <c r="K216" s="8">
        <v>0.42</v>
      </c>
      <c r="L216" s="8">
        <v>0.58000000000000007</v>
      </c>
      <c r="M216">
        <f t="shared" si="3"/>
        <v>4.1999999999999997E-3</v>
      </c>
    </row>
    <row r="217" spans="1:13" x14ac:dyDescent="0.3">
      <c r="A217" s="23" t="s">
        <v>106</v>
      </c>
      <c r="B217" t="s">
        <v>24</v>
      </c>
      <c r="C217" s="38">
        <v>32</v>
      </c>
      <c r="D217" s="7">
        <v>50149</v>
      </c>
      <c r="E217" s="38">
        <v>44</v>
      </c>
      <c r="F217" s="39">
        <v>1.3359999999999999E-3</v>
      </c>
      <c r="G217" t="s">
        <v>3</v>
      </c>
      <c r="H217" s="23" t="s">
        <v>91</v>
      </c>
      <c r="I217" s="23">
        <v>10</v>
      </c>
      <c r="J217" s="23">
        <v>28</v>
      </c>
      <c r="K217" s="8">
        <v>0.31</v>
      </c>
      <c r="L217" s="8">
        <v>0.69</v>
      </c>
      <c r="M217">
        <f t="shared" si="3"/>
        <v>3.0999999999999999E-3</v>
      </c>
    </row>
    <row r="218" spans="1:13" x14ac:dyDescent="0.3">
      <c r="A218" s="23" t="s">
        <v>107</v>
      </c>
      <c r="B218" t="s">
        <v>19</v>
      </c>
      <c r="C218" s="38">
        <v>129</v>
      </c>
      <c r="D218" s="7">
        <v>13625</v>
      </c>
      <c r="E218" s="38">
        <v>3135</v>
      </c>
      <c r="F218" s="39">
        <v>3.7759999999999998E-3</v>
      </c>
      <c r="G218" t="s">
        <v>0</v>
      </c>
      <c r="H218" s="23" t="s">
        <v>90</v>
      </c>
      <c r="I218" s="23">
        <v>22</v>
      </c>
      <c r="J218" s="23">
        <v>73</v>
      </c>
      <c r="K218" s="8">
        <v>0.35</v>
      </c>
      <c r="L218" s="8">
        <v>0.65</v>
      </c>
      <c r="M218">
        <f t="shared" si="3"/>
        <v>3.4999999999999996E-3</v>
      </c>
    </row>
    <row r="219" spans="1:13" x14ac:dyDescent="0.3">
      <c r="A219" s="23" t="s">
        <v>107</v>
      </c>
      <c r="B219" t="s">
        <v>19</v>
      </c>
      <c r="C219" s="38">
        <v>1610</v>
      </c>
      <c r="D219" s="7">
        <v>8267</v>
      </c>
      <c r="E219" s="38">
        <v>3101</v>
      </c>
      <c r="F219" s="39">
        <v>4.7419999999999997E-3</v>
      </c>
      <c r="G219" t="s">
        <v>1</v>
      </c>
      <c r="H219" s="23" t="s">
        <v>90</v>
      </c>
      <c r="I219" s="23">
        <v>14</v>
      </c>
      <c r="J219" s="23">
        <v>17</v>
      </c>
      <c r="K219" s="8">
        <v>0.33</v>
      </c>
      <c r="L219" s="8">
        <v>0.66999999999999993</v>
      </c>
      <c r="M219">
        <f t="shared" si="3"/>
        <v>3.3E-3</v>
      </c>
    </row>
    <row r="220" spans="1:13" x14ac:dyDescent="0.3">
      <c r="A220" s="23" t="s">
        <v>107</v>
      </c>
      <c r="B220" t="s">
        <v>19</v>
      </c>
      <c r="C220" s="38">
        <v>1056</v>
      </c>
      <c r="D220" s="7">
        <v>27364</v>
      </c>
      <c r="E220" s="38">
        <v>2233</v>
      </c>
      <c r="F220" s="39">
        <v>4.2129999999999997E-3</v>
      </c>
      <c r="G220" t="s">
        <v>2</v>
      </c>
      <c r="H220" s="23" t="s">
        <v>90</v>
      </c>
      <c r="I220" s="23">
        <v>9</v>
      </c>
      <c r="J220" s="23">
        <v>10</v>
      </c>
      <c r="K220" s="8">
        <v>0.55000000000000004</v>
      </c>
      <c r="L220" s="8">
        <v>0.44999999999999996</v>
      </c>
      <c r="M220">
        <f t="shared" si="3"/>
        <v>5.5000000000000005E-3</v>
      </c>
    </row>
    <row r="221" spans="1:13" x14ac:dyDescent="0.3">
      <c r="A221" s="23" t="s">
        <v>107</v>
      </c>
      <c r="B221" t="s">
        <v>19</v>
      </c>
      <c r="C221" s="38">
        <v>2537</v>
      </c>
      <c r="D221" s="7">
        <v>22006</v>
      </c>
      <c r="E221" s="38">
        <v>2199</v>
      </c>
      <c r="F221" s="39">
        <v>1.3619999999999999E-3</v>
      </c>
      <c r="G221" t="s">
        <v>3</v>
      </c>
      <c r="H221" s="23" t="s">
        <v>90</v>
      </c>
      <c r="I221" s="23">
        <v>4</v>
      </c>
      <c r="J221" s="23">
        <v>25</v>
      </c>
      <c r="K221" s="8">
        <v>0.8</v>
      </c>
      <c r="L221" s="8">
        <v>0.19999999999999996</v>
      </c>
      <c r="M221">
        <f t="shared" si="3"/>
        <v>8.0000000000000002E-3</v>
      </c>
    </row>
    <row r="222" spans="1:13" x14ac:dyDescent="0.3">
      <c r="A222" s="23" t="s">
        <v>107</v>
      </c>
      <c r="B222" t="s">
        <v>20</v>
      </c>
      <c r="C222" s="38">
        <v>592</v>
      </c>
      <c r="D222" s="7">
        <v>137146</v>
      </c>
      <c r="E222" s="38">
        <v>2534</v>
      </c>
      <c r="F222" s="39">
        <v>5.3379999999999999E-3</v>
      </c>
      <c r="G222" t="s">
        <v>0</v>
      </c>
      <c r="H222" s="23" t="s">
        <v>90</v>
      </c>
      <c r="I222" s="23">
        <v>10</v>
      </c>
      <c r="J222" s="23">
        <v>49</v>
      </c>
      <c r="K222" s="8">
        <v>0.36</v>
      </c>
      <c r="L222" s="8">
        <v>0.64</v>
      </c>
      <c r="M222">
        <f t="shared" si="3"/>
        <v>3.5999999999999999E-3</v>
      </c>
    </row>
    <row r="223" spans="1:13" x14ac:dyDescent="0.3">
      <c r="A223" s="23" t="s">
        <v>107</v>
      </c>
      <c r="B223" t="s">
        <v>20</v>
      </c>
      <c r="C223" s="38">
        <v>928</v>
      </c>
      <c r="D223" s="7">
        <v>107839</v>
      </c>
      <c r="E223" s="38">
        <v>2745</v>
      </c>
      <c r="F223" s="39">
        <v>6.3200000000000001E-3</v>
      </c>
      <c r="G223" t="s">
        <v>1</v>
      </c>
      <c r="H223" s="23" t="s">
        <v>90</v>
      </c>
      <c r="I223" s="23">
        <v>4</v>
      </c>
      <c r="J223" s="23">
        <v>75</v>
      </c>
      <c r="K223" s="8">
        <v>0.86</v>
      </c>
      <c r="L223" s="8">
        <v>0.14000000000000001</v>
      </c>
      <c r="M223">
        <f t="shared" si="3"/>
        <v>8.6E-3</v>
      </c>
    </row>
    <row r="224" spans="1:13" x14ac:dyDescent="0.3">
      <c r="A224" s="23" t="s">
        <v>107</v>
      </c>
      <c r="B224" t="s">
        <v>20</v>
      </c>
      <c r="C224" s="38">
        <v>1994</v>
      </c>
      <c r="D224" s="7">
        <v>173644</v>
      </c>
      <c r="E224" s="38">
        <v>3100</v>
      </c>
      <c r="F224" s="39">
        <v>3.1740000000000002E-3</v>
      </c>
      <c r="G224" t="s">
        <v>2</v>
      </c>
      <c r="H224" s="23" t="s">
        <v>90</v>
      </c>
      <c r="I224" s="23">
        <v>21</v>
      </c>
      <c r="J224" s="23">
        <v>67</v>
      </c>
      <c r="K224" s="8">
        <v>0.66</v>
      </c>
      <c r="L224" s="8">
        <v>0.33999999999999997</v>
      </c>
      <c r="M224">
        <f t="shared" si="3"/>
        <v>6.6E-3</v>
      </c>
    </row>
    <row r="225" spans="1:13" x14ac:dyDescent="0.3">
      <c r="A225" s="23" t="s">
        <v>107</v>
      </c>
      <c r="B225" t="s">
        <v>20</v>
      </c>
      <c r="C225" s="38">
        <v>2330</v>
      </c>
      <c r="D225" s="7">
        <v>144337</v>
      </c>
      <c r="E225" s="38">
        <v>3311</v>
      </c>
      <c r="F225" s="39">
        <v>3.065E-3</v>
      </c>
      <c r="G225" t="s">
        <v>3</v>
      </c>
      <c r="H225" s="23" t="s">
        <v>90</v>
      </c>
      <c r="I225" s="23">
        <v>15</v>
      </c>
      <c r="J225" s="23">
        <v>38</v>
      </c>
      <c r="K225" s="8">
        <v>0.11</v>
      </c>
      <c r="L225" s="8">
        <v>0.89</v>
      </c>
      <c r="M225">
        <f t="shared" si="3"/>
        <v>1.1000000000000001E-3</v>
      </c>
    </row>
    <row r="226" spans="1:13" x14ac:dyDescent="0.3">
      <c r="A226" s="23" t="s">
        <v>107</v>
      </c>
      <c r="B226" t="s">
        <v>22</v>
      </c>
      <c r="C226" s="38">
        <v>643</v>
      </c>
      <c r="D226" s="7">
        <v>52195</v>
      </c>
      <c r="E226" s="38">
        <v>1404</v>
      </c>
      <c r="F226" s="39">
        <v>7.4100000000000001E-4</v>
      </c>
      <c r="G226" t="s">
        <v>0</v>
      </c>
      <c r="H226" s="23" t="s">
        <v>90</v>
      </c>
      <c r="I226" s="23">
        <v>1</v>
      </c>
      <c r="J226" s="23">
        <v>17</v>
      </c>
      <c r="K226" s="8">
        <v>0.87</v>
      </c>
      <c r="L226" s="8">
        <v>0.13</v>
      </c>
      <c r="M226">
        <f t="shared" si="3"/>
        <v>8.6999999999999994E-3</v>
      </c>
    </row>
    <row r="227" spans="1:13" x14ac:dyDescent="0.3">
      <c r="A227" s="23" t="s">
        <v>107</v>
      </c>
      <c r="B227" t="s">
        <v>22</v>
      </c>
      <c r="C227" s="38">
        <v>679</v>
      </c>
      <c r="D227" s="7">
        <v>37118</v>
      </c>
      <c r="E227" s="38">
        <v>1299</v>
      </c>
      <c r="F227" s="39">
        <v>4.6499999999999996E-3</v>
      </c>
      <c r="G227" t="s">
        <v>1</v>
      </c>
      <c r="H227" s="23" t="s">
        <v>90</v>
      </c>
      <c r="I227" s="23">
        <v>3</v>
      </c>
      <c r="J227" s="23">
        <v>27</v>
      </c>
      <c r="K227" s="8">
        <v>0.21</v>
      </c>
      <c r="L227" s="8">
        <v>0.79</v>
      </c>
      <c r="M227">
        <f t="shared" si="3"/>
        <v>2.0999999999999999E-3</v>
      </c>
    </row>
    <row r="228" spans="1:13" x14ac:dyDescent="0.3">
      <c r="A228" s="23" t="s">
        <v>107</v>
      </c>
      <c r="B228" t="s">
        <v>22</v>
      </c>
      <c r="C228" s="38">
        <v>385</v>
      </c>
      <c r="D228" s="7">
        <v>68380</v>
      </c>
      <c r="E228" s="38">
        <v>829</v>
      </c>
      <c r="F228" s="39">
        <v>5.5960000000000003E-3</v>
      </c>
      <c r="G228" t="s">
        <v>2</v>
      </c>
      <c r="H228" s="23" t="s">
        <v>90</v>
      </c>
      <c r="I228" s="23">
        <v>3</v>
      </c>
      <c r="J228" s="23">
        <v>57</v>
      </c>
      <c r="K228" s="8">
        <v>0.37</v>
      </c>
      <c r="L228" s="8">
        <v>0.63</v>
      </c>
      <c r="M228">
        <f t="shared" si="3"/>
        <v>3.7000000000000002E-3</v>
      </c>
    </row>
    <row r="229" spans="1:13" x14ac:dyDescent="0.3">
      <c r="A229" s="23" t="s">
        <v>107</v>
      </c>
      <c r="B229" t="s">
        <v>22</v>
      </c>
      <c r="C229" s="38">
        <v>420</v>
      </c>
      <c r="D229" s="7">
        <v>53303</v>
      </c>
      <c r="E229" s="38">
        <v>724</v>
      </c>
      <c r="F229" s="39">
        <v>6.1619999999999999E-3</v>
      </c>
      <c r="G229" t="s">
        <v>3</v>
      </c>
      <c r="H229" s="23" t="s">
        <v>90</v>
      </c>
      <c r="I229" s="23">
        <v>1</v>
      </c>
      <c r="J229" s="23">
        <v>7</v>
      </c>
      <c r="K229" s="8">
        <v>0.44</v>
      </c>
      <c r="L229" s="8">
        <v>0.56000000000000005</v>
      </c>
      <c r="M229">
        <f t="shared" si="3"/>
        <v>4.4000000000000003E-3</v>
      </c>
    </row>
    <row r="230" spans="1:13" x14ac:dyDescent="0.3">
      <c r="A230" s="23" t="s">
        <v>107</v>
      </c>
      <c r="B230" t="s">
        <v>21</v>
      </c>
      <c r="C230" s="38">
        <v>308</v>
      </c>
      <c r="D230" s="7">
        <v>47393</v>
      </c>
      <c r="E230" s="38">
        <v>888</v>
      </c>
      <c r="F230" s="39">
        <v>3.1749999999999999E-3</v>
      </c>
      <c r="G230" t="s">
        <v>0</v>
      </c>
      <c r="H230" s="23" t="s">
        <v>90</v>
      </c>
      <c r="I230" s="23">
        <v>14</v>
      </c>
      <c r="J230" s="23">
        <v>22</v>
      </c>
      <c r="K230" s="8">
        <v>0.19</v>
      </c>
      <c r="L230" s="8">
        <v>0.81</v>
      </c>
      <c r="M230">
        <f t="shared" si="3"/>
        <v>1.9E-3</v>
      </c>
    </row>
    <row r="231" spans="1:13" x14ac:dyDescent="0.3">
      <c r="A231" s="23" t="s">
        <v>107</v>
      </c>
      <c r="B231" t="s">
        <v>21</v>
      </c>
      <c r="C231" s="38">
        <v>883</v>
      </c>
      <c r="D231" s="7">
        <v>55601</v>
      </c>
      <c r="E231" s="38">
        <v>1826</v>
      </c>
      <c r="F231" s="39">
        <v>1.5640000000000001E-3</v>
      </c>
      <c r="G231" t="s">
        <v>1</v>
      </c>
      <c r="H231" s="23" t="s">
        <v>90</v>
      </c>
      <c r="I231" s="23">
        <v>1</v>
      </c>
      <c r="J231" s="23">
        <v>31</v>
      </c>
      <c r="K231" s="8">
        <v>0.44</v>
      </c>
      <c r="L231" s="8">
        <v>0.56000000000000005</v>
      </c>
      <c r="M231">
        <f t="shared" si="3"/>
        <v>4.4000000000000003E-3</v>
      </c>
    </row>
    <row r="232" spans="1:13" x14ac:dyDescent="0.3">
      <c r="A232" s="23" t="s">
        <v>107</v>
      </c>
      <c r="B232" t="s">
        <v>21</v>
      </c>
      <c r="C232" s="38">
        <v>238</v>
      </c>
      <c r="D232" s="7">
        <v>94146</v>
      </c>
      <c r="E232" s="38">
        <v>417</v>
      </c>
      <c r="F232" s="39">
        <v>1.4519999999999999E-3</v>
      </c>
      <c r="G232" t="s">
        <v>2</v>
      </c>
      <c r="H232" s="23" t="s">
        <v>90</v>
      </c>
      <c r="I232" s="23">
        <v>13</v>
      </c>
      <c r="J232" s="23">
        <v>15</v>
      </c>
      <c r="K232" s="8">
        <v>0.33</v>
      </c>
      <c r="L232" s="8">
        <v>0.66999999999999993</v>
      </c>
      <c r="M232">
        <f t="shared" si="3"/>
        <v>3.3E-3</v>
      </c>
    </row>
    <row r="233" spans="1:13" x14ac:dyDescent="0.3">
      <c r="A233" s="23" t="s">
        <v>107</v>
      </c>
      <c r="B233" t="s">
        <v>21</v>
      </c>
      <c r="C233" s="38">
        <v>813</v>
      </c>
      <c r="D233" s="7">
        <v>102353</v>
      </c>
      <c r="E233" s="38">
        <v>1355</v>
      </c>
      <c r="F233" s="39">
        <v>5.5030000000000001E-3</v>
      </c>
      <c r="G233" t="s">
        <v>3</v>
      </c>
      <c r="H233" s="23" t="s">
        <v>90</v>
      </c>
      <c r="I233" s="23">
        <v>16</v>
      </c>
      <c r="J233" s="23">
        <v>14</v>
      </c>
      <c r="K233" s="8">
        <v>0.81</v>
      </c>
      <c r="L233" s="8">
        <v>0.18999999999999995</v>
      </c>
      <c r="M233">
        <f t="shared" si="3"/>
        <v>8.1000000000000013E-3</v>
      </c>
    </row>
    <row r="234" spans="1:13" x14ac:dyDescent="0.3">
      <c r="A234" s="23" t="s">
        <v>107</v>
      </c>
      <c r="B234" t="s">
        <v>23</v>
      </c>
      <c r="C234" s="38">
        <v>152</v>
      </c>
      <c r="D234" s="7">
        <v>24440</v>
      </c>
      <c r="E234" s="38">
        <v>735</v>
      </c>
      <c r="F234" s="39">
        <v>6.3879999999999996E-3</v>
      </c>
      <c r="G234" t="s">
        <v>0</v>
      </c>
      <c r="H234" s="23" t="s">
        <v>90</v>
      </c>
      <c r="I234" s="23">
        <v>16</v>
      </c>
      <c r="J234" s="23">
        <v>10</v>
      </c>
      <c r="K234" s="8">
        <v>0.53</v>
      </c>
      <c r="L234" s="8">
        <v>0.47</v>
      </c>
      <c r="M234">
        <f t="shared" si="3"/>
        <v>5.3E-3</v>
      </c>
    </row>
    <row r="235" spans="1:13" x14ac:dyDescent="0.3">
      <c r="A235" s="23" t="s">
        <v>107</v>
      </c>
      <c r="B235" t="s">
        <v>23</v>
      </c>
      <c r="C235" s="38">
        <v>258</v>
      </c>
      <c r="D235" s="7">
        <v>46978</v>
      </c>
      <c r="E235" s="38">
        <v>136</v>
      </c>
      <c r="F235" s="39">
        <v>4.9290000000000002E-3</v>
      </c>
      <c r="G235" t="s">
        <v>1</v>
      </c>
      <c r="H235" s="23" t="s">
        <v>90</v>
      </c>
      <c r="I235" s="23">
        <v>10</v>
      </c>
      <c r="J235" s="23">
        <v>22</v>
      </c>
      <c r="K235" s="8">
        <v>0.11</v>
      </c>
      <c r="L235" s="8">
        <v>0.89</v>
      </c>
      <c r="M235">
        <f t="shared" si="3"/>
        <v>1.1000000000000001E-3</v>
      </c>
    </row>
    <row r="236" spans="1:13" x14ac:dyDescent="0.3">
      <c r="A236" s="23" t="s">
        <v>107</v>
      </c>
      <c r="B236" t="s">
        <v>23</v>
      </c>
      <c r="C236" s="38">
        <v>287</v>
      </c>
      <c r="D236" s="7">
        <v>63846</v>
      </c>
      <c r="E236" s="38">
        <v>956</v>
      </c>
      <c r="F236" s="39">
        <v>4.1469999999999996E-3</v>
      </c>
      <c r="G236" t="s">
        <v>2</v>
      </c>
      <c r="H236" s="23" t="s">
        <v>90</v>
      </c>
      <c r="I236" s="23">
        <v>8</v>
      </c>
      <c r="J236" s="23">
        <v>51</v>
      </c>
      <c r="K236" s="8">
        <v>0.48</v>
      </c>
      <c r="L236" s="8">
        <v>0.52</v>
      </c>
      <c r="M236">
        <f t="shared" si="3"/>
        <v>4.7999999999999996E-3</v>
      </c>
    </row>
    <row r="237" spans="1:13" x14ac:dyDescent="0.3">
      <c r="A237" s="23" t="s">
        <v>107</v>
      </c>
      <c r="B237" t="s">
        <v>23</v>
      </c>
      <c r="C237" s="38">
        <v>394</v>
      </c>
      <c r="D237" s="7">
        <v>86383</v>
      </c>
      <c r="E237" s="38">
        <v>357</v>
      </c>
      <c r="F237" s="39">
        <v>4.3210000000000002E-3</v>
      </c>
      <c r="G237" t="s">
        <v>3</v>
      </c>
      <c r="H237" s="23" t="s">
        <v>90</v>
      </c>
      <c r="I237" s="23">
        <v>20</v>
      </c>
      <c r="J237" s="23">
        <v>68</v>
      </c>
      <c r="K237" s="8">
        <v>0.53</v>
      </c>
      <c r="L237" s="8">
        <v>0.47</v>
      </c>
      <c r="M237">
        <f t="shared" si="3"/>
        <v>5.3E-3</v>
      </c>
    </row>
    <row r="238" spans="1:13" x14ac:dyDescent="0.3">
      <c r="A238" s="23" t="s">
        <v>107</v>
      </c>
      <c r="B238" t="s">
        <v>24</v>
      </c>
      <c r="C238" s="38">
        <v>145</v>
      </c>
      <c r="D238" s="7">
        <v>13689</v>
      </c>
      <c r="E238" s="38">
        <v>339</v>
      </c>
      <c r="F238" s="39">
        <v>2.8809999999999999E-3</v>
      </c>
      <c r="G238" t="s">
        <v>0</v>
      </c>
      <c r="H238" s="23" t="s">
        <v>90</v>
      </c>
      <c r="I238" s="23">
        <v>22</v>
      </c>
      <c r="J238" s="23">
        <v>59</v>
      </c>
      <c r="K238" s="8">
        <v>0.79</v>
      </c>
      <c r="L238" s="8">
        <v>0.20999999999999996</v>
      </c>
      <c r="M238">
        <f t="shared" si="3"/>
        <v>7.9000000000000008E-3</v>
      </c>
    </row>
    <row r="239" spans="1:13" x14ac:dyDescent="0.3">
      <c r="A239" s="23" t="s">
        <v>107</v>
      </c>
      <c r="B239" t="s">
        <v>24</v>
      </c>
      <c r="C239" s="38">
        <v>33</v>
      </c>
      <c r="D239" s="7">
        <v>7695</v>
      </c>
      <c r="E239" s="38">
        <v>769</v>
      </c>
      <c r="F239" s="39">
        <v>4.1999999999999997E-3</v>
      </c>
      <c r="G239" t="s">
        <v>1</v>
      </c>
      <c r="H239" s="23" t="s">
        <v>90</v>
      </c>
      <c r="I239" s="23">
        <v>16</v>
      </c>
      <c r="J239" s="23">
        <v>11</v>
      </c>
      <c r="K239" s="8">
        <v>0.74</v>
      </c>
      <c r="L239" s="8">
        <v>0.26</v>
      </c>
      <c r="M239">
        <f t="shared" si="3"/>
        <v>7.4000000000000003E-3</v>
      </c>
    </row>
    <row r="240" spans="1:13" x14ac:dyDescent="0.3">
      <c r="A240" s="23" t="s">
        <v>107</v>
      </c>
      <c r="B240" t="s">
        <v>24</v>
      </c>
      <c r="C240" s="38">
        <v>384</v>
      </c>
      <c r="D240" s="7">
        <v>12314</v>
      </c>
      <c r="E240" s="38">
        <v>67</v>
      </c>
      <c r="F240" s="39">
        <v>5.2709999999999996E-3</v>
      </c>
      <c r="G240" t="s">
        <v>2</v>
      </c>
      <c r="H240" s="23" t="s">
        <v>90</v>
      </c>
      <c r="I240" s="23">
        <v>13</v>
      </c>
      <c r="J240" s="23">
        <v>57</v>
      </c>
      <c r="K240" s="8">
        <v>0.85</v>
      </c>
      <c r="L240" s="8">
        <v>0.15000000000000002</v>
      </c>
      <c r="M240">
        <f t="shared" si="3"/>
        <v>8.5000000000000006E-3</v>
      </c>
    </row>
    <row r="241" spans="1:13" x14ac:dyDescent="0.3">
      <c r="A241" s="23" t="s">
        <v>107</v>
      </c>
      <c r="B241" t="s">
        <v>24</v>
      </c>
      <c r="C241" s="38">
        <v>272</v>
      </c>
      <c r="D241" s="7">
        <v>6320</v>
      </c>
      <c r="E241" s="38">
        <v>497</v>
      </c>
      <c r="F241" s="39">
        <v>4.1359999999999999E-3</v>
      </c>
      <c r="G241" t="s">
        <v>3</v>
      </c>
      <c r="H241" s="23" t="s">
        <v>90</v>
      </c>
      <c r="I241" s="23">
        <v>13</v>
      </c>
      <c r="J241" s="23">
        <v>57</v>
      </c>
      <c r="K241" s="8">
        <v>0.71</v>
      </c>
      <c r="L241" s="8">
        <v>0.29000000000000004</v>
      </c>
      <c r="M241">
        <f t="shared" si="3"/>
        <v>7.0999999999999995E-3</v>
      </c>
    </row>
    <row r="242" spans="1:13" x14ac:dyDescent="0.3">
      <c r="A242" s="23" t="s">
        <v>107</v>
      </c>
      <c r="B242" t="s">
        <v>19</v>
      </c>
      <c r="C242" s="38">
        <v>1375</v>
      </c>
      <c r="D242" s="7">
        <v>6058</v>
      </c>
      <c r="E242" s="38">
        <v>3271</v>
      </c>
      <c r="F242" s="39">
        <v>2.4099999999999998E-3</v>
      </c>
      <c r="G242" t="s">
        <v>0</v>
      </c>
      <c r="H242" s="23" t="s">
        <v>89</v>
      </c>
      <c r="I242" s="23">
        <v>21</v>
      </c>
      <c r="J242" s="23">
        <v>47</v>
      </c>
      <c r="K242" s="8">
        <v>0.28000000000000003</v>
      </c>
      <c r="L242" s="8">
        <v>0.72</v>
      </c>
      <c r="M242">
        <f t="shared" si="3"/>
        <v>2.8000000000000004E-3</v>
      </c>
    </row>
    <row r="243" spans="1:13" x14ac:dyDescent="0.3">
      <c r="A243" s="23" t="s">
        <v>107</v>
      </c>
      <c r="B243" t="s">
        <v>19</v>
      </c>
      <c r="C243" s="38">
        <v>1964</v>
      </c>
      <c r="D243" s="7">
        <v>10867</v>
      </c>
      <c r="E243" s="38">
        <v>4657</v>
      </c>
      <c r="F243" s="39">
        <v>5.7270000000000003E-3</v>
      </c>
      <c r="G243" t="s">
        <v>1</v>
      </c>
      <c r="H243" s="23" t="s">
        <v>89</v>
      </c>
      <c r="I243" s="23">
        <v>7</v>
      </c>
      <c r="J243" s="23">
        <v>43</v>
      </c>
      <c r="K243" s="8">
        <v>0.57999999999999996</v>
      </c>
      <c r="L243" s="8">
        <v>0.42000000000000004</v>
      </c>
      <c r="M243">
        <f t="shared" si="3"/>
        <v>5.7999999999999996E-3</v>
      </c>
    </row>
    <row r="244" spans="1:13" x14ac:dyDescent="0.3">
      <c r="A244" s="23" t="s">
        <v>107</v>
      </c>
      <c r="B244" t="s">
        <v>19</v>
      </c>
      <c r="C244" s="38">
        <v>1104</v>
      </c>
      <c r="D244" s="7">
        <v>12609</v>
      </c>
      <c r="E244" s="38">
        <v>1480</v>
      </c>
      <c r="F244" s="39">
        <v>4.9220000000000002E-3</v>
      </c>
      <c r="G244" t="s">
        <v>2</v>
      </c>
      <c r="H244" s="23" t="s">
        <v>89</v>
      </c>
      <c r="I244" s="23">
        <v>18</v>
      </c>
      <c r="J244" s="23">
        <v>77</v>
      </c>
      <c r="K244" s="8">
        <v>0.68</v>
      </c>
      <c r="L244" s="8">
        <v>0.31999999999999995</v>
      </c>
      <c r="M244">
        <f t="shared" si="3"/>
        <v>6.8000000000000005E-3</v>
      </c>
    </row>
    <row r="245" spans="1:13" x14ac:dyDescent="0.3">
      <c r="A245" s="23" t="s">
        <v>107</v>
      </c>
      <c r="B245" t="s">
        <v>19</v>
      </c>
      <c r="C245" s="38">
        <v>1693</v>
      </c>
      <c r="D245" s="7">
        <v>17418</v>
      </c>
      <c r="E245" s="38">
        <v>2867</v>
      </c>
      <c r="F245" s="39">
        <v>4.0249999999999999E-3</v>
      </c>
      <c r="G245" t="s">
        <v>3</v>
      </c>
      <c r="H245" s="23" t="s">
        <v>89</v>
      </c>
      <c r="I245" s="23">
        <v>16</v>
      </c>
      <c r="J245" s="23">
        <v>58</v>
      </c>
      <c r="K245" s="8">
        <v>0.79</v>
      </c>
      <c r="L245" s="8">
        <v>0.20999999999999996</v>
      </c>
      <c r="M245">
        <f t="shared" si="3"/>
        <v>7.9000000000000008E-3</v>
      </c>
    </row>
    <row r="246" spans="1:13" x14ac:dyDescent="0.3">
      <c r="A246" s="23" t="s">
        <v>107</v>
      </c>
      <c r="B246" t="s">
        <v>20</v>
      </c>
      <c r="C246" s="38">
        <v>1260</v>
      </c>
      <c r="D246" s="7">
        <v>91502</v>
      </c>
      <c r="E246" s="38">
        <v>4409</v>
      </c>
      <c r="F246" s="39">
        <v>5.2379999999999996E-3</v>
      </c>
      <c r="G246" t="s">
        <v>0</v>
      </c>
      <c r="H246" s="23" t="s">
        <v>89</v>
      </c>
      <c r="I246" s="23">
        <v>22</v>
      </c>
      <c r="J246" s="23">
        <v>22</v>
      </c>
      <c r="K246" s="8">
        <v>0.45</v>
      </c>
      <c r="L246" s="8">
        <v>0.55000000000000004</v>
      </c>
      <c r="M246">
        <f t="shared" si="3"/>
        <v>4.5000000000000005E-3</v>
      </c>
    </row>
    <row r="247" spans="1:13" x14ac:dyDescent="0.3">
      <c r="A247" s="23" t="s">
        <v>107</v>
      </c>
      <c r="B247" t="s">
        <v>20</v>
      </c>
      <c r="C247" s="38">
        <v>2423</v>
      </c>
      <c r="D247" s="7">
        <v>79476</v>
      </c>
      <c r="E247" s="38">
        <v>2932</v>
      </c>
      <c r="F247" s="39">
        <v>2.4810000000000001E-3</v>
      </c>
      <c r="G247" t="s">
        <v>1</v>
      </c>
      <c r="H247" s="23" t="s">
        <v>89</v>
      </c>
      <c r="I247" s="23">
        <v>14</v>
      </c>
      <c r="J247" s="23">
        <v>68</v>
      </c>
      <c r="K247" s="8">
        <v>0.53</v>
      </c>
      <c r="L247" s="8">
        <v>0.47</v>
      </c>
      <c r="M247">
        <f t="shared" si="3"/>
        <v>5.3E-3</v>
      </c>
    </row>
    <row r="248" spans="1:13" x14ac:dyDescent="0.3">
      <c r="A248" s="23" t="s">
        <v>107</v>
      </c>
      <c r="B248" t="s">
        <v>20</v>
      </c>
      <c r="C248" s="38">
        <v>954</v>
      </c>
      <c r="D248" s="7">
        <v>105982</v>
      </c>
      <c r="E248" s="38">
        <v>3824</v>
      </c>
      <c r="F248" s="39">
        <v>9.6500000000000004E-4</v>
      </c>
      <c r="G248" t="s">
        <v>2</v>
      </c>
      <c r="H248" s="23" t="s">
        <v>89</v>
      </c>
      <c r="I248" s="23">
        <v>21</v>
      </c>
      <c r="J248" s="23">
        <v>46</v>
      </c>
      <c r="K248" s="8">
        <v>0.56000000000000005</v>
      </c>
      <c r="L248" s="8">
        <v>0.43999999999999995</v>
      </c>
      <c r="M248">
        <f t="shared" si="3"/>
        <v>5.6000000000000008E-3</v>
      </c>
    </row>
    <row r="249" spans="1:13" x14ac:dyDescent="0.3">
      <c r="A249" s="23" t="s">
        <v>107</v>
      </c>
      <c r="B249" t="s">
        <v>20</v>
      </c>
      <c r="C249" s="38">
        <v>2117</v>
      </c>
      <c r="D249" s="7">
        <v>93956</v>
      </c>
      <c r="E249" s="38">
        <v>2347</v>
      </c>
      <c r="F249" s="39">
        <v>6.7879999999999998E-3</v>
      </c>
      <c r="G249" t="s">
        <v>3</v>
      </c>
      <c r="H249" s="23" t="s">
        <v>89</v>
      </c>
      <c r="I249" s="23">
        <v>6</v>
      </c>
      <c r="J249" s="23">
        <v>38</v>
      </c>
      <c r="K249" s="8">
        <v>0.57999999999999996</v>
      </c>
      <c r="L249" s="8">
        <v>0.42000000000000004</v>
      </c>
      <c r="M249">
        <f t="shared" si="3"/>
        <v>5.7999999999999996E-3</v>
      </c>
    </row>
    <row r="250" spans="1:13" x14ac:dyDescent="0.3">
      <c r="A250" s="23" t="s">
        <v>107</v>
      </c>
      <c r="B250" t="s">
        <v>22</v>
      </c>
      <c r="C250" s="38">
        <v>387</v>
      </c>
      <c r="D250" s="7">
        <v>27776</v>
      </c>
      <c r="E250" s="38">
        <v>1207</v>
      </c>
      <c r="F250" s="39">
        <v>1.059E-3</v>
      </c>
      <c r="G250" t="s">
        <v>0</v>
      </c>
      <c r="H250" s="23" t="s">
        <v>89</v>
      </c>
      <c r="I250" s="23">
        <v>12</v>
      </c>
      <c r="J250" s="23">
        <v>3</v>
      </c>
      <c r="K250" s="8">
        <v>0.66</v>
      </c>
      <c r="L250" s="8">
        <v>0.33999999999999997</v>
      </c>
      <c r="M250">
        <f t="shared" si="3"/>
        <v>6.6E-3</v>
      </c>
    </row>
    <row r="251" spans="1:13" x14ac:dyDescent="0.3">
      <c r="A251" s="23" t="s">
        <v>107</v>
      </c>
      <c r="B251" t="s">
        <v>22</v>
      </c>
      <c r="C251" s="38">
        <v>568</v>
      </c>
      <c r="D251" s="7">
        <v>63754</v>
      </c>
      <c r="E251" s="38">
        <v>438</v>
      </c>
      <c r="F251" s="39">
        <v>1.9499999999999999E-3</v>
      </c>
      <c r="G251" t="s">
        <v>1</v>
      </c>
      <c r="H251" s="23" t="s">
        <v>89</v>
      </c>
      <c r="I251" s="23">
        <v>20</v>
      </c>
      <c r="J251" s="23">
        <v>57</v>
      </c>
      <c r="K251" s="8">
        <v>0.22</v>
      </c>
      <c r="L251" s="8">
        <v>0.78</v>
      </c>
      <c r="M251">
        <f t="shared" si="3"/>
        <v>2.2000000000000001E-3</v>
      </c>
    </row>
    <row r="252" spans="1:13" x14ac:dyDescent="0.3">
      <c r="A252" s="23" t="s">
        <v>107</v>
      </c>
      <c r="B252" t="s">
        <v>22</v>
      </c>
      <c r="C252" s="38">
        <v>132</v>
      </c>
      <c r="D252" s="7">
        <v>5754</v>
      </c>
      <c r="E252" s="38">
        <v>963</v>
      </c>
      <c r="F252" s="39">
        <v>2.3370000000000001E-3</v>
      </c>
      <c r="G252" t="s">
        <v>2</v>
      </c>
      <c r="H252" s="23" t="s">
        <v>89</v>
      </c>
      <c r="I252" s="23">
        <v>16</v>
      </c>
      <c r="J252" s="23">
        <v>17</v>
      </c>
      <c r="K252" s="8">
        <v>0.71</v>
      </c>
      <c r="L252" s="8">
        <v>0.29000000000000004</v>
      </c>
      <c r="M252">
        <f t="shared" si="3"/>
        <v>7.0999999999999995E-3</v>
      </c>
    </row>
    <row r="253" spans="1:13" x14ac:dyDescent="0.3">
      <c r="A253" s="23" t="s">
        <v>107</v>
      </c>
      <c r="B253" t="s">
        <v>22</v>
      </c>
      <c r="C253" s="38">
        <v>313</v>
      </c>
      <c r="D253" s="7">
        <v>41732</v>
      </c>
      <c r="E253" s="38">
        <v>194</v>
      </c>
      <c r="F253" s="39">
        <v>3.1310000000000001E-3</v>
      </c>
      <c r="G253" t="s">
        <v>3</v>
      </c>
      <c r="H253" s="23" t="s">
        <v>89</v>
      </c>
      <c r="I253" s="23">
        <v>1</v>
      </c>
      <c r="J253" s="23">
        <v>41</v>
      </c>
      <c r="K253" s="8">
        <v>0.67</v>
      </c>
      <c r="L253" s="8">
        <v>0.32999999999999996</v>
      </c>
      <c r="M253">
        <f t="shared" si="3"/>
        <v>6.7000000000000002E-3</v>
      </c>
    </row>
    <row r="254" spans="1:13" x14ac:dyDescent="0.3">
      <c r="A254" s="23" t="s">
        <v>107</v>
      </c>
      <c r="B254" t="s">
        <v>21</v>
      </c>
      <c r="C254" s="38">
        <v>704</v>
      </c>
      <c r="D254" s="7">
        <v>39380</v>
      </c>
      <c r="E254" s="38">
        <v>1693</v>
      </c>
      <c r="F254" s="39">
        <v>4.2570000000000004E-3</v>
      </c>
      <c r="G254" t="s">
        <v>0</v>
      </c>
      <c r="H254" s="23" t="s">
        <v>89</v>
      </c>
      <c r="I254" s="23">
        <v>18</v>
      </c>
      <c r="J254" s="23">
        <v>5</v>
      </c>
      <c r="K254" s="8">
        <v>0.87</v>
      </c>
      <c r="L254" s="8">
        <v>0.13</v>
      </c>
      <c r="M254">
        <f t="shared" si="3"/>
        <v>8.6999999999999994E-3</v>
      </c>
    </row>
    <row r="255" spans="1:13" x14ac:dyDescent="0.3">
      <c r="A255" s="23" t="s">
        <v>107</v>
      </c>
      <c r="B255" t="s">
        <v>21</v>
      </c>
      <c r="C255" s="38">
        <v>652</v>
      </c>
      <c r="D255" s="7">
        <v>63283</v>
      </c>
      <c r="E255" s="38">
        <v>1064</v>
      </c>
      <c r="F255" s="39">
        <v>3.117E-3</v>
      </c>
      <c r="G255" t="s">
        <v>1</v>
      </c>
      <c r="H255" s="23" t="s">
        <v>89</v>
      </c>
      <c r="I255" s="23">
        <v>6</v>
      </c>
      <c r="J255" s="23">
        <v>28</v>
      </c>
      <c r="K255" s="8">
        <v>0.8</v>
      </c>
      <c r="L255" s="8">
        <v>0.19999999999999996</v>
      </c>
      <c r="M255">
        <f t="shared" si="3"/>
        <v>8.0000000000000002E-3</v>
      </c>
    </row>
    <row r="256" spans="1:13" x14ac:dyDescent="0.3">
      <c r="A256" s="23" t="s">
        <v>107</v>
      </c>
      <c r="B256" t="s">
        <v>21</v>
      </c>
      <c r="C256" s="38">
        <v>393</v>
      </c>
      <c r="D256" s="7">
        <v>35379</v>
      </c>
      <c r="E256" s="38">
        <v>1026</v>
      </c>
      <c r="F256" s="39">
        <v>7.0629999999999998E-3</v>
      </c>
      <c r="G256" t="s">
        <v>2</v>
      </c>
      <c r="H256" s="23" t="s">
        <v>89</v>
      </c>
      <c r="I256" s="23">
        <v>9</v>
      </c>
      <c r="J256" s="23">
        <v>6</v>
      </c>
      <c r="K256" s="8">
        <v>0.14000000000000001</v>
      </c>
      <c r="L256" s="8">
        <v>0.86</v>
      </c>
      <c r="M256">
        <f t="shared" si="3"/>
        <v>1.4000000000000002E-3</v>
      </c>
    </row>
    <row r="257" spans="1:13" x14ac:dyDescent="0.3">
      <c r="A257" s="23" t="s">
        <v>107</v>
      </c>
      <c r="B257" t="s">
        <v>21</v>
      </c>
      <c r="C257" s="38">
        <v>340</v>
      </c>
      <c r="D257" s="7">
        <v>59282</v>
      </c>
      <c r="E257" s="38">
        <v>397</v>
      </c>
      <c r="F257" s="39">
        <v>1.456E-3</v>
      </c>
      <c r="G257" t="s">
        <v>3</v>
      </c>
      <c r="H257" s="23" t="s">
        <v>89</v>
      </c>
      <c r="I257" s="23">
        <v>23</v>
      </c>
      <c r="J257" s="23">
        <v>67</v>
      </c>
      <c r="K257" s="8">
        <v>0.63</v>
      </c>
      <c r="L257" s="8">
        <v>0.37</v>
      </c>
      <c r="M257">
        <f t="shared" si="3"/>
        <v>6.3E-3</v>
      </c>
    </row>
    <row r="258" spans="1:13" x14ac:dyDescent="0.3">
      <c r="A258" s="23" t="s">
        <v>107</v>
      </c>
      <c r="B258" t="s">
        <v>23</v>
      </c>
      <c r="C258" s="38">
        <v>182</v>
      </c>
      <c r="D258" s="7">
        <v>58621</v>
      </c>
      <c r="E258" s="38">
        <v>690</v>
      </c>
      <c r="F258" s="39">
        <v>4.2719999999999998E-3</v>
      </c>
      <c r="G258" t="s">
        <v>0</v>
      </c>
      <c r="H258" s="23" t="s">
        <v>89</v>
      </c>
      <c r="I258" s="23">
        <v>22</v>
      </c>
      <c r="J258" s="23">
        <v>20</v>
      </c>
      <c r="K258" s="8">
        <v>0.64</v>
      </c>
      <c r="L258" s="8">
        <v>0.36</v>
      </c>
      <c r="M258">
        <f t="shared" si="3"/>
        <v>6.4000000000000003E-3</v>
      </c>
    </row>
    <row r="259" spans="1:13" x14ac:dyDescent="0.3">
      <c r="A259" s="23" t="s">
        <v>107</v>
      </c>
      <c r="B259" t="s">
        <v>23</v>
      </c>
      <c r="C259" s="38">
        <v>191</v>
      </c>
      <c r="D259" s="7">
        <v>23155</v>
      </c>
      <c r="E259" s="38">
        <v>181</v>
      </c>
      <c r="F259" s="39">
        <v>8.7699999999999996E-4</v>
      </c>
      <c r="G259" t="s">
        <v>1</v>
      </c>
      <c r="H259" s="23" t="s">
        <v>89</v>
      </c>
      <c r="I259" s="23">
        <v>17</v>
      </c>
      <c r="J259" s="23">
        <v>77</v>
      </c>
      <c r="K259" s="8">
        <v>0.23</v>
      </c>
      <c r="L259" s="8">
        <v>0.77</v>
      </c>
      <c r="M259">
        <f t="shared" ref="M259:M322" si="4">K259/100</f>
        <v>2.3E-3</v>
      </c>
    </row>
    <row r="260" spans="1:13" x14ac:dyDescent="0.3">
      <c r="A260" s="23" t="s">
        <v>107</v>
      </c>
      <c r="B260" t="s">
        <v>23</v>
      </c>
      <c r="C260" s="38">
        <v>260</v>
      </c>
      <c r="D260" s="7">
        <v>49862</v>
      </c>
      <c r="E260" s="38">
        <v>722</v>
      </c>
      <c r="F260" s="39">
        <v>8.0000000000000004E-4</v>
      </c>
      <c r="G260" t="s">
        <v>2</v>
      </c>
      <c r="H260" s="23" t="s">
        <v>89</v>
      </c>
      <c r="I260" s="23">
        <v>4</v>
      </c>
      <c r="J260" s="23">
        <v>16</v>
      </c>
      <c r="K260" s="8">
        <v>0.46</v>
      </c>
      <c r="L260" s="8">
        <v>0.54</v>
      </c>
      <c r="M260">
        <f t="shared" si="4"/>
        <v>4.5999999999999999E-3</v>
      </c>
    </row>
    <row r="261" spans="1:13" x14ac:dyDescent="0.3">
      <c r="A261" s="23" t="s">
        <v>107</v>
      </c>
      <c r="B261" t="s">
        <v>23</v>
      </c>
      <c r="C261" s="38">
        <v>269</v>
      </c>
      <c r="D261" s="7">
        <v>14396</v>
      </c>
      <c r="E261" s="38">
        <v>213</v>
      </c>
      <c r="F261" s="39">
        <v>3.2650000000000001E-3</v>
      </c>
      <c r="G261" t="s">
        <v>3</v>
      </c>
      <c r="H261" s="23" t="s">
        <v>89</v>
      </c>
      <c r="I261" s="23">
        <v>16</v>
      </c>
      <c r="J261" s="23">
        <v>11</v>
      </c>
      <c r="K261" s="8">
        <v>0.75</v>
      </c>
      <c r="L261" s="8">
        <v>0.25</v>
      </c>
      <c r="M261">
        <f t="shared" si="4"/>
        <v>7.4999999999999997E-3</v>
      </c>
    </row>
    <row r="262" spans="1:13" x14ac:dyDescent="0.3">
      <c r="A262" s="23" t="s">
        <v>107</v>
      </c>
      <c r="B262" t="s">
        <v>24</v>
      </c>
      <c r="C262" s="38">
        <v>91</v>
      </c>
      <c r="D262" s="7">
        <v>6375</v>
      </c>
      <c r="E262" s="38">
        <v>220</v>
      </c>
      <c r="F262" s="39">
        <v>7.058E-3</v>
      </c>
      <c r="G262" t="s">
        <v>0</v>
      </c>
      <c r="H262" s="23" t="s">
        <v>89</v>
      </c>
      <c r="I262" s="23">
        <v>8</v>
      </c>
      <c r="J262" s="23">
        <v>2</v>
      </c>
      <c r="K262" s="8">
        <v>0.31</v>
      </c>
      <c r="L262" s="8">
        <v>0.69</v>
      </c>
      <c r="M262">
        <f t="shared" si="4"/>
        <v>3.0999999999999999E-3</v>
      </c>
    </row>
    <row r="263" spans="1:13" x14ac:dyDescent="0.3">
      <c r="A263" s="23" t="s">
        <v>107</v>
      </c>
      <c r="B263" t="s">
        <v>24</v>
      </c>
      <c r="C263" s="38">
        <v>127</v>
      </c>
      <c r="D263" s="7">
        <v>1540</v>
      </c>
      <c r="E263" s="38">
        <v>391</v>
      </c>
      <c r="F263" s="39">
        <v>2.0579999999999999E-3</v>
      </c>
      <c r="G263" t="s">
        <v>1</v>
      </c>
      <c r="H263" s="23" t="s">
        <v>89</v>
      </c>
      <c r="I263" s="23">
        <v>4</v>
      </c>
      <c r="J263" s="23">
        <v>67</v>
      </c>
      <c r="K263" s="8">
        <v>0.9</v>
      </c>
      <c r="L263" s="8">
        <v>9.9999999999999978E-2</v>
      </c>
      <c r="M263">
        <f t="shared" si="4"/>
        <v>9.0000000000000011E-3</v>
      </c>
    </row>
    <row r="264" spans="1:13" x14ac:dyDescent="0.3">
      <c r="A264" s="23" t="s">
        <v>107</v>
      </c>
      <c r="B264" t="s">
        <v>24</v>
      </c>
      <c r="C264" s="38">
        <v>148</v>
      </c>
      <c r="D264" s="7">
        <v>11643</v>
      </c>
      <c r="E264" s="38">
        <v>159</v>
      </c>
      <c r="F264" s="39">
        <v>2.6189999999999998E-3</v>
      </c>
      <c r="G264" t="s">
        <v>2</v>
      </c>
      <c r="H264" s="23" t="s">
        <v>89</v>
      </c>
      <c r="I264" s="23">
        <v>23</v>
      </c>
      <c r="J264" s="23">
        <v>24</v>
      </c>
      <c r="K264" s="8">
        <v>0.22</v>
      </c>
      <c r="L264" s="8">
        <v>0.78</v>
      </c>
      <c r="M264">
        <f t="shared" si="4"/>
        <v>2.2000000000000001E-3</v>
      </c>
    </row>
    <row r="265" spans="1:13" x14ac:dyDescent="0.3">
      <c r="A265" s="23" t="s">
        <v>107</v>
      </c>
      <c r="B265" t="s">
        <v>24</v>
      </c>
      <c r="C265" s="38">
        <v>184</v>
      </c>
      <c r="D265" s="7">
        <v>6808</v>
      </c>
      <c r="E265" s="38">
        <v>330</v>
      </c>
      <c r="F265" s="39">
        <v>5.1659999999999996E-3</v>
      </c>
      <c r="G265" t="s">
        <v>3</v>
      </c>
      <c r="H265" s="23" t="s">
        <v>89</v>
      </c>
      <c r="I265" s="23">
        <v>14</v>
      </c>
      <c r="J265" s="23">
        <v>15</v>
      </c>
      <c r="K265" s="8">
        <v>0.7</v>
      </c>
      <c r="L265" s="8">
        <v>0.30000000000000004</v>
      </c>
      <c r="M265">
        <f t="shared" si="4"/>
        <v>6.9999999999999993E-3</v>
      </c>
    </row>
    <row r="266" spans="1:13" x14ac:dyDescent="0.3">
      <c r="A266" s="23" t="s">
        <v>107</v>
      </c>
      <c r="B266" t="s">
        <v>19</v>
      </c>
      <c r="C266" s="38">
        <v>919</v>
      </c>
      <c r="D266" s="7">
        <v>12436</v>
      </c>
      <c r="E266" s="38">
        <v>3882</v>
      </c>
      <c r="F266" s="39">
        <v>2.9220000000000001E-3</v>
      </c>
      <c r="G266" t="s">
        <v>0</v>
      </c>
      <c r="H266" s="23" t="s">
        <v>91</v>
      </c>
      <c r="I266" s="23">
        <v>16</v>
      </c>
      <c r="J266" s="23">
        <v>60</v>
      </c>
      <c r="K266" s="8">
        <v>0.65</v>
      </c>
      <c r="L266" s="8">
        <v>0.35</v>
      </c>
      <c r="M266">
        <f t="shared" si="4"/>
        <v>6.5000000000000006E-3</v>
      </c>
    </row>
    <row r="267" spans="1:13" x14ac:dyDescent="0.3">
      <c r="A267" s="23" t="s">
        <v>107</v>
      </c>
      <c r="B267" t="s">
        <v>19</v>
      </c>
      <c r="C267" s="38">
        <v>1612</v>
      </c>
      <c r="D267" s="7">
        <v>13837</v>
      </c>
      <c r="E267" s="38">
        <v>2533</v>
      </c>
      <c r="F267" s="39">
        <v>1.769E-3</v>
      </c>
      <c r="G267" t="s">
        <v>1</v>
      </c>
      <c r="H267" s="23" t="s">
        <v>91</v>
      </c>
      <c r="I267" s="23">
        <v>10</v>
      </c>
      <c r="J267" s="23">
        <v>54</v>
      </c>
      <c r="K267" s="8">
        <v>0.12</v>
      </c>
      <c r="L267" s="8">
        <v>0.88</v>
      </c>
      <c r="M267">
        <f t="shared" si="4"/>
        <v>1.1999999999999999E-3</v>
      </c>
    </row>
    <row r="268" spans="1:13" x14ac:dyDescent="0.3">
      <c r="A268" s="23" t="s">
        <v>107</v>
      </c>
      <c r="B268" t="s">
        <v>19</v>
      </c>
      <c r="C268" s="38">
        <v>546</v>
      </c>
      <c r="D268" s="7">
        <v>4514</v>
      </c>
      <c r="E268" s="38">
        <v>1786</v>
      </c>
      <c r="F268" s="39">
        <v>6.992E-3</v>
      </c>
      <c r="G268" t="s">
        <v>2</v>
      </c>
      <c r="H268" s="23" t="s">
        <v>91</v>
      </c>
      <c r="I268" s="23">
        <v>8</v>
      </c>
      <c r="J268" s="23">
        <v>63</v>
      </c>
      <c r="K268" s="8">
        <v>0.7</v>
      </c>
      <c r="L268" s="8">
        <v>0.30000000000000004</v>
      </c>
      <c r="M268">
        <f t="shared" si="4"/>
        <v>6.9999999999999993E-3</v>
      </c>
    </row>
    <row r="269" spans="1:13" x14ac:dyDescent="0.3">
      <c r="A269" s="23" t="s">
        <v>107</v>
      </c>
      <c r="B269" t="s">
        <v>19</v>
      </c>
      <c r="C269" s="38">
        <v>1239</v>
      </c>
      <c r="D269" s="7">
        <v>5915</v>
      </c>
      <c r="E269" s="38">
        <v>436</v>
      </c>
      <c r="F269" s="39">
        <v>4.6039999999999996E-3</v>
      </c>
      <c r="G269" t="s">
        <v>3</v>
      </c>
      <c r="H269" s="23" t="s">
        <v>91</v>
      </c>
      <c r="I269" s="23">
        <v>5</v>
      </c>
      <c r="J269" s="23">
        <v>52</v>
      </c>
      <c r="K269" s="8">
        <v>0.88</v>
      </c>
      <c r="L269" s="8">
        <v>0.12</v>
      </c>
      <c r="M269">
        <f t="shared" si="4"/>
        <v>8.8000000000000005E-3</v>
      </c>
    </row>
    <row r="270" spans="1:13" x14ac:dyDescent="0.3">
      <c r="A270" s="23" t="s">
        <v>107</v>
      </c>
      <c r="B270" t="s">
        <v>20</v>
      </c>
      <c r="C270" s="38">
        <v>306</v>
      </c>
      <c r="D270" s="7">
        <v>30440</v>
      </c>
      <c r="E270" s="38">
        <v>672</v>
      </c>
      <c r="F270" s="39">
        <v>6.8989999999999998E-3</v>
      </c>
      <c r="G270" t="s">
        <v>0</v>
      </c>
      <c r="H270" s="23" t="s">
        <v>91</v>
      </c>
      <c r="I270" s="23">
        <v>7</v>
      </c>
      <c r="J270" s="23">
        <v>36</v>
      </c>
      <c r="K270" s="8">
        <v>0.3</v>
      </c>
      <c r="L270" s="8">
        <v>0.7</v>
      </c>
      <c r="M270">
        <f t="shared" si="4"/>
        <v>3.0000000000000001E-3</v>
      </c>
    </row>
    <row r="271" spans="1:13" x14ac:dyDescent="0.3">
      <c r="A271" s="23" t="s">
        <v>107</v>
      </c>
      <c r="B271" t="s">
        <v>20</v>
      </c>
      <c r="C271" s="38">
        <v>515</v>
      </c>
      <c r="D271" s="7">
        <v>36658</v>
      </c>
      <c r="E271" s="38">
        <v>645</v>
      </c>
      <c r="F271" s="39">
        <v>6.398E-3</v>
      </c>
      <c r="G271" t="s">
        <v>1</v>
      </c>
      <c r="H271" s="23" t="s">
        <v>91</v>
      </c>
      <c r="I271" s="23">
        <v>19</v>
      </c>
      <c r="J271" s="23">
        <v>21</v>
      </c>
      <c r="K271" s="8">
        <v>0.36</v>
      </c>
      <c r="L271" s="8">
        <v>0.64</v>
      </c>
      <c r="M271">
        <f t="shared" si="4"/>
        <v>3.5999999999999999E-3</v>
      </c>
    </row>
    <row r="272" spans="1:13" x14ac:dyDescent="0.3">
      <c r="A272" s="23" t="s">
        <v>107</v>
      </c>
      <c r="B272" t="s">
        <v>20</v>
      </c>
      <c r="C272" s="38">
        <v>171</v>
      </c>
      <c r="D272" s="7">
        <v>108319</v>
      </c>
      <c r="E272" s="38">
        <v>727</v>
      </c>
      <c r="F272" s="39">
        <v>1.423E-3</v>
      </c>
      <c r="G272" t="s">
        <v>2</v>
      </c>
      <c r="H272" s="23" t="s">
        <v>91</v>
      </c>
      <c r="I272" s="23">
        <v>17</v>
      </c>
      <c r="J272" s="23">
        <v>52</v>
      </c>
      <c r="K272" s="8">
        <v>0.34</v>
      </c>
      <c r="L272" s="8">
        <v>0.65999999999999992</v>
      </c>
      <c r="M272">
        <f t="shared" si="4"/>
        <v>3.4000000000000002E-3</v>
      </c>
    </row>
    <row r="273" spans="1:13" x14ac:dyDescent="0.3">
      <c r="A273" s="23" t="s">
        <v>107</v>
      </c>
      <c r="B273" t="s">
        <v>20</v>
      </c>
      <c r="C273" s="38">
        <v>380</v>
      </c>
      <c r="D273" s="7">
        <v>114537</v>
      </c>
      <c r="E273" s="38">
        <v>701</v>
      </c>
      <c r="F273" s="39">
        <v>2.784E-3</v>
      </c>
      <c r="G273" t="s">
        <v>3</v>
      </c>
      <c r="H273" s="23" t="s">
        <v>91</v>
      </c>
      <c r="I273" s="23">
        <v>15</v>
      </c>
      <c r="J273" s="23">
        <v>77</v>
      </c>
      <c r="K273" s="8">
        <v>0.46</v>
      </c>
      <c r="L273" s="8">
        <v>0.54</v>
      </c>
      <c r="M273">
        <f t="shared" si="4"/>
        <v>4.5999999999999999E-3</v>
      </c>
    </row>
    <row r="274" spans="1:13" x14ac:dyDescent="0.3">
      <c r="A274" s="23" t="s">
        <v>107</v>
      </c>
      <c r="B274" t="s">
        <v>22</v>
      </c>
      <c r="C274" s="38">
        <v>249</v>
      </c>
      <c r="D274" s="7">
        <v>37876</v>
      </c>
      <c r="E274" s="38">
        <v>647</v>
      </c>
      <c r="F274" s="39">
        <v>4.4910000000000002E-3</v>
      </c>
      <c r="G274" t="s">
        <v>0</v>
      </c>
      <c r="H274" s="23" t="s">
        <v>91</v>
      </c>
      <c r="I274" s="23">
        <v>2</v>
      </c>
      <c r="J274" s="23">
        <v>41</v>
      </c>
      <c r="K274" s="8">
        <v>0.7</v>
      </c>
      <c r="L274" s="8">
        <v>0.30000000000000004</v>
      </c>
      <c r="M274">
        <f t="shared" si="4"/>
        <v>6.9999999999999993E-3</v>
      </c>
    </row>
    <row r="275" spans="1:13" x14ac:dyDescent="0.3">
      <c r="A275" s="23" t="s">
        <v>107</v>
      </c>
      <c r="B275" t="s">
        <v>22</v>
      </c>
      <c r="C275" s="38">
        <v>111</v>
      </c>
      <c r="D275" s="7">
        <v>17425</v>
      </c>
      <c r="E275" s="38">
        <v>191</v>
      </c>
      <c r="F275" s="39">
        <v>6.9210000000000001E-3</v>
      </c>
      <c r="G275" t="s">
        <v>1</v>
      </c>
      <c r="H275" s="23" t="s">
        <v>91</v>
      </c>
      <c r="I275" s="23">
        <v>4</v>
      </c>
      <c r="J275" s="23">
        <v>16</v>
      </c>
      <c r="K275" s="8">
        <v>0.72</v>
      </c>
      <c r="L275" s="8">
        <v>0.28000000000000003</v>
      </c>
      <c r="M275">
        <f t="shared" si="4"/>
        <v>7.1999999999999998E-3</v>
      </c>
    </row>
    <row r="276" spans="1:13" x14ac:dyDescent="0.3">
      <c r="A276" s="23" t="s">
        <v>107</v>
      </c>
      <c r="B276" t="s">
        <v>22</v>
      </c>
      <c r="C276" s="38">
        <v>436</v>
      </c>
      <c r="D276" s="7">
        <v>36911</v>
      </c>
      <c r="E276" s="38">
        <v>904</v>
      </c>
      <c r="F276" s="39">
        <v>2.9889999999999999E-3</v>
      </c>
      <c r="G276" t="s">
        <v>2</v>
      </c>
      <c r="H276" s="23" t="s">
        <v>91</v>
      </c>
      <c r="I276" s="23">
        <v>15</v>
      </c>
      <c r="J276" s="23">
        <v>9</v>
      </c>
      <c r="K276" s="8">
        <v>0.44</v>
      </c>
      <c r="L276" s="8">
        <v>0.56000000000000005</v>
      </c>
      <c r="M276">
        <f t="shared" si="4"/>
        <v>4.4000000000000003E-3</v>
      </c>
    </row>
    <row r="277" spans="1:13" x14ac:dyDescent="0.3">
      <c r="A277" s="23" t="s">
        <v>107</v>
      </c>
      <c r="B277" t="s">
        <v>22</v>
      </c>
      <c r="C277" s="38">
        <v>298</v>
      </c>
      <c r="D277" s="7">
        <v>16460</v>
      </c>
      <c r="E277" s="38">
        <v>449</v>
      </c>
      <c r="F277" s="39">
        <v>4.8440000000000002E-3</v>
      </c>
      <c r="G277" t="s">
        <v>3</v>
      </c>
      <c r="H277" s="23" t="s">
        <v>91</v>
      </c>
      <c r="I277" s="23">
        <v>9</v>
      </c>
      <c r="J277" s="23">
        <v>67</v>
      </c>
      <c r="K277" s="8">
        <v>0.6</v>
      </c>
      <c r="L277" s="8">
        <v>0.4</v>
      </c>
      <c r="M277">
        <f t="shared" si="4"/>
        <v>6.0000000000000001E-3</v>
      </c>
    </row>
    <row r="278" spans="1:13" x14ac:dyDescent="0.3">
      <c r="A278" s="23" t="s">
        <v>107</v>
      </c>
      <c r="B278" t="s">
        <v>21</v>
      </c>
      <c r="C278" s="38">
        <v>313</v>
      </c>
      <c r="D278" s="7">
        <v>42158</v>
      </c>
      <c r="E278" s="38">
        <v>624</v>
      </c>
      <c r="F278" s="39">
        <v>6.9589999999999999E-3</v>
      </c>
      <c r="G278" t="s">
        <v>0</v>
      </c>
      <c r="H278" s="23" t="s">
        <v>91</v>
      </c>
      <c r="I278" s="23">
        <v>21</v>
      </c>
      <c r="J278" s="23">
        <v>69</v>
      </c>
      <c r="K278" s="8">
        <v>0.25</v>
      </c>
      <c r="L278" s="8">
        <v>0.75</v>
      </c>
      <c r="M278">
        <f t="shared" si="4"/>
        <v>2.5000000000000001E-3</v>
      </c>
    </row>
    <row r="279" spans="1:13" x14ac:dyDescent="0.3">
      <c r="A279" s="23" t="s">
        <v>107</v>
      </c>
      <c r="B279" t="s">
        <v>21</v>
      </c>
      <c r="C279" s="38">
        <v>403</v>
      </c>
      <c r="D279" s="7">
        <v>25284</v>
      </c>
      <c r="E279" s="38">
        <v>354</v>
      </c>
      <c r="F279" s="39">
        <v>4.2830000000000003E-3</v>
      </c>
      <c r="G279" t="s">
        <v>1</v>
      </c>
      <c r="H279" s="23" t="s">
        <v>91</v>
      </c>
      <c r="I279" s="23">
        <v>2</v>
      </c>
      <c r="J279" s="23">
        <v>50</v>
      </c>
      <c r="K279" s="8">
        <v>0.41</v>
      </c>
      <c r="L279" s="8">
        <v>0.59000000000000008</v>
      </c>
      <c r="M279">
        <f t="shared" si="4"/>
        <v>4.0999999999999995E-3</v>
      </c>
    </row>
    <row r="280" spans="1:13" x14ac:dyDescent="0.3">
      <c r="A280" s="23" t="s">
        <v>107</v>
      </c>
      <c r="B280" t="s">
        <v>21</v>
      </c>
      <c r="C280" s="38">
        <v>65</v>
      </c>
      <c r="D280" s="7">
        <v>51842</v>
      </c>
      <c r="E280" s="38">
        <v>582</v>
      </c>
      <c r="F280" s="39">
        <v>1.1590000000000001E-3</v>
      </c>
      <c r="G280" t="s">
        <v>2</v>
      </c>
      <c r="H280" s="23" t="s">
        <v>91</v>
      </c>
      <c r="I280" s="23">
        <v>3</v>
      </c>
      <c r="J280" s="23">
        <v>12</v>
      </c>
      <c r="K280" s="8">
        <v>0.62</v>
      </c>
      <c r="L280" s="8">
        <v>0.38</v>
      </c>
      <c r="M280">
        <f t="shared" si="4"/>
        <v>6.1999999999999998E-3</v>
      </c>
    </row>
    <row r="281" spans="1:13" x14ac:dyDescent="0.3">
      <c r="A281" s="23" t="s">
        <v>107</v>
      </c>
      <c r="B281" t="s">
        <v>21</v>
      </c>
      <c r="C281" s="38">
        <v>155</v>
      </c>
      <c r="D281" s="7">
        <v>34968</v>
      </c>
      <c r="E281" s="38">
        <v>312</v>
      </c>
      <c r="F281" s="39">
        <v>6.4400000000000004E-3</v>
      </c>
      <c r="G281" t="s">
        <v>3</v>
      </c>
      <c r="H281" s="23" t="s">
        <v>91</v>
      </c>
      <c r="I281" s="23">
        <v>21</v>
      </c>
      <c r="J281" s="23">
        <v>17</v>
      </c>
      <c r="K281" s="8">
        <v>0.47</v>
      </c>
      <c r="L281" s="8">
        <v>0.53</v>
      </c>
      <c r="M281">
        <f t="shared" si="4"/>
        <v>4.6999999999999993E-3</v>
      </c>
    </row>
    <row r="282" spans="1:13" x14ac:dyDescent="0.3">
      <c r="A282" s="23" t="s">
        <v>107</v>
      </c>
      <c r="B282" t="s">
        <v>23</v>
      </c>
      <c r="C282" s="38">
        <v>69</v>
      </c>
      <c r="D282" s="7">
        <v>3697</v>
      </c>
      <c r="E282" s="38">
        <v>199</v>
      </c>
      <c r="F282" s="39">
        <v>7.4650000000000003E-3</v>
      </c>
      <c r="G282" t="s">
        <v>0</v>
      </c>
      <c r="H282" s="23" t="s">
        <v>91</v>
      </c>
      <c r="I282" s="23">
        <v>21</v>
      </c>
      <c r="J282" s="23">
        <v>1</v>
      </c>
      <c r="K282" s="8">
        <v>0.19</v>
      </c>
      <c r="L282" s="8">
        <v>0.81</v>
      </c>
      <c r="M282">
        <f t="shared" si="4"/>
        <v>1.9E-3</v>
      </c>
    </row>
    <row r="283" spans="1:13" x14ac:dyDescent="0.3">
      <c r="A283" s="23" t="s">
        <v>107</v>
      </c>
      <c r="B283" t="s">
        <v>23</v>
      </c>
      <c r="C283" s="38">
        <v>111</v>
      </c>
      <c r="D283" s="7">
        <v>14144</v>
      </c>
      <c r="E283" s="38">
        <v>248</v>
      </c>
      <c r="F283" s="39">
        <v>4.0049999999999999E-3</v>
      </c>
      <c r="G283" t="s">
        <v>1</v>
      </c>
      <c r="H283" s="23" t="s">
        <v>91</v>
      </c>
      <c r="I283" s="23">
        <v>11</v>
      </c>
      <c r="J283" s="23">
        <v>61</v>
      </c>
      <c r="K283" s="8">
        <v>0.11</v>
      </c>
      <c r="L283" s="8">
        <v>0.89</v>
      </c>
      <c r="M283">
        <f t="shared" si="4"/>
        <v>1.1000000000000001E-3</v>
      </c>
    </row>
    <row r="284" spans="1:13" x14ac:dyDescent="0.3">
      <c r="A284" s="23" t="s">
        <v>107</v>
      </c>
      <c r="B284" t="s">
        <v>23</v>
      </c>
      <c r="C284" s="38">
        <v>200</v>
      </c>
      <c r="D284" s="7">
        <v>42935</v>
      </c>
      <c r="E284" s="38">
        <v>375</v>
      </c>
      <c r="F284" s="39">
        <v>7.0730000000000003E-3</v>
      </c>
      <c r="G284" t="s">
        <v>2</v>
      </c>
      <c r="H284" s="23" t="s">
        <v>91</v>
      </c>
      <c r="I284" s="23">
        <v>22</v>
      </c>
      <c r="J284" s="23">
        <v>47</v>
      </c>
      <c r="K284" s="8">
        <v>0.25</v>
      </c>
      <c r="L284" s="8">
        <v>0.75</v>
      </c>
      <c r="M284">
        <f t="shared" si="4"/>
        <v>2.5000000000000001E-3</v>
      </c>
    </row>
    <row r="285" spans="1:13" x14ac:dyDescent="0.3">
      <c r="A285" s="23" t="s">
        <v>107</v>
      </c>
      <c r="B285" t="s">
        <v>23</v>
      </c>
      <c r="C285" s="38">
        <v>242</v>
      </c>
      <c r="D285" s="7">
        <v>53382</v>
      </c>
      <c r="E285" s="38">
        <v>424</v>
      </c>
      <c r="F285" s="39">
        <v>5.2950000000000002E-3</v>
      </c>
      <c r="G285" t="s">
        <v>3</v>
      </c>
      <c r="H285" s="23" t="s">
        <v>91</v>
      </c>
      <c r="I285" s="23">
        <v>18</v>
      </c>
      <c r="J285" s="23">
        <v>40</v>
      </c>
      <c r="K285" s="8">
        <v>0.46</v>
      </c>
      <c r="L285" s="8">
        <v>0.54</v>
      </c>
      <c r="M285">
        <f t="shared" si="4"/>
        <v>4.5999999999999999E-3</v>
      </c>
    </row>
    <row r="286" spans="1:13" x14ac:dyDescent="0.3">
      <c r="A286" s="23" t="s">
        <v>107</v>
      </c>
      <c r="B286" t="s">
        <v>24</v>
      </c>
      <c r="C286" s="38">
        <v>114</v>
      </c>
      <c r="D286" s="7">
        <v>5914</v>
      </c>
      <c r="E286" s="38">
        <v>375</v>
      </c>
      <c r="F286" s="39">
        <v>6.4440000000000001E-3</v>
      </c>
      <c r="G286" t="s">
        <v>0</v>
      </c>
      <c r="H286" s="23" t="s">
        <v>91</v>
      </c>
      <c r="I286" s="23">
        <v>19</v>
      </c>
      <c r="J286" s="23">
        <v>37</v>
      </c>
      <c r="K286" s="8">
        <v>0.13</v>
      </c>
      <c r="L286" s="8">
        <v>0.87</v>
      </c>
      <c r="M286">
        <f t="shared" si="4"/>
        <v>1.2999999999999999E-3</v>
      </c>
    </row>
    <row r="287" spans="1:13" x14ac:dyDescent="0.3">
      <c r="A287" s="23" t="s">
        <v>107</v>
      </c>
      <c r="B287" t="s">
        <v>24</v>
      </c>
      <c r="C287" s="38">
        <v>320</v>
      </c>
      <c r="D287" s="7">
        <v>671</v>
      </c>
      <c r="E287" s="38">
        <v>259</v>
      </c>
      <c r="F287" s="39">
        <v>2.7720000000000002E-3</v>
      </c>
      <c r="G287" t="s">
        <v>1</v>
      </c>
      <c r="H287" s="23" t="s">
        <v>91</v>
      </c>
      <c r="I287" s="23">
        <v>20</v>
      </c>
      <c r="J287" s="23">
        <v>75</v>
      </c>
      <c r="K287" s="8">
        <v>0.28000000000000003</v>
      </c>
      <c r="L287" s="8">
        <v>0.72</v>
      </c>
      <c r="M287">
        <f t="shared" si="4"/>
        <v>2.8000000000000004E-3</v>
      </c>
    </row>
    <row r="288" spans="1:13" x14ac:dyDescent="0.3">
      <c r="A288" s="23" t="s">
        <v>107</v>
      </c>
      <c r="B288" t="s">
        <v>24</v>
      </c>
      <c r="C288" s="38">
        <v>1</v>
      </c>
      <c r="D288" s="7">
        <v>9634</v>
      </c>
      <c r="E288" s="38">
        <v>386</v>
      </c>
      <c r="F288" s="39">
        <v>9.810000000000001E-4</v>
      </c>
      <c r="G288" t="s">
        <v>2</v>
      </c>
      <c r="H288" s="23" t="s">
        <v>91</v>
      </c>
      <c r="I288" s="23">
        <v>17</v>
      </c>
      <c r="J288" s="23">
        <v>40</v>
      </c>
      <c r="K288" s="8">
        <v>0.41</v>
      </c>
      <c r="L288" s="8">
        <v>0.59000000000000008</v>
      </c>
      <c r="M288">
        <f t="shared" si="4"/>
        <v>4.0999999999999995E-3</v>
      </c>
    </row>
    <row r="289" spans="1:13" x14ac:dyDescent="0.3">
      <c r="A289" s="23" t="s">
        <v>107</v>
      </c>
      <c r="B289" t="s">
        <v>24</v>
      </c>
      <c r="C289" s="38">
        <v>208</v>
      </c>
      <c r="D289" s="7">
        <v>4391</v>
      </c>
      <c r="E289" s="38">
        <v>270</v>
      </c>
      <c r="F289" s="39">
        <v>2.7009999999999998E-3</v>
      </c>
      <c r="G289" t="s">
        <v>3</v>
      </c>
      <c r="H289" s="23" t="s">
        <v>91</v>
      </c>
      <c r="I289" s="23">
        <v>6</v>
      </c>
      <c r="J289" s="23">
        <v>73</v>
      </c>
      <c r="K289" s="8">
        <v>0.65</v>
      </c>
      <c r="L289" s="8">
        <v>0.35</v>
      </c>
      <c r="M289">
        <f t="shared" si="4"/>
        <v>6.5000000000000006E-3</v>
      </c>
    </row>
    <row r="290" spans="1:13" x14ac:dyDescent="0.3">
      <c r="A290" s="23" t="s">
        <v>108</v>
      </c>
      <c r="B290" t="s">
        <v>19</v>
      </c>
      <c r="C290" s="38">
        <v>711</v>
      </c>
      <c r="D290" s="7">
        <v>164326</v>
      </c>
      <c r="E290" s="38">
        <v>1843</v>
      </c>
      <c r="F290" s="39">
        <v>4.0470000000000002E-3</v>
      </c>
      <c r="G290" t="s">
        <v>0</v>
      </c>
      <c r="H290" s="23" t="s">
        <v>90</v>
      </c>
      <c r="I290" s="23">
        <v>3</v>
      </c>
      <c r="J290" s="23">
        <v>58</v>
      </c>
      <c r="K290" s="8">
        <v>0.64</v>
      </c>
      <c r="L290" s="8">
        <v>0.36</v>
      </c>
      <c r="M290">
        <f t="shared" si="4"/>
        <v>6.4000000000000003E-3</v>
      </c>
    </row>
    <row r="291" spans="1:13" x14ac:dyDescent="0.3">
      <c r="A291" s="23" t="s">
        <v>108</v>
      </c>
      <c r="B291" t="s">
        <v>19</v>
      </c>
      <c r="C291" s="38">
        <v>1021</v>
      </c>
      <c r="D291" s="7">
        <v>95454</v>
      </c>
      <c r="E291" s="38">
        <v>3111</v>
      </c>
      <c r="F291" s="39">
        <v>4.3400000000000001E-3</v>
      </c>
      <c r="G291" t="s">
        <v>1</v>
      </c>
      <c r="H291" s="23" t="s">
        <v>90</v>
      </c>
      <c r="I291" s="23">
        <v>10</v>
      </c>
      <c r="J291" s="23">
        <v>63</v>
      </c>
      <c r="K291" s="8">
        <v>0.88</v>
      </c>
      <c r="L291" s="8">
        <v>0.12</v>
      </c>
      <c r="M291">
        <f t="shared" si="4"/>
        <v>8.8000000000000005E-3</v>
      </c>
    </row>
    <row r="292" spans="1:13" x14ac:dyDescent="0.3">
      <c r="A292" s="23" t="s">
        <v>108</v>
      </c>
      <c r="B292" t="s">
        <v>19</v>
      </c>
      <c r="C292" s="38">
        <v>1405</v>
      </c>
      <c r="D292" s="7">
        <v>106148</v>
      </c>
      <c r="E292" s="38">
        <v>1742</v>
      </c>
      <c r="F292" s="39">
        <v>2.1090000000000002E-3</v>
      </c>
      <c r="G292" t="s">
        <v>2</v>
      </c>
      <c r="H292" s="23" t="s">
        <v>90</v>
      </c>
      <c r="I292" s="23">
        <v>4</v>
      </c>
      <c r="J292" s="23">
        <v>62</v>
      </c>
      <c r="K292" s="8">
        <v>0.57999999999999996</v>
      </c>
      <c r="L292" s="8">
        <v>0.42000000000000004</v>
      </c>
      <c r="M292">
        <f t="shared" si="4"/>
        <v>5.7999999999999996E-3</v>
      </c>
    </row>
    <row r="293" spans="1:13" x14ac:dyDescent="0.3">
      <c r="A293" s="23" t="s">
        <v>108</v>
      </c>
      <c r="B293" t="s">
        <v>19</v>
      </c>
      <c r="C293" s="38">
        <v>1714</v>
      </c>
      <c r="D293" s="7">
        <v>37276</v>
      </c>
      <c r="E293" s="38">
        <v>3009</v>
      </c>
      <c r="F293" s="39">
        <v>3.9199999999999999E-3</v>
      </c>
      <c r="G293" t="s">
        <v>3</v>
      </c>
      <c r="H293" s="23" t="s">
        <v>90</v>
      </c>
      <c r="I293" s="23">
        <v>1</v>
      </c>
      <c r="J293" s="23">
        <v>54</v>
      </c>
      <c r="K293" s="8">
        <v>0.87</v>
      </c>
      <c r="L293" s="8">
        <v>0.13</v>
      </c>
      <c r="M293">
        <f t="shared" si="4"/>
        <v>8.6999999999999994E-3</v>
      </c>
    </row>
    <row r="294" spans="1:13" x14ac:dyDescent="0.3">
      <c r="A294" s="23" t="s">
        <v>108</v>
      </c>
      <c r="B294" t="s">
        <v>20</v>
      </c>
      <c r="C294" s="38">
        <v>2772</v>
      </c>
      <c r="D294" s="7">
        <v>25085</v>
      </c>
      <c r="E294" s="38">
        <v>1695</v>
      </c>
      <c r="F294" s="39">
        <v>3.8549999999999999E-3</v>
      </c>
      <c r="G294" t="s">
        <v>0</v>
      </c>
      <c r="H294" s="23" t="s">
        <v>90</v>
      </c>
      <c r="I294" s="23">
        <v>17</v>
      </c>
      <c r="J294" s="23">
        <v>33</v>
      </c>
      <c r="K294" s="8">
        <v>0.8</v>
      </c>
      <c r="L294" s="8">
        <v>0.19999999999999996</v>
      </c>
      <c r="M294">
        <f t="shared" si="4"/>
        <v>8.0000000000000002E-3</v>
      </c>
    </row>
    <row r="295" spans="1:13" x14ac:dyDescent="0.3">
      <c r="A295" s="23" t="s">
        <v>108</v>
      </c>
      <c r="B295" t="s">
        <v>20</v>
      </c>
      <c r="C295" s="38">
        <v>2001</v>
      </c>
      <c r="D295" s="7">
        <v>39931</v>
      </c>
      <c r="E295" s="38">
        <v>2794</v>
      </c>
      <c r="F295" s="39">
        <v>3.9529999999999999E-3</v>
      </c>
      <c r="G295" t="s">
        <v>1</v>
      </c>
      <c r="H295" s="23" t="s">
        <v>90</v>
      </c>
      <c r="I295" s="23">
        <v>21</v>
      </c>
      <c r="J295" s="23">
        <v>15</v>
      </c>
      <c r="K295" s="8">
        <v>0.57999999999999996</v>
      </c>
      <c r="L295" s="8">
        <v>0.42000000000000004</v>
      </c>
      <c r="M295">
        <f t="shared" si="4"/>
        <v>5.7999999999999996E-3</v>
      </c>
    </row>
    <row r="296" spans="1:13" x14ac:dyDescent="0.3">
      <c r="A296" s="23" t="s">
        <v>108</v>
      </c>
      <c r="B296" t="s">
        <v>20</v>
      </c>
      <c r="C296" s="38">
        <v>1210</v>
      </c>
      <c r="D296" s="7">
        <v>9818</v>
      </c>
      <c r="E296" s="38">
        <v>3629</v>
      </c>
      <c r="F296" s="39">
        <v>1.4339999999999999E-3</v>
      </c>
      <c r="G296" t="s">
        <v>2</v>
      </c>
      <c r="H296" s="23" t="s">
        <v>90</v>
      </c>
      <c r="I296" s="23">
        <v>10</v>
      </c>
      <c r="J296" s="23">
        <v>29</v>
      </c>
      <c r="K296" s="8">
        <v>0.69</v>
      </c>
      <c r="L296" s="8">
        <v>0.31000000000000005</v>
      </c>
      <c r="M296">
        <f t="shared" si="4"/>
        <v>6.8999999999999999E-3</v>
      </c>
    </row>
    <row r="297" spans="1:13" x14ac:dyDescent="0.3">
      <c r="A297" s="23" t="s">
        <v>108</v>
      </c>
      <c r="B297" t="s">
        <v>20</v>
      </c>
      <c r="C297" s="38">
        <v>439</v>
      </c>
      <c r="D297" s="7">
        <v>24665</v>
      </c>
      <c r="E297" s="38">
        <v>4728</v>
      </c>
      <c r="F297" s="39">
        <v>4.0090000000000004E-3</v>
      </c>
      <c r="G297" t="s">
        <v>3</v>
      </c>
      <c r="H297" s="23" t="s">
        <v>90</v>
      </c>
      <c r="I297" s="23">
        <v>17</v>
      </c>
      <c r="J297" s="23">
        <v>56</v>
      </c>
      <c r="K297" s="8">
        <v>0.14000000000000001</v>
      </c>
      <c r="L297" s="8">
        <v>0.86</v>
      </c>
      <c r="M297">
        <f t="shared" si="4"/>
        <v>1.4000000000000002E-3</v>
      </c>
    </row>
    <row r="298" spans="1:13" x14ac:dyDescent="0.3">
      <c r="A298" s="23" t="s">
        <v>108</v>
      </c>
      <c r="B298" t="s">
        <v>22</v>
      </c>
      <c r="C298" s="38">
        <v>260</v>
      </c>
      <c r="D298" s="7">
        <v>96561</v>
      </c>
      <c r="E298" s="38">
        <v>905</v>
      </c>
      <c r="F298" s="39">
        <v>1.0989999999999999E-3</v>
      </c>
      <c r="G298" t="s">
        <v>0</v>
      </c>
      <c r="H298" s="23" t="s">
        <v>90</v>
      </c>
      <c r="I298" s="23">
        <v>13</v>
      </c>
      <c r="J298" s="23">
        <v>63</v>
      </c>
      <c r="K298" s="8">
        <v>0.23</v>
      </c>
      <c r="L298" s="8">
        <v>0.77</v>
      </c>
      <c r="M298">
        <f t="shared" si="4"/>
        <v>2.3E-3</v>
      </c>
    </row>
    <row r="299" spans="1:13" x14ac:dyDescent="0.3">
      <c r="A299" s="23" t="s">
        <v>108</v>
      </c>
      <c r="B299" t="s">
        <v>22</v>
      </c>
      <c r="C299" s="38">
        <v>501</v>
      </c>
      <c r="D299" s="7">
        <v>41623</v>
      </c>
      <c r="E299" s="38">
        <v>659</v>
      </c>
      <c r="F299" s="39">
        <v>1.0660000000000001E-3</v>
      </c>
      <c r="G299" t="s">
        <v>1</v>
      </c>
      <c r="H299" s="23" t="s">
        <v>90</v>
      </c>
      <c r="I299" s="23">
        <v>16</v>
      </c>
      <c r="J299" s="23">
        <v>66</v>
      </c>
      <c r="K299" s="8">
        <v>0.37</v>
      </c>
      <c r="L299" s="8">
        <v>0.63</v>
      </c>
      <c r="M299">
        <f t="shared" si="4"/>
        <v>3.7000000000000002E-3</v>
      </c>
    </row>
    <row r="300" spans="1:13" x14ac:dyDescent="0.3">
      <c r="A300" s="23" t="s">
        <v>108</v>
      </c>
      <c r="B300" t="s">
        <v>22</v>
      </c>
      <c r="C300" s="38">
        <v>126</v>
      </c>
      <c r="D300" s="7">
        <v>67431</v>
      </c>
      <c r="E300" s="38">
        <v>596</v>
      </c>
      <c r="F300" s="39">
        <v>1.818E-3</v>
      </c>
      <c r="G300" t="s">
        <v>2</v>
      </c>
      <c r="H300" s="23" t="s">
        <v>90</v>
      </c>
      <c r="I300" s="23">
        <v>21</v>
      </c>
      <c r="J300" s="23">
        <v>54</v>
      </c>
      <c r="K300" s="8">
        <v>0.18</v>
      </c>
      <c r="L300" s="8">
        <v>0.82000000000000006</v>
      </c>
      <c r="M300">
        <f t="shared" si="4"/>
        <v>1.8E-3</v>
      </c>
    </row>
    <row r="301" spans="1:13" x14ac:dyDescent="0.3">
      <c r="A301" s="23" t="s">
        <v>108</v>
      </c>
      <c r="B301" t="s">
        <v>22</v>
      </c>
      <c r="C301" s="38">
        <v>367</v>
      </c>
      <c r="D301" s="7">
        <v>12493</v>
      </c>
      <c r="E301" s="38">
        <v>350</v>
      </c>
      <c r="F301" s="39">
        <v>4.0379999999999999E-3</v>
      </c>
      <c r="G301" t="s">
        <v>3</v>
      </c>
      <c r="H301" s="23" t="s">
        <v>90</v>
      </c>
      <c r="I301" s="23">
        <v>13</v>
      </c>
      <c r="J301" s="23">
        <v>5</v>
      </c>
      <c r="K301" s="8">
        <v>0.26</v>
      </c>
      <c r="L301" s="8">
        <v>0.74</v>
      </c>
      <c r="M301">
        <f t="shared" si="4"/>
        <v>2.5999999999999999E-3</v>
      </c>
    </row>
    <row r="302" spans="1:13" x14ac:dyDescent="0.3">
      <c r="A302" s="23" t="s">
        <v>108</v>
      </c>
      <c r="B302" t="s">
        <v>21</v>
      </c>
      <c r="C302" s="38">
        <v>1273</v>
      </c>
      <c r="D302" s="7">
        <v>101111</v>
      </c>
      <c r="E302" s="38">
        <v>2930</v>
      </c>
      <c r="F302" s="39">
        <v>4.797E-3</v>
      </c>
      <c r="G302" t="s">
        <v>0</v>
      </c>
      <c r="H302" s="23" t="s">
        <v>90</v>
      </c>
      <c r="I302" s="23">
        <v>13</v>
      </c>
      <c r="J302" s="23">
        <v>18</v>
      </c>
      <c r="K302" s="8">
        <v>0.88</v>
      </c>
      <c r="L302" s="8">
        <v>0.12</v>
      </c>
      <c r="M302">
        <f t="shared" si="4"/>
        <v>8.8000000000000005E-3</v>
      </c>
    </row>
    <row r="303" spans="1:13" x14ac:dyDescent="0.3">
      <c r="A303" s="23" t="s">
        <v>108</v>
      </c>
      <c r="B303" t="s">
        <v>21</v>
      </c>
      <c r="C303" s="38">
        <v>1307</v>
      </c>
      <c r="D303" s="7">
        <v>42992</v>
      </c>
      <c r="E303" s="38">
        <v>3990</v>
      </c>
      <c r="F303" s="39">
        <v>3.4229999999999998E-3</v>
      </c>
      <c r="G303" t="s">
        <v>1</v>
      </c>
      <c r="H303" s="23" t="s">
        <v>90</v>
      </c>
      <c r="I303" s="23">
        <v>13</v>
      </c>
      <c r="J303" s="23">
        <v>41</v>
      </c>
      <c r="K303" s="8">
        <v>0.46</v>
      </c>
      <c r="L303" s="8">
        <v>0.54</v>
      </c>
      <c r="M303">
        <f t="shared" si="4"/>
        <v>4.5999999999999999E-3</v>
      </c>
    </row>
    <row r="304" spans="1:13" x14ac:dyDescent="0.3">
      <c r="A304" s="23" t="s">
        <v>108</v>
      </c>
      <c r="B304" t="s">
        <v>21</v>
      </c>
      <c r="C304" s="38">
        <v>1072</v>
      </c>
      <c r="D304" s="7">
        <v>101871</v>
      </c>
      <c r="E304" s="38">
        <v>769</v>
      </c>
      <c r="F304" s="39">
        <v>4.64E-3</v>
      </c>
      <c r="G304" t="s">
        <v>2</v>
      </c>
      <c r="H304" s="23" t="s">
        <v>90</v>
      </c>
      <c r="I304" s="23">
        <v>4</v>
      </c>
      <c r="J304" s="23">
        <v>8</v>
      </c>
      <c r="K304" s="8">
        <v>0.42</v>
      </c>
      <c r="L304" s="8">
        <v>0.58000000000000007</v>
      </c>
      <c r="M304">
        <f t="shared" si="4"/>
        <v>4.1999999999999997E-3</v>
      </c>
    </row>
    <row r="305" spans="1:13" x14ac:dyDescent="0.3">
      <c r="A305" s="23" t="s">
        <v>108</v>
      </c>
      <c r="B305" t="s">
        <v>21</v>
      </c>
      <c r="C305" s="38">
        <v>1106</v>
      </c>
      <c r="D305" s="7">
        <v>43752</v>
      </c>
      <c r="E305" s="38">
        <v>1829</v>
      </c>
      <c r="F305" s="39">
        <v>4.7590000000000002E-3</v>
      </c>
      <c r="G305" t="s">
        <v>3</v>
      </c>
      <c r="H305" s="23" t="s">
        <v>90</v>
      </c>
      <c r="I305" s="23">
        <v>21</v>
      </c>
      <c r="J305" s="23">
        <v>56</v>
      </c>
      <c r="K305" s="8">
        <v>0.14000000000000001</v>
      </c>
      <c r="L305" s="8">
        <v>0.86</v>
      </c>
      <c r="M305">
        <f t="shared" si="4"/>
        <v>1.4000000000000002E-3</v>
      </c>
    </row>
    <row r="306" spans="1:13" x14ac:dyDescent="0.3">
      <c r="A306" s="23" t="s">
        <v>108</v>
      </c>
      <c r="B306" t="s">
        <v>23</v>
      </c>
      <c r="C306" s="38">
        <v>136</v>
      </c>
      <c r="D306" s="7">
        <v>7811</v>
      </c>
      <c r="E306" s="38">
        <v>581</v>
      </c>
      <c r="F306" s="39">
        <v>2.8010000000000001E-3</v>
      </c>
      <c r="G306" t="s">
        <v>0</v>
      </c>
      <c r="H306" s="23" t="s">
        <v>90</v>
      </c>
      <c r="I306" s="23">
        <v>2</v>
      </c>
      <c r="J306" s="23">
        <v>67</v>
      </c>
      <c r="K306" s="8">
        <v>0.7</v>
      </c>
      <c r="L306" s="8">
        <v>0.30000000000000004</v>
      </c>
      <c r="M306">
        <f t="shared" si="4"/>
        <v>6.9999999999999993E-3</v>
      </c>
    </row>
    <row r="307" spans="1:13" x14ac:dyDescent="0.3">
      <c r="A307" s="23" t="s">
        <v>108</v>
      </c>
      <c r="B307" t="s">
        <v>23</v>
      </c>
      <c r="C307" s="38">
        <v>581</v>
      </c>
      <c r="D307" s="7">
        <v>7870</v>
      </c>
      <c r="E307" s="38">
        <v>1114</v>
      </c>
      <c r="F307" s="39">
        <v>2.3059999999999999E-3</v>
      </c>
      <c r="G307" t="s">
        <v>1</v>
      </c>
      <c r="H307" s="23" t="s">
        <v>90</v>
      </c>
      <c r="I307" s="23">
        <v>15</v>
      </c>
      <c r="J307" s="23">
        <v>39</v>
      </c>
      <c r="K307" s="8">
        <v>0.15</v>
      </c>
      <c r="L307" s="8">
        <v>0.85</v>
      </c>
      <c r="M307">
        <f t="shared" si="4"/>
        <v>1.5E-3</v>
      </c>
    </row>
    <row r="308" spans="1:13" x14ac:dyDescent="0.3">
      <c r="A308" s="23" t="s">
        <v>108</v>
      </c>
      <c r="B308" t="s">
        <v>23</v>
      </c>
      <c r="C308" s="38">
        <v>200</v>
      </c>
      <c r="D308" s="7">
        <v>5504</v>
      </c>
      <c r="E308" s="38">
        <v>448</v>
      </c>
      <c r="F308" s="39">
        <v>9.6000000000000002E-4</v>
      </c>
      <c r="G308" t="s">
        <v>2</v>
      </c>
      <c r="H308" s="23" t="s">
        <v>90</v>
      </c>
      <c r="I308" s="23">
        <v>20</v>
      </c>
      <c r="J308" s="23">
        <v>69</v>
      </c>
      <c r="K308" s="8">
        <v>0.59</v>
      </c>
      <c r="L308" s="8">
        <v>0.41000000000000003</v>
      </c>
      <c r="M308">
        <f t="shared" si="4"/>
        <v>5.8999999999999999E-3</v>
      </c>
    </row>
    <row r="309" spans="1:13" x14ac:dyDescent="0.3">
      <c r="A309" s="23" t="s">
        <v>108</v>
      </c>
      <c r="B309" t="s">
        <v>23</v>
      </c>
      <c r="C309" s="38">
        <v>645</v>
      </c>
      <c r="D309" s="7">
        <v>5563</v>
      </c>
      <c r="E309" s="38">
        <v>981</v>
      </c>
      <c r="F309" s="39">
        <v>4.8469999999999997E-3</v>
      </c>
      <c r="G309" t="s">
        <v>3</v>
      </c>
      <c r="H309" s="23" t="s">
        <v>90</v>
      </c>
      <c r="I309" s="23">
        <v>8</v>
      </c>
      <c r="J309" s="23">
        <v>60</v>
      </c>
      <c r="K309" s="8">
        <v>0.53</v>
      </c>
      <c r="L309" s="8">
        <v>0.47</v>
      </c>
      <c r="M309">
        <f t="shared" si="4"/>
        <v>5.3E-3</v>
      </c>
    </row>
    <row r="310" spans="1:13" x14ac:dyDescent="0.3">
      <c r="A310" s="23" t="s">
        <v>108</v>
      </c>
      <c r="B310" t="s">
        <v>24</v>
      </c>
      <c r="C310" s="38">
        <v>112</v>
      </c>
      <c r="D310" s="7">
        <v>79654</v>
      </c>
      <c r="E310" s="38">
        <v>598</v>
      </c>
      <c r="F310" s="39">
        <v>1.4519999999999999E-3</v>
      </c>
      <c r="G310" t="s">
        <v>0</v>
      </c>
      <c r="H310" s="23" t="s">
        <v>90</v>
      </c>
      <c r="I310" s="23">
        <v>2</v>
      </c>
      <c r="J310" s="23">
        <v>28</v>
      </c>
      <c r="K310" s="8">
        <v>0.37</v>
      </c>
      <c r="L310" s="8">
        <v>0.63</v>
      </c>
      <c r="M310">
        <f t="shared" si="4"/>
        <v>3.7000000000000002E-3</v>
      </c>
    </row>
    <row r="311" spans="1:13" x14ac:dyDescent="0.3">
      <c r="A311" s="23" t="s">
        <v>108</v>
      </c>
      <c r="B311" t="s">
        <v>24</v>
      </c>
      <c r="C311" s="38">
        <v>247</v>
      </c>
      <c r="D311" s="7">
        <v>68312</v>
      </c>
      <c r="E311" s="38">
        <v>314</v>
      </c>
      <c r="F311" s="39">
        <v>4.568E-3</v>
      </c>
      <c r="G311" t="s">
        <v>1</v>
      </c>
      <c r="H311" s="23" t="s">
        <v>90</v>
      </c>
      <c r="I311" s="23">
        <v>13</v>
      </c>
      <c r="J311" s="23">
        <v>53</v>
      </c>
      <c r="K311" s="8">
        <v>0.43</v>
      </c>
      <c r="L311" s="8">
        <v>0.57000000000000006</v>
      </c>
      <c r="M311">
        <f t="shared" si="4"/>
        <v>4.3E-3</v>
      </c>
    </row>
    <row r="312" spans="1:13" x14ac:dyDescent="0.3">
      <c r="A312" s="23" t="s">
        <v>108</v>
      </c>
      <c r="B312" t="s">
        <v>24</v>
      </c>
      <c r="C312" s="38">
        <v>140</v>
      </c>
      <c r="D312" s="7">
        <v>91767</v>
      </c>
      <c r="E312" s="38">
        <v>461</v>
      </c>
      <c r="F312" s="39">
        <v>4.2259999999999997E-3</v>
      </c>
      <c r="G312" t="s">
        <v>2</v>
      </c>
      <c r="H312" s="23" t="s">
        <v>90</v>
      </c>
      <c r="I312" s="23">
        <v>19</v>
      </c>
      <c r="J312" s="23">
        <v>15</v>
      </c>
      <c r="K312" s="8">
        <v>0.7</v>
      </c>
      <c r="L312" s="8">
        <v>0.30000000000000004</v>
      </c>
      <c r="M312">
        <f t="shared" si="4"/>
        <v>6.9999999999999993E-3</v>
      </c>
    </row>
    <row r="313" spans="1:13" x14ac:dyDescent="0.3">
      <c r="A313" s="23" t="s">
        <v>108</v>
      </c>
      <c r="B313" t="s">
        <v>24</v>
      </c>
      <c r="C313" s="38">
        <v>275</v>
      </c>
      <c r="D313" s="7">
        <v>80425</v>
      </c>
      <c r="E313" s="38">
        <v>177</v>
      </c>
      <c r="F313" s="39">
        <v>2.8900000000000002E-3</v>
      </c>
      <c r="G313" t="s">
        <v>3</v>
      </c>
      <c r="H313" s="23" t="s">
        <v>90</v>
      </c>
      <c r="I313" s="23">
        <v>13</v>
      </c>
      <c r="J313" s="23">
        <v>58</v>
      </c>
      <c r="K313" s="8">
        <v>0.45</v>
      </c>
      <c r="L313" s="8">
        <v>0.55000000000000004</v>
      </c>
      <c r="M313">
        <f t="shared" si="4"/>
        <v>4.5000000000000005E-3</v>
      </c>
    </row>
    <row r="314" spans="1:13" x14ac:dyDescent="0.3">
      <c r="A314" s="23" t="s">
        <v>108</v>
      </c>
      <c r="B314" t="s">
        <v>19</v>
      </c>
      <c r="C314" s="38">
        <v>737</v>
      </c>
      <c r="D314" s="7">
        <v>76038</v>
      </c>
      <c r="E314" s="38">
        <v>1400</v>
      </c>
      <c r="F314" s="39">
        <v>1.1249999999999999E-3</v>
      </c>
      <c r="G314" t="s">
        <v>0</v>
      </c>
      <c r="H314" s="23" t="s">
        <v>89</v>
      </c>
      <c r="I314" s="23">
        <v>2</v>
      </c>
      <c r="J314" s="23">
        <v>59</v>
      </c>
      <c r="K314" s="8">
        <v>0.43</v>
      </c>
      <c r="L314" s="8">
        <v>0.57000000000000006</v>
      </c>
      <c r="M314">
        <f t="shared" si="4"/>
        <v>4.3E-3</v>
      </c>
    </row>
    <row r="315" spans="1:13" x14ac:dyDescent="0.3">
      <c r="A315" s="23" t="s">
        <v>108</v>
      </c>
      <c r="B315" t="s">
        <v>19</v>
      </c>
      <c r="C315" s="38">
        <v>148</v>
      </c>
      <c r="D315" s="7">
        <v>96716</v>
      </c>
      <c r="E315" s="38">
        <v>2232</v>
      </c>
      <c r="F315" s="39">
        <v>4.3870000000000003E-3</v>
      </c>
      <c r="G315" t="s">
        <v>1</v>
      </c>
      <c r="H315" s="23" t="s">
        <v>89</v>
      </c>
      <c r="I315" s="23">
        <v>12</v>
      </c>
      <c r="J315" s="23">
        <v>43</v>
      </c>
      <c r="K315" s="8">
        <v>0.75</v>
      </c>
      <c r="L315" s="8">
        <v>0.25</v>
      </c>
      <c r="M315">
        <f t="shared" si="4"/>
        <v>7.4999999999999997E-3</v>
      </c>
    </row>
    <row r="316" spans="1:13" x14ac:dyDescent="0.3">
      <c r="A316" s="23" t="s">
        <v>108</v>
      </c>
      <c r="B316" t="s">
        <v>19</v>
      </c>
      <c r="C316" s="38">
        <v>1460</v>
      </c>
      <c r="D316" s="7">
        <v>36112</v>
      </c>
      <c r="E316" s="38">
        <v>985</v>
      </c>
      <c r="F316" s="39">
        <v>1.8910000000000001E-3</v>
      </c>
      <c r="G316" t="s">
        <v>2</v>
      </c>
      <c r="H316" s="23" t="s">
        <v>89</v>
      </c>
      <c r="I316" s="23">
        <v>20</v>
      </c>
      <c r="J316" s="23">
        <v>59</v>
      </c>
      <c r="K316" s="8">
        <v>0.33</v>
      </c>
      <c r="L316" s="8">
        <v>0.66999999999999993</v>
      </c>
      <c r="M316">
        <f t="shared" si="4"/>
        <v>3.3E-3</v>
      </c>
    </row>
    <row r="317" spans="1:13" x14ac:dyDescent="0.3">
      <c r="A317" s="23" t="s">
        <v>108</v>
      </c>
      <c r="B317" t="s">
        <v>19</v>
      </c>
      <c r="C317" s="38">
        <v>871</v>
      </c>
      <c r="D317" s="7">
        <v>56790</v>
      </c>
      <c r="E317" s="38">
        <v>1818</v>
      </c>
      <c r="F317" s="39">
        <v>3.8809999999999999E-3</v>
      </c>
      <c r="G317" t="s">
        <v>3</v>
      </c>
      <c r="H317" s="23" t="s">
        <v>89</v>
      </c>
      <c r="I317" s="23">
        <v>18</v>
      </c>
      <c r="J317" s="23">
        <v>49</v>
      </c>
      <c r="K317" s="8">
        <v>0.22</v>
      </c>
      <c r="L317" s="8">
        <v>0.78</v>
      </c>
      <c r="M317">
        <f t="shared" si="4"/>
        <v>2.2000000000000001E-3</v>
      </c>
    </row>
    <row r="318" spans="1:13" x14ac:dyDescent="0.3">
      <c r="A318" s="23" t="s">
        <v>108</v>
      </c>
      <c r="B318" t="s">
        <v>20</v>
      </c>
      <c r="C318" s="38">
        <v>504</v>
      </c>
      <c r="D318" s="7">
        <v>19044</v>
      </c>
      <c r="E318" s="38">
        <v>1727</v>
      </c>
      <c r="F318" s="39">
        <v>2.2230000000000001E-3</v>
      </c>
      <c r="G318" t="s">
        <v>0</v>
      </c>
      <c r="H318" s="23" t="s">
        <v>89</v>
      </c>
      <c r="I318" s="23">
        <v>14</v>
      </c>
      <c r="J318" s="23">
        <v>65</v>
      </c>
      <c r="K318" s="8">
        <v>0.63</v>
      </c>
      <c r="L318" s="8">
        <v>0.37</v>
      </c>
      <c r="M318">
        <f t="shared" si="4"/>
        <v>6.3E-3</v>
      </c>
    </row>
    <row r="319" spans="1:13" x14ac:dyDescent="0.3">
      <c r="A319" s="23" t="s">
        <v>108</v>
      </c>
      <c r="B319" t="s">
        <v>20</v>
      </c>
      <c r="C319" s="38">
        <v>271</v>
      </c>
      <c r="D319" s="7">
        <v>24273</v>
      </c>
      <c r="E319" s="38">
        <v>1616</v>
      </c>
      <c r="F319" s="39">
        <v>4.9040000000000004E-3</v>
      </c>
      <c r="G319" t="s">
        <v>1</v>
      </c>
      <c r="H319" s="23" t="s">
        <v>89</v>
      </c>
      <c r="I319" s="23">
        <v>14</v>
      </c>
      <c r="J319" s="23">
        <v>2</v>
      </c>
      <c r="K319" s="8">
        <v>0.59</v>
      </c>
      <c r="L319" s="8">
        <v>0.41000000000000003</v>
      </c>
      <c r="M319">
        <f t="shared" si="4"/>
        <v>5.8999999999999999E-3</v>
      </c>
    </row>
    <row r="320" spans="1:13" x14ac:dyDescent="0.3">
      <c r="A320" s="23" t="s">
        <v>108</v>
      </c>
      <c r="B320" t="s">
        <v>20</v>
      </c>
      <c r="C320" s="38">
        <v>1195</v>
      </c>
      <c r="D320" s="7">
        <v>8504</v>
      </c>
      <c r="E320" s="38">
        <v>1317</v>
      </c>
      <c r="F320" s="39">
        <v>1.433E-3</v>
      </c>
      <c r="G320" t="s">
        <v>2</v>
      </c>
      <c r="H320" s="23" t="s">
        <v>89</v>
      </c>
      <c r="I320" s="23">
        <v>17</v>
      </c>
      <c r="J320" s="23">
        <v>10</v>
      </c>
      <c r="K320" s="8">
        <v>0.39</v>
      </c>
      <c r="L320" s="8">
        <v>0.61</v>
      </c>
      <c r="M320">
        <f t="shared" si="4"/>
        <v>3.9000000000000003E-3</v>
      </c>
    </row>
    <row r="321" spans="1:13" x14ac:dyDescent="0.3">
      <c r="A321" s="23" t="s">
        <v>108</v>
      </c>
      <c r="B321" t="s">
        <v>20</v>
      </c>
      <c r="C321" s="38">
        <v>962</v>
      </c>
      <c r="D321" s="7">
        <v>13734</v>
      </c>
      <c r="E321" s="38">
        <v>1206</v>
      </c>
      <c r="F321" s="39">
        <v>1.6149999999999999E-3</v>
      </c>
      <c r="G321" t="s">
        <v>3</v>
      </c>
      <c r="H321" s="23" t="s">
        <v>89</v>
      </c>
      <c r="I321" s="23">
        <v>1</v>
      </c>
      <c r="J321" s="23">
        <v>25</v>
      </c>
      <c r="K321" s="8">
        <v>0.7</v>
      </c>
      <c r="L321" s="8">
        <v>0.30000000000000004</v>
      </c>
      <c r="M321">
        <f t="shared" si="4"/>
        <v>6.9999999999999993E-3</v>
      </c>
    </row>
    <row r="322" spans="1:13" x14ac:dyDescent="0.3">
      <c r="A322" s="23" t="s">
        <v>108</v>
      </c>
      <c r="B322" t="s">
        <v>22</v>
      </c>
      <c r="C322" s="38">
        <v>283</v>
      </c>
      <c r="D322" s="7">
        <v>40351</v>
      </c>
      <c r="E322" s="38">
        <v>269</v>
      </c>
      <c r="F322" s="39">
        <v>3.019E-3</v>
      </c>
      <c r="G322" t="s">
        <v>0</v>
      </c>
      <c r="H322" s="23" t="s">
        <v>89</v>
      </c>
      <c r="I322" s="23">
        <v>20</v>
      </c>
      <c r="J322" s="23">
        <v>1</v>
      </c>
      <c r="K322" s="8">
        <v>0.13</v>
      </c>
      <c r="L322" s="8">
        <v>0.87</v>
      </c>
      <c r="M322">
        <f t="shared" si="4"/>
        <v>1.2999999999999999E-3</v>
      </c>
    </row>
    <row r="323" spans="1:13" x14ac:dyDescent="0.3">
      <c r="A323" s="23" t="s">
        <v>108</v>
      </c>
      <c r="B323" t="s">
        <v>22</v>
      </c>
      <c r="C323" s="38">
        <v>107</v>
      </c>
      <c r="D323" s="7">
        <v>30394</v>
      </c>
      <c r="E323" s="38">
        <v>106</v>
      </c>
      <c r="F323" s="39">
        <v>1.5449999999999999E-3</v>
      </c>
      <c r="G323" t="s">
        <v>1</v>
      </c>
      <c r="H323" s="23" t="s">
        <v>89</v>
      </c>
      <c r="I323" s="23">
        <v>8</v>
      </c>
      <c r="J323" s="23">
        <v>44</v>
      </c>
      <c r="K323" s="8">
        <v>0.31</v>
      </c>
      <c r="L323" s="8">
        <v>0.69</v>
      </c>
      <c r="M323">
        <f t="shared" ref="M323:M386" si="5">K323/100</f>
        <v>3.0999999999999999E-3</v>
      </c>
    </row>
    <row r="324" spans="1:13" x14ac:dyDescent="0.3">
      <c r="A324" s="23" t="s">
        <v>108</v>
      </c>
      <c r="B324" t="s">
        <v>22</v>
      </c>
      <c r="C324" s="38">
        <v>306</v>
      </c>
      <c r="D324" s="7">
        <v>41457</v>
      </c>
      <c r="E324" s="38">
        <v>720</v>
      </c>
      <c r="F324" s="39">
        <v>2.0439999999999998E-3</v>
      </c>
      <c r="G324" t="s">
        <v>2</v>
      </c>
      <c r="H324" s="23" t="s">
        <v>89</v>
      </c>
      <c r="I324" s="23">
        <v>9</v>
      </c>
      <c r="J324" s="23">
        <v>70</v>
      </c>
      <c r="K324" s="8">
        <v>0.35</v>
      </c>
      <c r="L324" s="8">
        <v>0.65</v>
      </c>
      <c r="M324">
        <f t="shared" si="5"/>
        <v>3.4999999999999996E-3</v>
      </c>
    </row>
    <row r="325" spans="1:13" x14ac:dyDescent="0.3">
      <c r="A325" s="23" t="s">
        <v>108</v>
      </c>
      <c r="B325" t="s">
        <v>22</v>
      </c>
      <c r="C325" s="38">
        <v>129</v>
      </c>
      <c r="D325" s="7">
        <v>31501</v>
      </c>
      <c r="E325" s="38">
        <v>557</v>
      </c>
      <c r="F325" s="39">
        <v>2.075E-3</v>
      </c>
      <c r="G325" t="s">
        <v>3</v>
      </c>
      <c r="H325" s="23" t="s">
        <v>89</v>
      </c>
      <c r="I325" s="23">
        <v>16</v>
      </c>
      <c r="J325" s="23">
        <v>77</v>
      </c>
      <c r="K325" s="8">
        <v>0.1</v>
      </c>
      <c r="L325" s="8">
        <v>0.9</v>
      </c>
      <c r="M325">
        <f t="shared" si="5"/>
        <v>1E-3</v>
      </c>
    </row>
    <row r="326" spans="1:13" x14ac:dyDescent="0.3">
      <c r="A326" s="23" t="s">
        <v>108</v>
      </c>
      <c r="B326" t="s">
        <v>21</v>
      </c>
      <c r="C326" s="38">
        <v>1540</v>
      </c>
      <c r="D326" s="7">
        <v>9984</v>
      </c>
      <c r="E326" s="38">
        <v>2444</v>
      </c>
      <c r="F326" s="39">
        <v>1.8959999999999999E-3</v>
      </c>
      <c r="G326" t="s">
        <v>0</v>
      </c>
      <c r="H326" s="23" t="s">
        <v>89</v>
      </c>
      <c r="I326" s="23">
        <v>12</v>
      </c>
      <c r="J326" s="23">
        <v>15</v>
      </c>
      <c r="K326" s="8">
        <v>0.57999999999999996</v>
      </c>
      <c r="L326" s="8">
        <v>0.42000000000000004</v>
      </c>
      <c r="M326">
        <f t="shared" si="5"/>
        <v>5.7999999999999996E-3</v>
      </c>
    </row>
    <row r="327" spans="1:13" x14ac:dyDescent="0.3">
      <c r="A327" s="23" t="s">
        <v>108</v>
      </c>
      <c r="B327" t="s">
        <v>21</v>
      </c>
      <c r="C327" s="38">
        <v>799</v>
      </c>
      <c r="D327" s="7">
        <v>39722</v>
      </c>
      <c r="E327" s="38">
        <v>1585</v>
      </c>
      <c r="F327" s="39">
        <v>3.9880000000000002E-3</v>
      </c>
      <c r="G327" t="s">
        <v>1</v>
      </c>
      <c r="H327" s="23" t="s">
        <v>89</v>
      </c>
      <c r="I327" s="23">
        <v>20</v>
      </c>
      <c r="J327" s="23">
        <v>45</v>
      </c>
      <c r="K327" s="8">
        <v>0.43</v>
      </c>
      <c r="L327" s="8">
        <v>0.57000000000000006</v>
      </c>
      <c r="M327">
        <f t="shared" si="5"/>
        <v>4.3E-3</v>
      </c>
    </row>
    <row r="328" spans="1:13" x14ac:dyDescent="0.3">
      <c r="A328" s="23" t="s">
        <v>108</v>
      </c>
      <c r="B328" t="s">
        <v>21</v>
      </c>
      <c r="C328" s="38">
        <v>1236</v>
      </c>
      <c r="D328" s="7">
        <v>55722</v>
      </c>
      <c r="E328" s="38">
        <v>2485</v>
      </c>
      <c r="F328" s="39">
        <v>3.2139999999999998E-3</v>
      </c>
      <c r="G328" t="s">
        <v>2</v>
      </c>
      <c r="H328" s="23" t="s">
        <v>89</v>
      </c>
      <c r="I328" s="23">
        <v>12</v>
      </c>
      <c r="J328" s="23">
        <v>52</v>
      </c>
      <c r="K328" s="8">
        <v>0.37</v>
      </c>
      <c r="L328" s="8">
        <v>0.63</v>
      </c>
      <c r="M328">
        <f t="shared" si="5"/>
        <v>3.7000000000000002E-3</v>
      </c>
    </row>
    <row r="329" spans="1:13" x14ac:dyDescent="0.3">
      <c r="A329" s="23" t="s">
        <v>108</v>
      </c>
      <c r="B329" t="s">
        <v>21</v>
      </c>
      <c r="C329" s="38">
        <v>494</v>
      </c>
      <c r="D329" s="7">
        <v>85460</v>
      </c>
      <c r="E329" s="38">
        <v>1626</v>
      </c>
      <c r="F329" s="39">
        <v>3.1879999999999999E-3</v>
      </c>
      <c r="G329" t="s">
        <v>3</v>
      </c>
      <c r="H329" s="23" t="s">
        <v>89</v>
      </c>
      <c r="I329" s="23">
        <v>23</v>
      </c>
      <c r="J329" s="23">
        <v>56</v>
      </c>
      <c r="K329" s="8">
        <v>0.6</v>
      </c>
      <c r="L329" s="8">
        <v>0.4</v>
      </c>
      <c r="M329">
        <f t="shared" si="5"/>
        <v>6.0000000000000001E-3</v>
      </c>
    </row>
    <row r="330" spans="1:13" x14ac:dyDescent="0.3">
      <c r="A330" s="23" t="s">
        <v>108</v>
      </c>
      <c r="B330" t="s">
        <v>23</v>
      </c>
      <c r="C330" s="38">
        <v>128</v>
      </c>
      <c r="D330" s="7">
        <v>5528</v>
      </c>
      <c r="E330" s="38">
        <v>840</v>
      </c>
      <c r="F330" s="39">
        <v>4.1029999999999999E-3</v>
      </c>
      <c r="G330" t="s">
        <v>0</v>
      </c>
      <c r="H330" s="23" t="s">
        <v>89</v>
      </c>
      <c r="I330" s="23">
        <v>15</v>
      </c>
      <c r="J330" s="23">
        <v>33</v>
      </c>
      <c r="K330" s="8">
        <v>0.19</v>
      </c>
      <c r="L330" s="8">
        <v>0.81</v>
      </c>
      <c r="M330">
        <f t="shared" si="5"/>
        <v>1.9E-3</v>
      </c>
    </row>
    <row r="331" spans="1:13" x14ac:dyDescent="0.3">
      <c r="A331" s="23" t="s">
        <v>108</v>
      </c>
      <c r="B331" t="s">
        <v>23</v>
      </c>
      <c r="C331" s="38">
        <v>394</v>
      </c>
      <c r="D331" s="7">
        <v>4323</v>
      </c>
      <c r="E331" s="38">
        <v>743</v>
      </c>
      <c r="F331" s="39">
        <v>2.8830000000000001E-3</v>
      </c>
      <c r="G331" t="s">
        <v>1</v>
      </c>
      <c r="H331" s="23" t="s">
        <v>89</v>
      </c>
      <c r="I331" s="23">
        <v>5</v>
      </c>
      <c r="J331" s="23">
        <v>77</v>
      </c>
      <c r="K331" s="8">
        <v>0.47</v>
      </c>
      <c r="L331" s="8">
        <v>0.53</v>
      </c>
      <c r="M331">
        <f t="shared" si="5"/>
        <v>4.6999999999999993E-3</v>
      </c>
    </row>
    <row r="332" spans="1:13" x14ac:dyDescent="0.3">
      <c r="A332" s="23" t="s">
        <v>108</v>
      </c>
      <c r="B332" t="s">
        <v>23</v>
      </c>
      <c r="C332" s="38">
        <v>252</v>
      </c>
      <c r="D332" s="7">
        <v>4489</v>
      </c>
      <c r="E332" s="38">
        <v>550</v>
      </c>
      <c r="F332" s="39">
        <v>3.2980000000000002E-3</v>
      </c>
      <c r="G332" t="s">
        <v>2</v>
      </c>
      <c r="H332" s="23" t="s">
        <v>89</v>
      </c>
      <c r="I332" s="23">
        <v>5</v>
      </c>
      <c r="J332" s="23">
        <v>5</v>
      </c>
      <c r="K332" s="8">
        <v>0.64</v>
      </c>
      <c r="L332" s="8">
        <v>0.36</v>
      </c>
      <c r="M332">
        <f t="shared" si="5"/>
        <v>6.4000000000000003E-3</v>
      </c>
    </row>
    <row r="333" spans="1:13" x14ac:dyDescent="0.3">
      <c r="A333" s="23" t="s">
        <v>108</v>
      </c>
      <c r="B333" t="s">
        <v>23</v>
      </c>
      <c r="C333" s="38">
        <v>518</v>
      </c>
      <c r="D333" s="7">
        <v>3284</v>
      </c>
      <c r="E333" s="38">
        <v>453</v>
      </c>
      <c r="F333" s="39">
        <v>1.4170000000000001E-3</v>
      </c>
      <c r="G333" t="s">
        <v>3</v>
      </c>
      <c r="H333" s="23" t="s">
        <v>89</v>
      </c>
      <c r="I333" s="23">
        <v>9</v>
      </c>
      <c r="J333" s="23">
        <v>40</v>
      </c>
      <c r="K333" s="8">
        <v>0.1</v>
      </c>
      <c r="L333" s="8">
        <v>0.9</v>
      </c>
      <c r="M333">
        <f t="shared" si="5"/>
        <v>1E-3</v>
      </c>
    </row>
    <row r="334" spans="1:13" x14ac:dyDescent="0.3">
      <c r="A334" s="23" t="s">
        <v>108</v>
      </c>
      <c r="B334" t="s">
        <v>24</v>
      </c>
      <c r="C334" s="38">
        <v>248</v>
      </c>
      <c r="D334" s="7">
        <v>103319</v>
      </c>
      <c r="E334" s="38">
        <v>496</v>
      </c>
      <c r="F334" s="39">
        <v>1.1310000000000001E-3</v>
      </c>
      <c r="G334" t="s">
        <v>0</v>
      </c>
      <c r="H334" s="23" t="s">
        <v>89</v>
      </c>
      <c r="I334" s="23">
        <v>17</v>
      </c>
      <c r="J334" s="23">
        <v>66</v>
      </c>
      <c r="K334" s="8">
        <v>0.16</v>
      </c>
      <c r="L334" s="8">
        <v>0.84</v>
      </c>
      <c r="M334">
        <f t="shared" si="5"/>
        <v>1.6000000000000001E-3</v>
      </c>
    </row>
    <row r="335" spans="1:13" x14ac:dyDescent="0.3">
      <c r="A335" s="23" t="s">
        <v>108</v>
      </c>
      <c r="B335" t="s">
        <v>24</v>
      </c>
      <c r="C335" s="38">
        <v>133</v>
      </c>
      <c r="D335" s="7">
        <v>32148</v>
      </c>
      <c r="E335" s="38">
        <v>602</v>
      </c>
      <c r="F335" s="39">
        <v>3.5869999999999999E-3</v>
      </c>
      <c r="G335" t="s">
        <v>1</v>
      </c>
      <c r="H335" s="23" t="s">
        <v>89</v>
      </c>
      <c r="I335" s="23">
        <v>17</v>
      </c>
      <c r="J335" s="23">
        <v>73</v>
      </c>
      <c r="K335" s="8">
        <v>0.19</v>
      </c>
      <c r="L335" s="8">
        <v>0.81</v>
      </c>
      <c r="M335">
        <f t="shared" si="5"/>
        <v>1.9E-3</v>
      </c>
    </row>
    <row r="336" spans="1:13" x14ac:dyDescent="0.3">
      <c r="A336" s="23" t="s">
        <v>108</v>
      </c>
      <c r="B336" t="s">
        <v>24</v>
      </c>
      <c r="C336" s="38">
        <v>206</v>
      </c>
      <c r="D336" s="7">
        <v>73321</v>
      </c>
      <c r="E336" s="38">
        <v>78</v>
      </c>
      <c r="F336" s="39">
        <v>3.9810000000000002E-3</v>
      </c>
      <c r="G336" t="s">
        <v>2</v>
      </c>
      <c r="H336" s="23" t="s">
        <v>89</v>
      </c>
      <c r="I336" s="23">
        <v>20</v>
      </c>
      <c r="J336" s="23">
        <v>4</v>
      </c>
      <c r="K336" s="8">
        <v>0.46</v>
      </c>
      <c r="L336" s="8">
        <v>0.54</v>
      </c>
      <c r="M336">
        <f t="shared" si="5"/>
        <v>4.5999999999999999E-3</v>
      </c>
    </row>
    <row r="337" spans="1:13" x14ac:dyDescent="0.3">
      <c r="A337" s="23" t="s">
        <v>108</v>
      </c>
      <c r="B337" t="s">
        <v>24</v>
      </c>
      <c r="C337" s="38">
        <v>92</v>
      </c>
      <c r="D337" s="7">
        <v>2151</v>
      </c>
      <c r="E337" s="38">
        <v>184</v>
      </c>
      <c r="F337" s="39">
        <v>4.4169999999999999E-3</v>
      </c>
      <c r="G337" t="s">
        <v>3</v>
      </c>
      <c r="H337" s="23" t="s">
        <v>89</v>
      </c>
      <c r="I337" s="23">
        <v>10</v>
      </c>
      <c r="J337" s="23">
        <v>75</v>
      </c>
      <c r="K337" s="8">
        <v>0.47</v>
      </c>
      <c r="L337" s="8">
        <v>0.53</v>
      </c>
      <c r="M337">
        <f t="shared" si="5"/>
        <v>4.6999999999999993E-3</v>
      </c>
    </row>
    <row r="338" spans="1:13" x14ac:dyDescent="0.3">
      <c r="A338" s="23" t="s">
        <v>108</v>
      </c>
      <c r="B338" t="s">
        <v>19</v>
      </c>
      <c r="C338" s="38">
        <v>279</v>
      </c>
      <c r="D338" s="7">
        <v>34217</v>
      </c>
      <c r="E338" s="38">
        <v>164</v>
      </c>
      <c r="F338" s="39">
        <v>2.9680000000000002E-3</v>
      </c>
      <c r="G338" t="s">
        <v>0</v>
      </c>
      <c r="H338" s="23" t="s">
        <v>91</v>
      </c>
      <c r="I338" s="23">
        <v>10</v>
      </c>
      <c r="J338" s="23">
        <v>33</v>
      </c>
      <c r="K338" s="8">
        <v>0.74</v>
      </c>
      <c r="L338" s="8">
        <v>0.26</v>
      </c>
      <c r="M338">
        <f t="shared" si="5"/>
        <v>7.4000000000000003E-3</v>
      </c>
    </row>
    <row r="339" spans="1:13" x14ac:dyDescent="0.3">
      <c r="A339" s="23" t="s">
        <v>108</v>
      </c>
      <c r="B339" t="s">
        <v>19</v>
      </c>
      <c r="C339" s="38">
        <v>213</v>
      </c>
      <c r="D339" s="7">
        <v>23032</v>
      </c>
      <c r="E339" s="38">
        <v>658</v>
      </c>
      <c r="F339" s="39">
        <v>1.9729999999999999E-3</v>
      </c>
      <c r="G339" t="s">
        <v>1</v>
      </c>
      <c r="H339" s="23" t="s">
        <v>91</v>
      </c>
      <c r="I339" s="23">
        <v>1</v>
      </c>
      <c r="J339" s="23">
        <v>40</v>
      </c>
      <c r="K339" s="8">
        <v>0.78</v>
      </c>
      <c r="L339" s="8">
        <v>0.21999999999999997</v>
      </c>
      <c r="M339">
        <f t="shared" si="5"/>
        <v>7.8000000000000005E-3</v>
      </c>
    </row>
    <row r="340" spans="1:13" x14ac:dyDescent="0.3">
      <c r="A340" s="23" t="s">
        <v>108</v>
      </c>
      <c r="B340" t="s">
        <v>19</v>
      </c>
      <c r="C340" s="38">
        <v>391</v>
      </c>
      <c r="D340" s="7">
        <v>80803</v>
      </c>
      <c r="E340" s="38">
        <v>551</v>
      </c>
      <c r="F340" s="39">
        <v>4.6100000000000004E-3</v>
      </c>
      <c r="G340" t="s">
        <v>2</v>
      </c>
      <c r="H340" s="23" t="s">
        <v>91</v>
      </c>
      <c r="I340" s="23">
        <v>12</v>
      </c>
      <c r="J340" s="23">
        <v>29</v>
      </c>
      <c r="K340" s="8">
        <v>0.87</v>
      </c>
      <c r="L340" s="8">
        <v>0.13</v>
      </c>
      <c r="M340">
        <f t="shared" si="5"/>
        <v>8.6999999999999994E-3</v>
      </c>
    </row>
    <row r="341" spans="1:13" x14ac:dyDescent="0.3">
      <c r="A341" s="23" t="s">
        <v>108</v>
      </c>
      <c r="B341" t="s">
        <v>19</v>
      </c>
      <c r="C341" s="38">
        <v>325</v>
      </c>
      <c r="D341" s="7">
        <v>69618</v>
      </c>
      <c r="E341" s="38">
        <v>1044</v>
      </c>
      <c r="F341" s="39">
        <v>2.7260000000000001E-3</v>
      </c>
      <c r="G341" t="s">
        <v>3</v>
      </c>
      <c r="H341" s="23" t="s">
        <v>91</v>
      </c>
      <c r="I341" s="23">
        <v>11</v>
      </c>
      <c r="J341" s="23">
        <v>45</v>
      </c>
      <c r="K341" s="8">
        <v>0.19</v>
      </c>
      <c r="L341" s="8">
        <v>0.81</v>
      </c>
      <c r="M341">
        <f t="shared" si="5"/>
        <v>1.9E-3</v>
      </c>
    </row>
    <row r="342" spans="1:13" x14ac:dyDescent="0.3">
      <c r="A342" s="23" t="s">
        <v>108</v>
      </c>
      <c r="B342" t="s">
        <v>20</v>
      </c>
      <c r="C342" s="38">
        <v>661</v>
      </c>
      <c r="D342" s="7">
        <v>11504</v>
      </c>
      <c r="E342" s="38">
        <v>1597</v>
      </c>
      <c r="F342" s="39">
        <v>1.1590000000000001E-3</v>
      </c>
      <c r="G342" t="s">
        <v>0</v>
      </c>
      <c r="H342" s="23" t="s">
        <v>91</v>
      </c>
      <c r="I342" s="23">
        <v>10</v>
      </c>
      <c r="J342" s="23">
        <v>49</v>
      </c>
      <c r="K342" s="8">
        <v>0.84</v>
      </c>
      <c r="L342" s="8">
        <v>0.16000000000000003</v>
      </c>
      <c r="M342">
        <f t="shared" si="5"/>
        <v>8.3999999999999995E-3</v>
      </c>
    </row>
    <row r="343" spans="1:13" x14ac:dyDescent="0.3">
      <c r="A343" s="23" t="s">
        <v>108</v>
      </c>
      <c r="B343" t="s">
        <v>20</v>
      </c>
      <c r="C343" s="38">
        <v>725</v>
      </c>
      <c r="D343" s="7">
        <v>7912</v>
      </c>
      <c r="E343" s="38">
        <v>755</v>
      </c>
      <c r="F343" s="39">
        <v>3.9399999999999999E-3</v>
      </c>
      <c r="G343" t="s">
        <v>1</v>
      </c>
      <c r="H343" s="23" t="s">
        <v>91</v>
      </c>
      <c r="I343" s="23">
        <v>13</v>
      </c>
      <c r="J343" s="23">
        <v>1</v>
      </c>
      <c r="K343" s="8">
        <v>0.2</v>
      </c>
      <c r="L343" s="8">
        <v>0.8</v>
      </c>
      <c r="M343">
        <f t="shared" si="5"/>
        <v>2E-3</v>
      </c>
    </row>
    <row r="344" spans="1:13" x14ac:dyDescent="0.3">
      <c r="A344" s="23" t="s">
        <v>108</v>
      </c>
      <c r="B344" t="s">
        <v>20</v>
      </c>
      <c r="C344" s="38">
        <v>420</v>
      </c>
      <c r="D344" s="7">
        <v>17711</v>
      </c>
      <c r="E344" s="38">
        <v>1538</v>
      </c>
      <c r="F344" s="39">
        <v>1.042E-3</v>
      </c>
      <c r="G344" t="s">
        <v>2</v>
      </c>
      <c r="H344" s="23" t="s">
        <v>91</v>
      </c>
      <c r="I344" s="23">
        <v>12</v>
      </c>
      <c r="J344" s="23">
        <v>39</v>
      </c>
      <c r="K344" s="8">
        <v>0.26</v>
      </c>
      <c r="L344" s="8">
        <v>0.74</v>
      </c>
      <c r="M344">
        <f t="shared" si="5"/>
        <v>2.5999999999999999E-3</v>
      </c>
    </row>
    <row r="345" spans="1:13" x14ac:dyDescent="0.3">
      <c r="A345" s="23" t="s">
        <v>108</v>
      </c>
      <c r="B345" t="s">
        <v>20</v>
      </c>
      <c r="C345" s="38">
        <v>485</v>
      </c>
      <c r="D345" s="7">
        <v>14119</v>
      </c>
      <c r="E345" s="38">
        <v>695</v>
      </c>
      <c r="F345" s="39">
        <v>4.3039999999999997E-3</v>
      </c>
      <c r="G345" t="s">
        <v>3</v>
      </c>
      <c r="H345" s="23" t="s">
        <v>91</v>
      </c>
      <c r="I345" s="23">
        <v>5</v>
      </c>
      <c r="J345" s="23">
        <v>43</v>
      </c>
      <c r="K345" s="8">
        <v>0.68</v>
      </c>
      <c r="L345" s="8">
        <v>0.31999999999999995</v>
      </c>
      <c r="M345">
        <f t="shared" si="5"/>
        <v>6.8000000000000005E-3</v>
      </c>
    </row>
    <row r="346" spans="1:13" x14ac:dyDescent="0.3">
      <c r="A346" s="23" t="s">
        <v>108</v>
      </c>
      <c r="B346" t="s">
        <v>22</v>
      </c>
      <c r="C346" s="38">
        <v>132</v>
      </c>
      <c r="D346" s="7">
        <v>41463</v>
      </c>
      <c r="E346" s="38">
        <v>192</v>
      </c>
      <c r="F346" s="39">
        <v>1.7880000000000001E-3</v>
      </c>
      <c r="G346" t="s">
        <v>0</v>
      </c>
      <c r="H346" s="23" t="s">
        <v>91</v>
      </c>
      <c r="I346" s="23">
        <v>16</v>
      </c>
      <c r="J346" s="23">
        <v>26</v>
      </c>
      <c r="K346" s="8">
        <v>0.77</v>
      </c>
      <c r="L346" s="8">
        <v>0.22999999999999998</v>
      </c>
      <c r="M346">
        <f t="shared" si="5"/>
        <v>7.7000000000000002E-3</v>
      </c>
    </row>
    <row r="347" spans="1:13" x14ac:dyDescent="0.3">
      <c r="A347" s="23" t="s">
        <v>108</v>
      </c>
      <c r="B347" t="s">
        <v>22</v>
      </c>
      <c r="C347" s="38">
        <v>181</v>
      </c>
      <c r="D347" s="7">
        <v>8477</v>
      </c>
      <c r="E347" s="38">
        <v>288</v>
      </c>
      <c r="F347" s="39">
        <v>2.0579999999999999E-3</v>
      </c>
      <c r="G347" t="s">
        <v>1</v>
      </c>
      <c r="H347" s="23" t="s">
        <v>91</v>
      </c>
      <c r="I347" s="23">
        <v>9</v>
      </c>
      <c r="J347" s="23">
        <v>16</v>
      </c>
      <c r="K347" s="8">
        <v>0.44</v>
      </c>
      <c r="L347" s="8">
        <v>0.56000000000000005</v>
      </c>
      <c r="M347">
        <f t="shared" si="5"/>
        <v>4.4000000000000003E-3</v>
      </c>
    </row>
    <row r="348" spans="1:13" x14ac:dyDescent="0.3">
      <c r="A348" s="23" t="s">
        <v>108</v>
      </c>
      <c r="B348" t="s">
        <v>22</v>
      </c>
      <c r="C348" s="38">
        <v>142</v>
      </c>
      <c r="D348" s="7">
        <v>47691</v>
      </c>
      <c r="E348" s="38">
        <v>358</v>
      </c>
      <c r="F348" s="39">
        <v>1.8569999999999999E-3</v>
      </c>
      <c r="G348" t="s">
        <v>2</v>
      </c>
      <c r="H348" s="23" t="s">
        <v>91</v>
      </c>
      <c r="I348" s="23">
        <v>13</v>
      </c>
      <c r="J348" s="23">
        <v>39</v>
      </c>
      <c r="K348" s="8">
        <v>0.6</v>
      </c>
      <c r="L348" s="8">
        <v>0.4</v>
      </c>
      <c r="M348">
        <f t="shared" si="5"/>
        <v>6.0000000000000001E-3</v>
      </c>
    </row>
    <row r="349" spans="1:13" x14ac:dyDescent="0.3">
      <c r="A349" s="23" t="s">
        <v>108</v>
      </c>
      <c r="B349" t="s">
        <v>22</v>
      </c>
      <c r="C349" s="38">
        <v>190</v>
      </c>
      <c r="D349" s="7">
        <v>14705</v>
      </c>
      <c r="E349" s="38">
        <v>454</v>
      </c>
      <c r="F349" s="39">
        <v>2.0590000000000001E-3</v>
      </c>
      <c r="G349" t="s">
        <v>3</v>
      </c>
      <c r="H349" s="23" t="s">
        <v>91</v>
      </c>
      <c r="I349" s="23">
        <v>1</v>
      </c>
      <c r="J349" s="23">
        <v>13</v>
      </c>
      <c r="K349" s="8">
        <v>0.57999999999999996</v>
      </c>
      <c r="L349" s="8">
        <v>0.42000000000000004</v>
      </c>
      <c r="M349">
        <f t="shared" si="5"/>
        <v>5.7999999999999996E-3</v>
      </c>
    </row>
    <row r="350" spans="1:13" x14ac:dyDescent="0.3">
      <c r="A350" s="23" t="s">
        <v>108</v>
      </c>
      <c r="B350" t="s">
        <v>21</v>
      </c>
      <c r="C350" s="38">
        <v>291</v>
      </c>
      <c r="D350" s="7">
        <v>30245</v>
      </c>
      <c r="E350" s="38">
        <v>526</v>
      </c>
      <c r="F350" s="39">
        <v>3.7910000000000001E-3</v>
      </c>
      <c r="G350" t="s">
        <v>0</v>
      </c>
      <c r="H350" s="23" t="s">
        <v>91</v>
      </c>
      <c r="I350" s="23">
        <v>4</v>
      </c>
      <c r="J350" s="23">
        <v>60</v>
      </c>
      <c r="K350" s="8">
        <v>0.32</v>
      </c>
      <c r="L350" s="8">
        <v>0.67999999999999994</v>
      </c>
      <c r="M350">
        <f t="shared" si="5"/>
        <v>3.2000000000000002E-3</v>
      </c>
    </row>
    <row r="351" spans="1:13" x14ac:dyDescent="0.3">
      <c r="A351" s="23" t="s">
        <v>108</v>
      </c>
      <c r="B351" t="s">
        <v>21</v>
      </c>
      <c r="C351" s="38">
        <v>194</v>
      </c>
      <c r="D351" s="7">
        <v>19239</v>
      </c>
      <c r="E351" s="38">
        <v>639</v>
      </c>
      <c r="F351" s="39">
        <v>4.7060000000000001E-3</v>
      </c>
      <c r="G351" t="s">
        <v>1</v>
      </c>
      <c r="H351" s="23" t="s">
        <v>91</v>
      </c>
      <c r="I351" s="23">
        <v>1</v>
      </c>
      <c r="J351" s="23">
        <v>18</v>
      </c>
      <c r="K351" s="8">
        <v>0.39</v>
      </c>
      <c r="L351" s="8">
        <v>0.61</v>
      </c>
      <c r="M351">
        <f t="shared" si="5"/>
        <v>3.9000000000000003E-3</v>
      </c>
    </row>
    <row r="352" spans="1:13" x14ac:dyDescent="0.3">
      <c r="A352" s="23" t="s">
        <v>108</v>
      </c>
      <c r="B352" t="s">
        <v>21</v>
      </c>
      <c r="C352" s="38">
        <v>381</v>
      </c>
      <c r="D352" s="7">
        <v>55373</v>
      </c>
      <c r="E352" s="38">
        <v>513</v>
      </c>
      <c r="F352" s="39">
        <v>1.2960000000000001E-3</v>
      </c>
      <c r="G352" t="s">
        <v>2</v>
      </c>
      <c r="H352" s="23" t="s">
        <v>91</v>
      </c>
      <c r="I352" s="23">
        <v>18</v>
      </c>
      <c r="J352" s="23">
        <v>65</v>
      </c>
      <c r="K352" s="8">
        <v>0.28999999999999998</v>
      </c>
      <c r="L352" s="8">
        <v>0.71</v>
      </c>
      <c r="M352">
        <f t="shared" si="5"/>
        <v>2.8999999999999998E-3</v>
      </c>
    </row>
    <row r="353" spans="1:13" x14ac:dyDescent="0.3">
      <c r="A353" s="23" t="s">
        <v>108</v>
      </c>
      <c r="B353" t="s">
        <v>21</v>
      </c>
      <c r="C353" s="38">
        <v>284</v>
      </c>
      <c r="D353" s="7">
        <v>44366</v>
      </c>
      <c r="E353" s="38">
        <v>625</v>
      </c>
      <c r="F353" s="39">
        <v>1.0939999999999999E-3</v>
      </c>
      <c r="G353" t="s">
        <v>3</v>
      </c>
      <c r="H353" s="23" t="s">
        <v>91</v>
      </c>
      <c r="I353" s="23">
        <v>23</v>
      </c>
      <c r="J353" s="23">
        <v>60</v>
      </c>
      <c r="K353" s="8">
        <v>0.74</v>
      </c>
      <c r="L353" s="8">
        <v>0.26</v>
      </c>
      <c r="M353">
        <f t="shared" si="5"/>
        <v>7.4000000000000003E-3</v>
      </c>
    </row>
    <row r="354" spans="1:13" x14ac:dyDescent="0.3">
      <c r="A354" s="23" t="s">
        <v>108</v>
      </c>
      <c r="B354" t="s">
        <v>23</v>
      </c>
      <c r="C354" s="38">
        <v>236</v>
      </c>
      <c r="D354" s="7">
        <v>1501</v>
      </c>
      <c r="E354" s="38">
        <v>785</v>
      </c>
      <c r="F354" s="39">
        <v>2.8270000000000001E-3</v>
      </c>
      <c r="G354" t="s">
        <v>0</v>
      </c>
      <c r="H354" s="23" t="s">
        <v>91</v>
      </c>
      <c r="I354" s="23">
        <v>8</v>
      </c>
      <c r="J354" s="23">
        <v>10</v>
      </c>
      <c r="K354" s="8">
        <v>0.53</v>
      </c>
      <c r="L354" s="8">
        <v>0.47</v>
      </c>
      <c r="M354">
        <f t="shared" si="5"/>
        <v>5.3E-3</v>
      </c>
    </row>
    <row r="355" spans="1:13" x14ac:dyDescent="0.3">
      <c r="A355" s="23" t="s">
        <v>108</v>
      </c>
      <c r="B355" t="s">
        <v>23</v>
      </c>
      <c r="C355" s="38">
        <v>223</v>
      </c>
      <c r="D355" s="7">
        <v>1895</v>
      </c>
      <c r="E355" s="38">
        <v>499</v>
      </c>
      <c r="F355" s="39">
        <v>3.7100000000000002E-3</v>
      </c>
      <c r="G355" t="s">
        <v>1</v>
      </c>
      <c r="H355" s="23" t="s">
        <v>91</v>
      </c>
      <c r="I355" s="23">
        <v>9</v>
      </c>
      <c r="J355" s="23">
        <v>27</v>
      </c>
      <c r="K355" s="8">
        <v>0.32</v>
      </c>
      <c r="L355" s="8">
        <v>0.67999999999999994</v>
      </c>
      <c r="M355">
        <f t="shared" si="5"/>
        <v>3.2000000000000002E-3</v>
      </c>
    </row>
    <row r="356" spans="1:13" x14ac:dyDescent="0.3">
      <c r="A356" s="23" t="s">
        <v>108</v>
      </c>
      <c r="B356" t="s">
        <v>23</v>
      </c>
      <c r="C356" s="38">
        <v>222</v>
      </c>
      <c r="D356" s="7">
        <v>4993</v>
      </c>
      <c r="E356" s="38">
        <v>393</v>
      </c>
      <c r="F356" s="39">
        <v>2.846E-3</v>
      </c>
      <c r="G356" t="s">
        <v>2</v>
      </c>
      <c r="H356" s="23" t="s">
        <v>91</v>
      </c>
      <c r="I356" s="23">
        <v>17</v>
      </c>
      <c r="J356" s="23">
        <v>19</v>
      </c>
      <c r="K356" s="8">
        <v>0.3</v>
      </c>
      <c r="L356" s="8">
        <v>0.7</v>
      </c>
      <c r="M356">
        <f t="shared" si="5"/>
        <v>3.0000000000000001E-3</v>
      </c>
    </row>
    <row r="357" spans="1:13" x14ac:dyDescent="0.3">
      <c r="A357" s="23" t="s">
        <v>108</v>
      </c>
      <c r="B357" t="s">
        <v>23</v>
      </c>
      <c r="C357" s="38">
        <v>209</v>
      </c>
      <c r="D357" s="7">
        <v>5387</v>
      </c>
      <c r="E357" s="38">
        <v>106</v>
      </c>
      <c r="F357" s="39">
        <v>3.787E-3</v>
      </c>
      <c r="G357" t="s">
        <v>3</v>
      </c>
      <c r="H357" s="23" t="s">
        <v>91</v>
      </c>
      <c r="I357" s="23">
        <v>11</v>
      </c>
      <c r="J357" s="23">
        <v>50</v>
      </c>
      <c r="K357" s="8">
        <v>0.66</v>
      </c>
      <c r="L357" s="8">
        <v>0.33999999999999997</v>
      </c>
      <c r="M357">
        <f t="shared" si="5"/>
        <v>6.6E-3</v>
      </c>
    </row>
    <row r="358" spans="1:13" x14ac:dyDescent="0.3">
      <c r="A358" s="23" t="s">
        <v>108</v>
      </c>
      <c r="B358" t="s">
        <v>24</v>
      </c>
      <c r="C358" s="38">
        <v>31</v>
      </c>
      <c r="D358" s="7">
        <v>69042</v>
      </c>
      <c r="E358" s="38">
        <v>156</v>
      </c>
      <c r="F358" s="39">
        <v>2.9619999999999998E-3</v>
      </c>
      <c r="G358" t="s">
        <v>0</v>
      </c>
      <c r="H358" s="23" t="s">
        <v>91</v>
      </c>
      <c r="I358" s="23">
        <v>15</v>
      </c>
      <c r="J358" s="23">
        <v>6</v>
      </c>
      <c r="K358" s="8">
        <v>0.83</v>
      </c>
      <c r="L358" s="8">
        <v>0.17000000000000004</v>
      </c>
      <c r="M358">
        <f t="shared" si="5"/>
        <v>8.3000000000000001E-3</v>
      </c>
    </row>
    <row r="359" spans="1:13" x14ac:dyDescent="0.3">
      <c r="A359" s="23" t="s">
        <v>108</v>
      </c>
      <c r="B359" t="s">
        <v>24</v>
      </c>
      <c r="C359" s="38">
        <v>49</v>
      </c>
      <c r="D359" s="7">
        <v>54390</v>
      </c>
      <c r="E359" s="38">
        <v>89</v>
      </c>
      <c r="F359" s="39">
        <v>3.2889999999999998E-3</v>
      </c>
      <c r="G359" t="s">
        <v>1</v>
      </c>
      <c r="H359" s="23" t="s">
        <v>91</v>
      </c>
      <c r="I359" s="23">
        <v>22</v>
      </c>
      <c r="J359" s="23">
        <v>38</v>
      </c>
      <c r="K359" s="8">
        <v>0.83</v>
      </c>
      <c r="L359" s="8">
        <v>0.17000000000000004</v>
      </c>
      <c r="M359">
        <f t="shared" si="5"/>
        <v>8.3000000000000001E-3</v>
      </c>
    </row>
    <row r="360" spans="1:13" x14ac:dyDescent="0.3">
      <c r="A360" s="23" t="s">
        <v>108</v>
      </c>
      <c r="B360" t="s">
        <v>24</v>
      </c>
      <c r="C360" s="38">
        <v>57</v>
      </c>
      <c r="D360" s="7">
        <v>28058</v>
      </c>
      <c r="E360" s="38">
        <v>123</v>
      </c>
      <c r="F360" s="39">
        <v>4.3540000000000002E-3</v>
      </c>
      <c r="G360" t="s">
        <v>2</v>
      </c>
      <c r="H360" s="23" t="s">
        <v>91</v>
      </c>
      <c r="I360" s="23">
        <v>6</v>
      </c>
      <c r="J360" s="23">
        <v>47</v>
      </c>
      <c r="K360" s="8">
        <v>0.26</v>
      </c>
      <c r="L360" s="8">
        <v>0.74</v>
      </c>
      <c r="M360">
        <f t="shared" si="5"/>
        <v>2.5999999999999999E-3</v>
      </c>
    </row>
    <row r="361" spans="1:13" x14ac:dyDescent="0.3">
      <c r="A361" s="23" t="s">
        <v>108</v>
      </c>
      <c r="B361" t="s">
        <v>24</v>
      </c>
      <c r="C361" s="38">
        <v>75</v>
      </c>
      <c r="D361" s="7">
        <v>13406</v>
      </c>
      <c r="E361" s="38">
        <v>56</v>
      </c>
      <c r="F361" s="39">
        <v>1.155E-3</v>
      </c>
      <c r="G361" t="s">
        <v>3</v>
      </c>
      <c r="H361" s="23" t="s">
        <v>91</v>
      </c>
      <c r="I361" s="23">
        <v>22</v>
      </c>
      <c r="J361" s="23">
        <v>12</v>
      </c>
      <c r="K361" s="8">
        <v>0.77</v>
      </c>
      <c r="L361" s="8">
        <v>0.22999999999999998</v>
      </c>
      <c r="M361">
        <f t="shared" si="5"/>
        <v>7.7000000000000002E-3</v>
      </c>
    </row>
    <row r="362" spans="1:13" x14ac:dyDescent="0.3">
      <c r="A362" s="23" t="s">
        <v>109</v>
      </c>
      <c r="B362" t="s">
        <v>19</v>
      </c>
      <c r="C362" s="38">
        <v>164</v>
      </c>
      <c r="D362" s="7">
        <v>16765</v>
      </c>
      <c r="E362" s="38">
        <v>198</v>
      </c>
      <c r="F362" s="39">
        <v>3.1719999999999999E-3</v>
      </c>
      <c r="G362" t="s">
        <v>0</v>
      </c>
      <c r="H362" s="23" t="s">
        <v>90</v>
      </c>
      <c r="I362" s="23">
        <v>7</v>
      </c>
      <c r="J362" s="23">
        <v>14</v>
      </c>
      <c r="K362" s="8">
        <v>0.51</v>
      </c>
      <c r="L362" s="8">
        <v>0.49</v>
      </c>
      <c r="M362">
        <f t="shared" si="5"/>
        <v>5.1000000000000004E-3</v>
      </c>
    </row>
    <row r="363" spans="1:13" x14ac:dyDescent="0.3">
      <c r="A363" s="23" t="s">
        <v>109</v>
      </c>
      <c r="B363" t="s">
        <v>19</v>
      </c>
      <c r="C363" s="38">
        <v>223</v>
      </c>
      <c r="D363" s="7">
        <v>56619</v>
      </c>
      <c r="E363" s="38">
        <v>124</v>
      </c>
      <c r="F363" s="39">
        <v>5.8560000000000001E-3</v>
      </c>
      <c r="G363" t="s">
        <v>1</v>
      </c>
      <c r="H363" s="23" t="s">
        <v>90</v>
      </c>
      <c r="I363" s="23">
        <v>23</v>
      </c>
      <c r="J363" s="23">
        <v>18</v>
      </c>
      <c r="K363" s="8">
        <v>0.56000000000000005</v>
      </c>
      <c r="L363" s="8">
        <v>0.43999999999999995</v>
      </c>
      <c r="M363">
        <f t="shared" si="5"/>
        <v>5.6000000000000008E-3</v>
      </c>
    </row>
    <row r="364" spans="1:13" x14ac:dyDescent="0.3">
      <c r="A364" s="23" t="s">
        <v>109</v>
      </c>
      <c r="B364" t="s">
        <v>19</v>
      </c>
      <c r="C364" s="38">
        <v>177</v>
      </c>
      <c r="D364" s="7">
        <v>26834</v>
      </c>
      <c r="E364" s="38">
        <v>676</v>
      </c>
      <c r="F364" s="39">
        <v>2.7499999999999998E-3</v>
      </c>
      <c r="G364" t="s">
        <v>2</v>
      </c>
      <c r="H364" s="23" t="s">
        <v>90</v>
      </c>
      <c r="I364" s="23">
        <v>5</v>
      </c>
      <c r="J364" s="23">
        <v>35</v>
      </c>
      <c r="K364" s="8">
        <v>0.59</v>
      </c>
      <c r="L364" s="8">
        <v>0.41000000000000003</v>
      </c>
      <c r="M364">
        <f t="shared" si="5"/>
        <v>5.8999999999999999E-3</v>
      </c>
    </row>
    <row r="365" spans="1:13" x14ac:dyDescent="0.3">
      <c r="A365" s="23" t="s">
        <v>109</v>
      </c>
      <c r="B365" t="s">
        <v>19</v>
      </c>
      <c r="C365" s="38">
        <v>235</v>
      </c>
      <c r="D365" s="7">
        <v>66689</v>
      </c>
      <c r="E365" s="38">
        <v>603</v>
      </c>
      <c r="F365" s="39">
        <v>4.4949999999999999E-3</v>
      </c>
      <c r="G365" t="s">
        <v>3</v>
      </c>
      <c r="H365" s="23" t="s">
        <v>90</v>
      </c>
      <c r="I365" s="23">
        <v>12</v>
      </c>
      <c r="J365" s="23">
        <v>42</v>
      </c>
      <c r="K365" s="8">
        <v>0.33</v>
      </c>
      <c r="L365" s="8">
        <v>0.66999999999999993</v>
      </c>
      <c r="M365">
        <f t="shared" si="5"/>
        <v>3.3E-3</v>
      </c>
    </row>
    <row r="366" spans="1:13" x14ac:dyDescent="0.3">
      <c r="A366" s="23" t="s">
        <v>109</v>
      </c>
      <c r="B366" t="s">
        <v>20</v>
      </c>
      <c r="C366" s="38">
        <v>464</v>
      </c>
      <c r="D366" s="7">
        <v>78521</v>
      </c>
      <c r="E366" s="38">
        <v>1022</v>
      </c>
      <c r="F366" s="39">
        <v>5.581E-3</v>
      </c>
      <c r="G366" t="s">
        <v>0</v>
      </c>
      <c r="H366" s="23" t="s">
        <v>90</v>
      </c>
      <c r="I366" s="23">
        <v>4</v>
      </c>
      <c r="J366" s="23">
        <v>51</v>
      </c>
      <c r="K366" s="8">
        <v>0.4</v>
      </c>
      <c r="L366" s="8">
        <v>0.6</v>
      </c>
      <c r="M366">
        <f t="shared" si="5"/>
        <v>4.0000000000000001E-3</v>
      </c>
    </row>
    <row r="367" spans="1:13" x14ac:dyDescent="0.3">
      <c r="A367" s="23" t="s">
        <v>109</v>
      </c>
      <c r="B367" t="s">
        <v>20</v>
      </c>
      <c r="C367" s="38">
        <v>446</v>
      </c>
      <c r="D367" s="7">
        <v>43771</v>
      </c>
      <c r="E367" s="38">
        <v>354</v>
      </c>
      <c r="F367" s="39">
        <v>6.3879999999999996E-3</v>
      </c>
      <c r="G367" t="s">
        <v>1</v>
      </c>
      <c r="H367" s="23" t="s">
        <v>90</v>
      </c>
      <c r="I367" s="23">
        <v>21</v>
      </c>
      <c r="J367" s="23">
        <v>30</v>
      </c>
      <c r="K367" s="8">
        <v>0.61</v>
      </c>
      <c r="L367" s="8">
        <v>0.39</v>
      </c>
      <c r="M367">
        <f t="shared" si="5"/>
        <v>6.0999999999999995E-3</v>
      </c>
    </row>
    <row r="368" spans="1:13" x14ac:dyDescent="0.3">
      <c r="A368" s="23" t="s">
        <v>109</v>
      </c>
      <c r="B368" t="s">
        <v>20</v>
      </c>
      <c r="C368" s="38">
        <v>516</v>
      </c>
      <c r="D368" s="7">
        <v>148684</v>
      </c>
      <c r="E368" s="38">
        <v>1572</v>
      </c>
      <c r="F368" s="39">
        <v>1.575E-3</v>
      </c>
      <c r="G368" t="s">
        <v>2</v>
      </c>
      <c r="H368" s="23" t="s">
        <v>90</v>
      </c>
      <c r="I368" s="23">
        <v>2</v>
      </c>
      <c r="J368" s="23">
        <v>21</v>
      </c>
      <c r="K368" s="8">
        <v>0.69</v>
      </c>
      <c r="L368" s="8">
        <v>0.31000000000000005</v>
      </c>
      <c r="M368">
        <f t="shared" si="5"/>
        <v>6.8999999999999999E-3</v>
      </c>
    </row>
    <row r="369" spans="1:13" x14ac:dyDescent="0.3">
      <c r="A369" s="23" t="s">
        <v>109</v>
      </c>
      <c r="B369" t="s">
        <v>20</v>
      </c>
      <c r="C369" s="38">
        <v>499</v>
      </c>
      <c r="D369" s="7">
        <v>113934</v>
      </c>
      <c r="E369" s="38">
        <v>904</v>
      </c>
      <c r="F369" s="39">
        <v>1.8320000000000001E-3</v>
      </c>
      <c r="G369" t="s">
        <v>3</v>
      </c>
      <c r="H369" s="23" t="s">
        <v>90</v>
      </c>
      <c r="I369" s="23">
        <v>4</v>
      </c>
      <c r="J369" s="23">
        <v>5</v>
      </c>
      <c r="K369" s="8">
        <v>0.87</v>
      </c>
      <c r="L369" s="8">
        <v>0.13</v>
      </c>
      <c r="M369">
        <f t="shared" si="5"/>
        <v>8.6999999999999994E-3</v>
      </c>
    </row>
    <row r="370" spans="1:13" x14ac:dyDescent="0.3">
      <c r="A370" s="23" t="s">
        <v>109</v>
      </c>
      <c r="B370" t="s">
        <v>22</v>
      </c>
      <c r="C370" s="38">
        <v>531</v>
      </c>
      <c r="D370" s="7">
        <v>38043</v>
      </c>
      <c r="E370" s="38">
        <v>451</v>
      </c>
      <c r="F370" s="39">
        <v>5.555E-3</v>
      </c>
      <c r="G370" t="s">
        <v>0</v>
      </c>
      <c r="H370" s="23" t="s">
        <v>90</v>
      </c>
      <c r="I370" s="23">
        <v>14</v>
      </c>
      <c r="J370" s="23">
        <v>67</v>
      </c>
      <c r="K370" s="8">
        <v>0.51</v>
      </c>
      <c r="L370" s="8">
        <v>0.49</v>
      </c>
      <c r="M370">
        <f t="shared" si="5"/>
        <v>5.1000000000000004E-3</v>
      </c>
    </row>
    <row r="371" spans="1:13" x14ac:dyDescent="0.3">
      <c r="A371" s="23" t="s">
        <v>109</v>
      </c>
      <c r="B371" t="s">
        <v>22</v>
      </c>
      <c r="C371" s="38">
        <v>138</v>
      </c>
      <c r="D371" s="7">
        <v>21611</v>
      </c>
      <c r="E371" s="38">
        <v>719</v>
      </c>
      <c r="F371" s="39">
        <v>1.2639999999999999E-3</v>
      </c>
      <c r="G371" t="s">
        <v>1</v>
      </c>
      <c r="H371" s="23" t="s">
        <v>90</v>
      </c>
      <c r="I371" s="23">
        <v>16</v>
      </c>
      <c r="J371" s="23">
        <v>48</v>
      </c>
      <c r="K371" s="8">
        <v>0.37</v>
      </c>
      <c r="L371" s="8">
        <v>0.63</v>
      </c>
      <c r="M371">
        <f t="shared" si="5"/>
        <v>3.7000000000000002E-3</v>
      </c>
    </row>
    <row r="372" spans="1:13" x14ac:dyDescent="0.3">
      <c r="A372" s="23" t="s">
        <v>109</v>
      </c>
      <c r="B372" t="s">
        <v>22</v>
      </c>
      <c r="C372" s="38">
        <v>501</v>
      </c>
      <c r="D372" s="7">
        <v>47140</v>
      </c>
      <c r="E372" s="38">
        <v>561</v>
      </c>
      <c r="F372" s="39">
        <v>1.276E-3</v>
      </c>
      <c r="G372" t="s">
        <v>2</v>
      </c>
      <c r="H372" s="23" t="s">
        <v>90</v>
      </c>
      <c r="I372" s="23">
        <v>17</v>
      </c>
      <c r="J372" s="23">
        <v>8</v>
      </c>
      <c r="K372" s="8">
        <v>0.7</v>
      </c>
      <c r="L372" s="8">
        <v>0.30000000000000004</v>
      </c>
      <c r="M372">
        <f t="shared" si="5"/>
        <v>6.9999999999999993E-3</v>
      </c>
    </row>
    <row r="373" spans="1:13" x14ac:dyDescent="0.3">
      <c r="A373" s="23" t="s">
        <v>109</v>
      </c>
      <c r="B373" t="s">
        <v>22</v>
      </c>
      <c r="C373" s="38">
        <v>108</v>
      </c>
      <c r="D373" s="7">
        <v>30708</v>
      </c>
      <c r="E373" s="38">
        <v>829</v>
      </c>
      <c r="F373" s="39">
        <v>1.8159999999999999E-3</v>
      </c>
      <c r="G373" t="s">
        <v>3</v>
      </c>
      <c r="H373" s="23" t="s">
        <v>90</v>
      </c>
      <c r="I373" s="23">
        <v>15</v>
      </c>
      <c r="J373" s="23">
        <v>7</v>
      </c>
      <c r="K373" s="8">
        <v>0.63</v>
      </c>
      <c r="L373" s="8">
        <v>0.37</v>
      </c>
      <c r="M373">
        <f t="shared" si="5"/>
        <v>6.3E-3</v>
      </c>
    </row>
    <row r="374" spans="1:13" x14ac:dyDescent="0.3">
      <c r="A374" s="23" t="s">
        <v>109</v>
      </c>
      <c r="B374" t="s">
        <v>21</v>
      </c>
      <c r="C374" s="38">
        <v>284</v>
      </c>
      <c r="D374" s="7">
        <v>244040</v>
      </c>
      <c r="E374" s="38">
        <v>1691</v>
      </c>
      <c r="F374" s="39">
        <v>4.3509999999999998E-3</v>
      </c>
      <c r="G374" t="s">
        <v>0</v>
      </c>
      <c r="H374" s="23" t="s">
        <v>90</v>
      </c>
      <c r="I374" s="23">
        <v>20</v>
      </c>
      <c r="J374" s="23">
        <v>54</v>
      </c>
      <c r="K374" s="8">
        <v>0.56999999999999995</v>
      </c>
      <c r="L374" s="8">
        <v>0.43000000000000005</v>
      </c>
      <c r="M374">
        <f t="shared" si="5"/>
        <v>5.6999999999999993E-3</v>
      </c>
    </row>
    <row r="375" spans="1:13" x14ac:dyDescent="0.3">
      <c r="A375" s="23" t="s">
        <v>109</v>
      </c>
      <c r="B375" t="s">
        <v>21</v>
      </c>
      <c r="C375" s="38">
        <v>521</v>
      </c>
      <c r="D375" s="7">
        <v>158013</v>
      </c>
      <c r="E375" s="38">
        <v>1836</v>
      </c>
      <c r="F375" s="39">
        <v>2.6559999999999999E-3</v>
      </c>
      <c r="G375" t="s">
        <v>1</v>
      </c>
      <c r="H375" s="23" t="s">
        <v>90</v>
      </c>
      <c r="I375" s="23">
        <v>14</v>
      </c>
      <c r="J375" s="23">
        <v>54</v>
      </c>
      <c r="K375" s="8">
        <v>0.63</v>
      </c>
      <c r="L375" s="8">
        <v>0.37</v>
      </c>
      <c r="M375">
        <f t="shared" si="5"/>
        <v>6.3E-3</v>
      </c>
    </row>
    <row r="376" spans="1:13" x14ac:dyDescent="0.3">
      <c r="A376" s="23" t="s">
        <v>109</v>
      </c>
      <c r="B376" t="s">
        <v>21</v>
      </c>
      <c r="C376" s="38">
        <v>830</v>
      </c>
      <c r="D376" s="7">
        <v>191939</v>
      </c>
      <c r="E376" s="38">
        <v>867</v>
      </c>
      <c r="F376" s="39">
        <v>4.1310000000000001E-3</v>
      </c>
      <c r="G376" t="s">
        <v>2</v>
      </c>
      <c r="H376" s="23" t="s">
        <v>90</v>
      </c>
      <c r="I376" s="23">
        <v>6</v>
      </c>
      <c r="J376" s="23">
        <v>37</v>
      </c>
      <c r="K376" s="8">
        <v>0.37</v>
      </c>
      <c r="L376" s="8">
        <v>0.63</v>
      </c>
      <c r="M376">
        <f t="shared" si="5"/>
        <v>3.7000000000000002E-3</v>
      </c>
    </row>
    <row r="377" spans="1:13" x14ac:dyDescent="0.3">
      <c r="A377" s="23" t="s">
        <v>109</v>
      </c>
      <c r="B377" t="s">
        <v>21</v>
      </c>
      <c r="C377" s="38">
        <v>1067</v>
      </c>
      <c r="D377" s="7">
        <v>105912</v>
      </c>
      <c r="E377" s="38">
        <v>1013</v>
      </c>
      <c r="F377" s="39">
        <v>1.248E-3</v>
      </c>
      <c r="G377" t="s">
        <v>3</v>
      </c>
      <c r="H377" s="23" t="s">
        <v>90</v>
      </c>
      <c r="I377" s="23">
        <v>4</v>
      </c>
      <c r="J377" s="23">
        <v>73</v>
      </c>
      <c r="K377" s="8">
        <v>0.19</v>
      </c>
      <c r="L377" s="8">
        <v>0.81</v>
      </c>
      <c r="M377">
        <f t="shared" si="5"/>
        <v>1.9E-3</v>
      </c>
    </row>
    <row r="378" spans="1:13" x14ac:dyDescent="0.3">
      <c r="A378" s="23" t="s">
        <v>109</v>
      </c>
      <c r="B378" t="s">
        <v>23</v>
      </c>
      <c r="C378" s="38">
        <v>28</v>
      </c>
      <c r="D378" s="7">
        <v>7534</v>
      </c>
      <c r="E378" s="38">
        <v>235</v>
      </c>
      <c r="F378" s="39">
        <v>2.2529999999999998E-3</v>
      </c>
      <c r="G378" t="s">
        <v>0</v>
      </c>
      <c r="H378" s="23" t="s">
        <v>90</v>
      </c>
      <c r="I378" s="23">
        <v>4</v>
      </c>
      <c r="J378" s="23">
        <v>57</v>
      </c>
      <c r="K378" s="8">
        <v>0.73</v>
      </c>
      <c r="L378" s="8">
        <v>0.27</v>
      </c>
      <c r="M378">
        <f t="shared" si="5"/>
        <v>7.3000000000000001E-3</v>
      </c>
    </row>
    <row r="379" spans="1:13" x14ac:dyDescent="0.3">
      <c r="A379" s="23" t="s">
        <v>109</v>
      </c>
      <c r="B379" t="s">
        <v>23</v>
      </c>
      <c r="C379" s="38">
        <v>45</v>
      </c>
      <c r="D379" s="7">
        <v>11860</v>
      </c>
      <c r="E379" s="38">
        <v>183</v>
      </c>
      <c r="F379" s="39">
        <v>2.7330000000000002E-3</v>
      </c>
      <c r="G379" t="s">
        <v>1</v>
      </c>
      <c r="H379" s="23" t="s">
        <v>90</v>
      </c>
      <c r="I379" s="23">
        <v>22</v>
      </c>
      <c r="J379" s="23">
        <v>58</v>
      </c>
      <c r="K379" s="8">
        <v>0.47</v>
      </c>
      <c r="L379" s="8">
        <v>0.53</v>
      </c>
      <c r="M379">
        <f t="shared" si="5"/>
        <v>4.6999999999999993E-3</v>
      </c>
    </row>
    <row r="380" spans="1:13" x14ac:dyDescent="0.3">
      <c r="A380" s="23" t="s">
        <v>109</v>
      </c>
      <c r="B380" t="s">
        <v>23</v>
      </c>
      <c r="C380" s="38">
        <v>126</v>
      </c>
      <c r="D380" s="7">
        <v>6291</v>
      </c>
      <c r="E380" s="38">
        <v>160</v>
      </c>
      <c r="F380" s="39">
        <v>4.1590000000000004E-3</v>
      </c>
      <c r="G380" t="s">
        <v>2</v>
      </c>
      <c r="H380" s="23" t="s">
        <v>90</v>
      </c>
      <c r="I380" s="23">
        <v>18</v>
      </c>
      <c r="J380" s="23">
        <v>51</v>
      </c>
      <c r="K380" s="8">
        <v>0.67</v>
      </c>
      <c r="L380" s="8">
        <v>0.32999999999999996</v>
      </c>
      <c r="M380">
        <f t="shared" si="5"/>
        <v>6.7000000000000002E-3</v>
      </c>
    </row>
    <row r="381" spans="1:13" x14ac:dyDescent="0.3">
      <c r="A381" s="23" t="s">
        <v>109</v>
      </c>
      <c r="B381" t="s">
        <v>23</v>
      </c>
      <c r="C381" s="38">
        <v>143</v>
      </c>
      <c r="D381" s="7">
        <v>10617</v>
      </c>
      <c r="E381" s="38">
        <v>108</v>
      </c>
      <c r="F381" s="39">
        <v>7.4799999999999997E-4</v>
      </c>
      <c r="G381" t="s">
        <v>3</v>
      </c>
      <c r="H381" s="23" t="s">
        <v>90</v>
      </c>
      <c r="I381" s="23">
        <v>7</v>
      </c>
      <c r="J381" s="23">
        <v>64</v>
      </c>
      <c r="K381" s="8">
        <v>0.23</v>
      </c>
      <c r="L381" s="8">
        <v>0.77</v>
      </c>
      <c r="M381">
        <f t="shared" si="5"/>
        <v>2.3E-3</v>
      </c>
    </row>
    <row r="382" spans="1:13" x14ac:dyDescent="0.3">
      <c r="A382" s="23" t="s">
        <v>109</v>
      </c>
      <c r="B382" t="s">
        <v>24</v>
      </c>
      <c r="C382" s="38">
        <v>102</v>
      </c>
      <c r="D382" s="7">
        <v>1328</v>
      </c>
      <c r="E382" s="38">
        <v>267</v>
      </c>
      <c r="F382" s="39">
        <v>5.0870000000000004E-3</v>
      </c>
      <c r="G382" t="s">
        <v>0</v>
      </c>
      <c r="H382" s="23" t="s">
        <v>90</v>
      </c>
      <c r="I382" s="23">
        <v>21</v>
      </c>
      <c r="J382" s="23">
        <v>60</v>
      </c>
      <c r="K382" s="8">
        <v>0.23</v>
      </c>
      <c r="L382" s="8">
        <v>0.77</v>
      </c>
      <c r="M382">
        <f t="shared" si="5"/>
        <v>2.3E-3</v>
      </c>
    </row>
    <row r="383" spans="1:13" x14ac:dyDescent="0.3">
      <c r="A383" s="23" t="s">
        <v>109</v>
      </c>
      <c r="B383" t="s">
        <v>24</v>
      </c>
      <c r="C383" s="38">
        <v>24</v>
      </c>
      <c r="D383" s="7">
        <v>4399</v>
      </c>
      <c r="E383" s="38">
        <v>285</v>
      </c>
      <c r="F383" s="39">
        <v>2.598E-3</v>
      </c>
      <c r="G383" t="s">
        <v>1</v>
      </c>
      <c r="H383" s="23" t="s">
        <v>90</v>
      </c>
      <c r="I383" s="23">
        <v>22</v>
      </c>
      <c r="J383" s="23">
        <v>61</v>
      </c>
      <c r="K383" s="8">
        <v>0.88</v>
      </c>
      <c r="L383" s="8">
        <v>0.12</v>
      </c>
      <c r="M383">
        <f t="shared" si="5"/>
        <v>8.8000000000000005E-3</v>
      </c>
    </row>
    <row r="384" spans="1:13" x14ac:dyDescent="0.3">
      <c r="A384" s="23" t="s">
        <v>109</v>
      </c>
      <c r="B384" t="s">
        <v>24</v>
      </c>
      <c r="C384" s="38">
        <v>220</v>
      </c>
      <c r="D384" s="7">
        <v>14920</v>
      </c>
      <c r="E384" s="38">
        <v>205</v>
      </c>
      <c r="F384" s="39">
        <v>4.875E-3</v>
      </c>
      <c r="G384" t="s">
        <v>2</v>
      </c>
      <c r="H384" s="23" t="s">
        <v>90</v>
      </c>
      <c r="I384" s="23">
        <v>2</v>
      </c>
      <c r="J384" s="23">
        <v>25</v>
      </c>
      <c r="K384" s="8">
        <v>0.86</v>
      </c>
      <c r="L384" s="8">
        <v>0.14000000000000001</v>
      </c>
      <c r="M384">
        <f t="shared" si="5"/>
        <v>8.6E-3</v>
      </c>
    </row>
    <row r="385" spans="1:13" x14ac:dyDescent="0.3">
      <c r="A385" s="23" t="s">
        <v>109</v>
      </c>
      <c r="B385" t="s">
        <v>24</v>
      </c>
      <c r="C385" s="38">
        <v>143</v>
      </c>
      <c r="D385" s="7">
        <v>17991</v>
      </c>
      <c r="E385" s="38">
        <v>224</v>
      </c>
      <c r="F385" s="39">
        <v>7.6900000000000004E-4</v>
      </c>
      <c r="G385" t="s">
        <v>3</v>
      </c>
      <c r="H385" s="23" t="s">
        <v>90</v>
      </c>
      <c r="I385" s="23">
        <v>10</v>
      </c>
      <c r="J385" s="23">
        <v>52</v>
      </c>
      <c r="K385" s="8">
        <v>0.3</v>
      </c>
      <c r="L385" s="8">
        <v>0.7</v>
      </c>
      <c r="M385">
        <f t="shared" si="5"/>
        <v>3.0000000000000001E-3</v>
      </c>
    </row>
    <row r="386" spans="1:13" x14ac:dyDescent="0.3">
      <c r="A386" s="23" t="s">
        <v>109</v>
      </c>
      <c r="B386" t="s">
        <v>19</v>
      </c>
      <c r="C386" s="38">
        <v>270</v>
      </c>
      <c r="D386" s="7">
        <v>12225</v>
      </c>
      <c r="E386" s="38">
        <v>759</v>
      </c>
      <c r="F386" s="39">
        <v>1.4300000000000001E-3</v>
      </c>
      <c r="G386" t="s">
        <v>0</v>
      </c>
      <c r="H386" s="23" t="s">
        <v>89</v>
      </c>
      <c r="I386" s="23">
        <v>11</v>
      </c>
      <c r="J386" s="23">
        <v>73</v>
      </c>
      <c r="K386" s="8">
        <v>0.48</v>
      </c>
      <c r="L386" s="8">
        <v>0.52</v>
      </c>
      <c r="M386">
        <f t="shared" si="5"/>
        <v>4.7999999999999996E-3</v>
      </c>
    </row>
    <row r="387" spans="1:13" x14ac:dyDescent="0.3">
      <c r="A387" s="23" t="s">
        <v>109</v>
      </c>
      <c r="B387" t="s">
        <v>19</v>
      </c>
      <c r="C387" s="38">
        <v>239</v>
      </c>
      <c r="D387" s="7">
        <v>30074</v>
      </c>
      <c r="E387" s="38">
        <v>1013</v>
      </c>
      <c r="F387" s="39">
        <v>8.2100000000000001E-4</v>
      </c>
      <c r="G387" t="s">
        <v>1</v>
      </c>
      <c r="H387" s="23" t="s">
        <v>89</v>
      </c>
      <c r="I387" s="23">
        <v>9</v>
      </c>
      <c r="J387" s="23">
        <v>58</v>
      </c>
      <c r="K387" s="8">
        <v>0.56999999999999995</v>
      </c>
      <c r="L387" s="8">
        <v>0.43000000000000005</v>
      </c>
      <c r="M387">
        <f t="shared" ref="M387:M450" si="6">K387/100</f>
        <v>5.6999999999999993E-3</v>
      </c>
    </row>
    <row r="388" spans="1:13" x14ac:dyDescent="0.3">
      <c r="A388" s="23" t="s">
        <v>109</v>
      </c>
      <c r="B388" t="s">
        <v>19</v>
      </c>
      <c r="C388" s="38">
        <v>471</v>
      </c>
      <c r="D388" s="7">
        <v>24910</v>
      </c>
      <c r="E388" s="38">
        <v>408</v>
      </c>
      <c r="F388" s="39">
        <v>3.2690000000000002E-3</v>
      </c>
      <c r="G388" t="s">
        <v>2</v>
      </c>
      <c r="H388" s="23" t="s">
        <v>89</v>
      </c>
      <c r="I388" s="23">
        <v>20</v>
      </c>
      <c r="J388" s="23">
        <v>22</v>
      </c>
      <c r="K388" s="8">
        <v>0.62</v>
      </c>
      <c r="L388" s="8">
        <v>0.38</v>
      </c>
      <c r="M388">
        <f t="shared" si="6"/>
        <v>6.1999999999999998E-3</v>
      </c>
    </row>
    <row r="389" spans="1:13" x14ac:dyDescent="0.3">
      <c r="A389" s="23" t="s">
        <v>109</v>
      </c>
      <c r="B389" t="s">
        <v>19</v>
      </c>
      <c r="C389" s="38">
        <v>440</v>
      </c>
      <c r="D389" s="7">
        <v>42759</v>
      </c>
      <c r="E389" s="38">
        <v>662</v>
      </c>
      <c r="F389" s="39">
        <v>5.3870000000000003E-3</v>
      </c>
      <c r="G389" t="s">
        <v>3</v>
      </c>
      <c r="H389" s="23" t="s">
        <v>89</v>
      </c>
      <c r="I389" s="23">
        <v>22</v>
      </c>
      <c r="J389" s="23">
        <v>57</v>
      </c>
      <c r="K389" s="8">
        <v>0.37</v>
      </c>
      <c r="L389" s="8">
        <v>0.63</v>
      </c>
      <c r="M389">
        <f t="shared" si="6"/>
        <v>3.7000000000000002E-3</v>
      </c>
    </row>
    <row r="390" spans="1:13" x14ac:dyDescent="0.3">
      <c r="A390" s="23" t="s">
        <v>109</v>
      </c>
      <c r="B390" t="s">
        <v>20</v>
      </c>
      <c r="C390" s="38">
        <v>294</v>
      </c>
      <c r="D390" s="7">
        <v>38677</v>
      </c>
      <c r="E390" s="38">
        <v>535</v>
      </c>
      <c r="F390" s="39">
        <v>5.6800000000000002E-3</v>
      </c>
      <c r="G390" t="s">
        <v>0</v>
      </c>
      <c r="H390" s="23" t="s">
        <v>89</v>
      </c>
      <c r="I390" s="23">
        <v>22</v>
      </c>
      <c r="J390" s="23">
        <v>61</v>
      </c>
      <c r="K390" s="8">
        <v>0.68</v>
      </c>
      <c r="L390" s="8">
        <v>0.31999999999999995</v>
      </c>
      <c r="M390">
        <f t="shared" si="6"/>
        <v>6.8000000000000005E-3</v>
      </c>
    </row>
    <row r="391" spans="1:13" x14ac:dyDescent="0.3">
      <c r="A391" s="23" t="s">
        <v>109</v>
      </c>
      <c r="B391" t="s">
        <v>20</v>
      </c>
      <c r="C391" s="38">
        <v>393</v>
      </c>
      <c r="D391" s="7">
        <v>40077</v>
      </c>
      <c r="E391" s="38">
        <v>383</v>
      </c>
      <c r="F391" s="39">
        <v>5.1650000000000003E-3</v>
      </c>
      <c r="G391" t="s">
        <v>1</v>
      </c>
      <c r="H391" s="23" t="s">
        <v>89</v>
      </c>
      <c r="I391" s="23">
        <v>20</v>
      </c>
      <c r="J391" s="23">
        <v>36</v>
      </c>
      <c r="K391" s="8">
        <v>0.2</v>
      </c>
      <c r="L391" s="8">
        <v>0.8</v>
      </c>
      <c r="M391">
        <f t="shared" si="6"/>
        <v>2E-3</v>
      </c>
    </row>
    <row r="392" spans="1:13" x14ac:dyDescent="0.3">
      <c r="A392" s="23" t="s">
        <v>109</v>
      </c>
      <c r="B392" t="s">
        <v>20</v>
      </c>
      <c r="C392" s="38">
        <v>46</v>
      </c>
      <c r="D392" s="7">
        <v>86725</v>
      </c>
      <c r="E392" s="38">
        <v>496</v>
      </c>
      <c r="F392" s="39">
        <v>1.9610000000000001E-3</v>
      </c>
      <c r="G392" t="s">
        <v>2</v>
      </c>
      <c r="H392" s="23" t="s">
        <v>89</v>
      </c>
      <c r="I392" s="23">
        <v>8</v>
      </c>
      <c r="J392" s="23">
        <v>53</v>
      </c>
      <c r="K392" s="8">
        <v>0.67</v>
      </c>
      <c r="L392" s="8">
        <v>0.32999999999999996</v>
      </c>
      <c r="M392">
        <f t="shared" si="6"/>
        <v>6.7000000000000002E-3</v>
      </c>
    </row>
    <row r="393" spans="1:13" x14ac:dyDescent="0.3">
      <c r="A393" s="23" t="s">
        <v>109</v>
      </c>
      <c r="B393" t="s">
        <v>20</v>
      </c>
      <c r="C393" s="38">
        <v>145</v>
      </c>
      <c r="D393" s="7">
        <v>88124</v>
      </c>
      <c r="E393" s="38">
        <v>344</v>
      </c>
      <c r="F393" s="39">
        <v>5.0850000000000001E-3</v>
      </c>
      <c r="G393" t="s">
        <v>3</v>
      </c>
      <c r="H393" s="23" t="s">
        <v>89</v>
      </c>
      <c r="I393" s="23">
        <v>9</v>
      </c>
      <c r="J393" s="23">
        <v>60</v>
      </c>
      <c r="K393" s="8">
        <v>0.6</v>
      </c>
      <c r="L393" s="8">
        <v>0.4</v>
      </c>
      <c r="M393">
        <f t="shared" si="6"/>
        <v>6.0000000000000001E-3</v>
      </c>
    </row>
    <row r="394" spans="1:13" x14ac:dyDescent="0.3">
      <c r="A394" s="23" t="s">
        <v>109</v>
      </c>
      <c r="B394" t="s">
        <v>22</v>
      </c>
      <c r="C394" s="38">
        <v>263</v>
      </c>
      <c r="D394" s="7">
        <v>7152</v>
      </c>
      <c r="E394" s="38">
        <v>151</v>
      </c>
      <c r="F394" s="39">
        <v>8.5800000000000004E-4</v>
      </c>
      <c r="G394" t="s">
        <v>0</v>
      </c>
      <c r="H394" s="23" t="s">
        <v>89</v>
      </c>
      <c r="I394" s="23">
        <v>20</v>
      </c>
      <c r="J394" s="23">
        <v>12</v>
      </c>
      <c r="K394" s="8">
        <v>0.24</v>
      </c>
      <c r="L394" s="8">
        <v>0.76</v>
      </c>
      <c r="M394">
        <f t="shared" si="6"/>
        <v>2.3999999999999998E-3</v>
      </c>
    </row>
    <row r="395" spans="1:13" x14ac:dyDescent="0.3">
      <c r="A395" s="23" t="s">
        <v>109</v>
      </c>
      <c r="B395" t="s">
        <v>22</v>
      </c>
      <c r="C395" s="38">
        <v>22</v>
      </c>
      <c r="D395" s="7">
        <v>23921</v>
      </c>
      <c r="E395" s="38">
        <v>487</v>
      </c>
      <c r="F395" s="39">
        <v>4.2529999999999998E-3</v>
      </c>
      <c r="G395" t="s">
        <v>1</v>
      </c>
      <c r="H395" s="23" t="s">
        <v>89</v>
      </c>
      <c r="I395" s="23">
        <v>1</v>
      </c>
      <c r="J395" s="23">
        <v>72</v>
      </c>
      <c r="K395" s="8">
        <v>0.23</v>
      </c>
      <c r="L395" s="8">
        <v>0.77</v>
      </c>
      <c r="M395">
        <f t="shared" si="6"/>
        <v>2.3E-3</v>
      </c>
    </row>
    <row r="396" spans="1:13" x14ac:dyDescent="0.3">
      <c r="A396" s="23" t="s">
        <v>109</v>
      </c>
      <c r="B396" t="s">
        <v>22</v>
      </c>
      <c r="C396" s="38">
        <v>398</v>
      </c>
      <c r="D396" s="7">
        <v>21376</v>
      </c>
      <c r="E396" s="38">
        <v>356</v>
      </c>
      <c r="F396" s="39">
        <v>4.6889999999999996E-3</v>
      </c>
      <c r="G396" t="s">
        <v>2</v>
      </c>
      <c r="H396" s="23" t="s">
        <v>89</v>
      </c>
      <c r="I396" s="23">
        <v>19</v>
      </c>
      <c r="J396" s="23">
        <v>67</v>
      </c>
      <c r="K396" s="8">
        <v>0.19</v>
      </c>
      <c r="L396" s="8">
        <v>0.81</v>
      </c>
      <c r="M396">
        <f t="shared" si="6"/>
        <v>1.9E-3</v>
      </c>
    </row>
    <row r="397" spans="1:13" x14ac:dyDescent="0.3">
      <c r="A397" s="23" t="s">
        <v>109</v>
      </c>
      <c r="B397" t="s">
        <v>22</v>
      </c>
      <c r="C397" s="38">
        <v>157</v>
      </c>
      <c r="D397" s="7">
        <v>38145</v>
      </c>
      <c r="E397" s="38">
        <v>691</v>
      </c>
      <c r="F397" s="39">
        <v>5.9579999999999998E-3</v>
      </c>
      <c r="G397" t="s">
        <v>3</v>
      </c>
      <c r="H397" s="23" t="s">
        <v>89</v>
      </c>
      <c r="I397" s="23">
        <v>15</v>
      </c>
      <c r="J397" s="23">
        <v>22</v>
      </c>
      <c r="K397" s="8">
        <v>0.54</v>
      </c>
      <c r="L397" s="8">
        <v>0.45999999999999996</v>
      </c>
      <c r="M397">
        <f t="shared" si="6"/>
        <v>5.4000000000000003E-3</v>
      </c>
    </row>
    <row r="398" spans="1:13" x14ac:dyDescent="0.3">
      <c r="A398" s="23" t="s">
        <v>109</v>
      </c>
      <c r="B398" t="s">
        <v>21</v>
      </c>
      <c r="C398" s="38">
        <v>796</v>
      </c>
      <c r="D398" s="7">
        <v>128331</v>
      </c>
      <c r="E398" s="38">
        <v>540</v>
      </c>
      <c r="F398" s="39">
        <v>5.8050000000000003E-3</v>
      </c>
      <c r="G398" t="s">
        <v>0</v>
      </c>
      <c r="H398" s="23" t="s">
        <v>89</v>
      </c>
      <c r="I398" s="23">
        <v>1</v>
      </c>
      <c r="J398" s="23">
        <v>9</v>
      </c>
      <c r="K398" s="8">
        <v>0.51</v>
      </c>
      <c r="L398" s="8">
        <v>0.49</v>
      </c>
      <c r="M398">
        <f t="shared" si="6"/>
        <v>5.1000000000000004E-3</v>
      </c>
    </row>
    <row r="399" spans="1:13" x14ac:dyDescent="0.3">
      <c r="A399" s="23" t="s">
        <v>109</v>
      </c>
      <c r="B399" t="s">
        <v>21</v>
      </c>
      <c r="C399" s="38">
        <v>404</v>
      </c>
      <c r="D399" s="7">
        <v>77639</v>
      </c>
      <c r="E399" s="38">
        <v>1289</v>
      </c>
      <c r="F399" s="39">
        <v>1.1839999999999999E-3</v>
      </c>
      <c r="G399" t="s">
        <v>1</v>
      </c>
      <c r="H399" s="23" t="s">
        <v>89</v>
      </c>
      <c r="I399" s="23">
        <v>4</v>
      </c>
      <c r="J399" s="23">
        <v>34</v>
      </c>
      <c r="K399" s="8">
        <v>0.26</v>
      </c>
      <c r="L399" s="8">
        <v>0.74</v>
      </c>
      <c r="M399">
        <f t="shared" si="6"/>
        <v>2.5999999999999999E-3</v>
      </c>
    </row>
    <row r="400" spans="1:13" x14ac:dyDescent="0.3">
      <c r="A400" s="23" t="s">
        <v>109</v>
      </c>
      <c r="B400" t="s">
        <v>21</v>
      </c>
      <c r="C400" s="38">
        <v>855</v>
      </c>
      <c r="D400" s="7">
        <v>152932</v>
      </c>
      <c r="E400" s="38">
        <v>1230</v>
      </c>
      <c r="F400" s="39">
        <v>5.2119999999999996E-3</v>
      </c>
      <c r="G400" t="s">
        <v>2</v>
      </c>
      <c r="H400" s="23" t="s">
        <v>89</v>
      </c>
      <c r="I400" s="23">
        <v>2</v>
      </c>
      <c r="J400" s="23">
        <v>11</v>
      </c>
      <c r="K400" s="8">
        <v>0.45</v>
      </c>
      <c r="L400" s="8">
        <v>0.55000000000000004</v>
      </c>
      <c r="M400">
        <f t="shared" si="6"/>
        <v>4.5000000000000005E-3</v>
      </c>
    </row>
    <row r="401" spans="1:13" x14ac:dyDescent="0.3">
      <c r="A401" s="23" t="s">
        <v>109</v>
      </c>
      <c r="B401" t="s">
        <v>21</v>
      </c>
      <c r="C401" s="38">
        <v>463</v>
      </c>
      <c r="D401" s="7">
        <v>102240</v>
      </c>
      <c r="E401" s="38">
        <v>1979</v>
      </c>
      <c r="F401" s="39">
        <v>4.7860000000000003E-3</v>
      </c>
      <c r="G401" t="s">
        <v>3</v>
      </c>
      <c r="H401" s="23" t="s">
        <v>89</v>
      </c>
      <c r="I401" s="23">
        <v>23</v>
      </c>
      <c r="J401" s="23">
        <v>35</v>
      </c>
      <c r="K401" s="8">
        <v>0.67</v>
      </c>
      <c r="L401" s="8">
        <v>0.32999999999999996</v>
      </c>
      <c r="M401">
        <f t="shared" si="6"/>
        <v>6.7000000000000002E-3</v>
      </c>
    </row>
    <row r="402" spans="1:13" x14ac:dyDescent="0.3">
      <c r="A402" s="23" t="s">
        <v>109</v>
      </c>
      <c r="B402" t="s">
        <v>23</v>
      </c>
      <c r="C402" s="38">
        <v>63</v>
      </c>
      <c r="D402" s="7">
        <v>2692</v>
      </c>
      <c r="E402" s="38">
        <v>101</v>
      </c>
      <c r="F402" s="39">
        <v>1.271E-3</v>
      </c>
      <c r="G402" t="s">
        <v>0</v>
      </c>
      <c r="H402" s="23" t="s">
        <v>89</v>
      </c>
      <c r="I402" s="23">
        <v>20</v>
      </c>
      <c r="J402" s="23">
        <v>21</v>
      </c>
      <c r="K402" s="8">
        <v>0.38</v>
      </c>
      <c r="L402" s="8">
        <v>0.62</v>
      </c>
      <c r="M402">
        <f t="shared" si="6"/>
        <v>3.8E-3</v>
      </c>
    </row>
    <row r="403" spans="1:13" x14ac:dyDescent="0.3">
      <c r="A403" s="23" t="s">
        <v>109</v>
      </c>
      <c r="B403" t="s">
        <v>23</v>
      </c>
      <c r="C403" s="38">
        <v>44</v>
      </c>
      <c r="D403" s="7">
        <v>4430</v>
      </c>
      <c r="E403" s="38">
        <v>86</v>
      </c>
      <c r="F403" s="39">
        <v>1.8569999999999999E-3</v>
      </c>
      <c r="G403" t="s">
        <v>1</v>
      </c>
      <c r="H403" s="23" t="s">
        <v>89</v>
      </c>
      <c r="I403" s="23">
        <v>13</v>
      </c>
      <c r="J403" s="23">
        <v>49</v>
      </c>
      <c r="K403" s="8">
        <v>0.73</v>
      </c>
      <c r="L403" s="8">
        <v>0.27</v>
      </c>
      <c r="M403">
        <f t="shared" si="6"/>
        <v>7.3000000000000001E-3</v>
      </c>
    </row>
    <row r="404" spans="1:13" x14ac:dyDescent="0.3">
      <c r="A404" s="23" t="s">
        <v>109</v>
      </c>
      <c r="B404" t="s">
        <v>23</v>
      </c>
      <c r="C404" s="38">
        <v>97</v>
      </c>
      <c r="D404" s="7">
        <v>7529</v>
      </c>
      <c r="E404" s="38">
        <v>198</v>
      </c>
      <c r="F404" s="39">
        <v>2.4659999999999999E-3</v>
      </c>
      <c r="G404" t="s">
        <v>2</v>
      </c>
      <c r="H404" s="23" t="s">
        <v>89</v>
      </c>
      <c r="I404" s="23">
        <v>21</v>
      </c>
      <c r="J404" s="23">
        <v>19</v>
      </c>
      <c r="K404" s="8">
        <v>0.69</v>
      </c>
      <c r="L404" s="8">
        <v>0.31000000000000005</v>
      </c>
      <c r="M404">
        <f t="shared" si="6"/>
        <v>6.8999999999999999E-3</v>
      </c>
    </row>
    <row r="405" spans="1:13" x14ac:dyDescent="0.3">
      <c r="A405" s="23" t="s">
        <v>109</v>
      </c>
      <c r="B405" t="s">
        <v>23</v>
      </c>
      <c r="C405" s="38">
        <v>78</v>
      </c>
      <c r="D405" s="7">
        <v>9267</v>
      </c>
      <c r="E405" s="38">
        <v>183</v>
      </c>
      <c r="F405" s="39">
        <v>1.5579999999999999E-3</v>
      </c>
      <c r="G405" t="s">
        <v>3</v>
      </c>
      <c r="H405" s="23" t="s">
        <v>89</v>
      </c>
      <c r="I405" s="23">
        <v>5</v>
      </c>
      <c r="J405" s="23">
        <v>59</v>
      </c>
      <c r="K405" s="8">
        <v>0.79</v>
      </c>
      <c r="L405" s="8">
        <v>0.20999999999999996</v>
      </c>
      <c r="M405">
        <f t="shared" si="6"/>
        <v>7.9000000000000008E-3</v>
      </c>
    </row>
    <row r="406" spans="1:13" x14ac:dyDescent="0.3">
      <c r="A406" s="23" t="s">
        <v>109</v>
      </c>
      <c r="B406" t="s">
        <v>24</v>
      </c>
      <c r="C406" s="38">
        <v>139</v>
      </c>
      <c r="D406" s="7">
        <v>5976</v>
      </c>
      <c r="E406" s="38">
        <v>47</v>
      </c>
      <c r="F406" s="39">
        <v>4.96E-3</v>
      </c>
      <c r="G406" t="s">
        <v>0</v>
      </c>
      <c r="H406" s="23" t="s">
        <v>89</v>
      </c>
      <c r="I406" s="23">
        <v>22</v>
      </c>
      <c r="J406" s="23">
        <v>29</v>
      </c>
      <c r="K406" s="8">
        <v>0.3</v>
      </c>
      <c r="L406" s="8">
        <v>0.7</v>
      </c>
      <c r="M406">
        <f t="shared" si="6"/>
        <v>3.0000000000000001E-3</v>
      </c>
    </row>
    <row r="407" spans="1:13" x14ac:dyDescent="0.3">
      <c r="A407" s="23" t="s">
        <v>109</v>
      </c>
      <c r="B407" t="s">
        <v>24</v>
      </c>
      <c r="C407" s="38">
        <v>54</v>
      </c>
      <c r="D407" s="7">
        <v>7860</v>
      </c>
      <c r="E407" s="38">
        <v>222</v>
      </c>
      <c r="F407" s="39">
        <v>1.315E-3</v>
      </c>
      <c r="G407" t="s">
        <v>1</v>
      </c>
      <c r="H407" s="23" t="s">
        <v>89</v>
      </c>
      <c r="I407" s="23">
        <v>2</v>
      </c>
      <c r="J407" s="23">
        <v>73</v>
      </c>
      <c r="K407" s="8">
        <v>0.38</v>
      </c>
      <c r="L407" s="8">
        <v>0.62</v>
      </c>
      <c r="M407">
        <f t="shared" si="6"/>
        <v>3.8E-3</v>
      </c>
    </row>
    <row r="408" spans="1:13" x14ac:dyDescent="0.3">
      <c r="A408" s="23" t="s">
        <v>109</v>
      </c>
      <c r="B408" t="s">
        <v>24</v>
      </c>
      <c r="C408" s="38">
        <v>106</v>
      </c>
      <c r="D408" s="7">
        <v>4868</v>
      </c>
      <c r="E408" s="38">
        <v>101</v>
      </c>
      <c r="F408" s="39">
        <v>3.8969999999999999E-3</v>
      </c>
      <c r="G408" t="s">
        <v>2</v>
      </c>
      <c r="H408" s="23" t="s">
        <v>89</v>
      </c>
      <c r="I408" s="23">
        <v>1</v>
      </c>
      <c r="J408" s="23">
        <v>16</v>
      </c>
      <c r="K408" s="8">
        <v>0.7</v>
      </c>
      <c r="L408" s="8">
        <v>0.30000000000000004</v>
      </c>
      <c r="M408">
        <f t="shared" si="6"/>
        <v>6.9999999999999993E-3</v>
      </c>
    </row>
    <row r="409" spans="1:13" x14ac:dyDescent="0.3">
      <c r="A409" s="23" t="s">
        <v>109</v>
      </c>
      <c r="B409" t="s">
        <v>24</v>
      </c>
      <c r="C409" s="38">
        <v>21</v>
      </c>
      <c r="D409" s="7">
        <v>6752</v>
      </c>
      <c r="E409" s="38">
        <v>276</v>
      </c>
      <c r="F409" s="39">
        <v>2.2330000000000002E-3</v>
      </c>
      <c r="G409" t="s">
        <v>3</v>
      </c>
      <c r="H409" s="23" t="s">
        <v>89</v>
      </c>
      <c r="I409" s="23">
        <v>10</v>
      </c>
      <c r="J409" s="23">
        <v>28</v>
      </c>
      <c r="K409" s="8">
        <v>0.8</v>
      </c>
      <c r="L409" s="8">
        <v>0.19999999999999996</v>
      </c>
      <c r="M409">
        <f t="shared" si="6"/>
        <v>8.0000000000000002E-3</v>
      </c>
    </row>
    <row r="410" spans="1:13" x14ac:dyDescent="0.3">
      <c r="A410" s="23" t="s">
        <v>109</v>
      </c>
      <c r="B410" t="s">
        <v>19</v>
      </c>
      <c r="C410" s="38">
        <v>367</v>
      </c>
      <c r="D410" s="7">
        <v>14334</v>
      </c>
      <c r="E410" s="38">
        <v>341</v>
      </c>
      <c r="F410" s="39">
        <v>4.6889999999999996E-3</v>
      </c>
      <c r="G410" t="s">
        <v>0</v>
      </c>
      <c r="H410" s="23" t="s">
        <v>91</v>
      </c>
      <c r="I410" s="23">
        <v>22</v>
      </c>
      <c r="J410" s="23">
        <v>73</v>
      </c>
      <c r="K410" s="8">
        <v>0.15</v>
      </c>
      <c r="L410" s="8">
        <v>0.85</v>
      </c>
      <c r="M410">
        <f t="shared" si="6"/>
        <v>1.5E-3</v>
      </c>
    </row>
    <row r="411" spans="1:13" x14ac:dyDescent="0.3">
      <c r="A411" s="23" t="s">
        <v>109</v>
      </c>
      <c r="B411" t="s">
        <v>19</v>
      </c>
      <c r="C411" s="38">
        <v>390</v>
      </c>
      <c r="D411" s="7">
        <v>23994</v>
      </c>
      <c r="E411" s="38">
        <v>368</v>
      </c>
      <c r="F411" s="39">
        <v>3.258E-3</v>
      </c>
      <c r="G411" t="s">
        <v>1</v>
      </c>
      <c r="H411" s="23" t="s">
        <v>91</v>
      </c>
      <c r="I411" s="23">
        <v>14</v>
      </c>
      <c r="J411" s="23">
        <v>17</v>
      </c>
      <c r="K411" s="8">
        <v>0.86</v>
      </c>
      <c r="L411" s="8">
        <v>0.14000000000000001</v>
      </c>
      <c r="M411">
        <f t="shared" si="6"/>
        <v>8.6E-3</v>
      </c>
    </row>
    <row r="412" spans="1:13" x14ac:dyDescent="0.3">
      <c r="A412" s="23" t="s">
        <v>109</v>
      </c>
      <c r="B412" t="s">
        <v>19</v>
      </c>
      <c r="C412" s="38">
        <v>637</v>
      </c>
      <c r="D412" s="7">
        <v>18988</v>
      </c>
      <c r="E412" s="38">
        <v>1687</v>
      </c>
      <c r="F412" s="39">
        <v>4.2310000000000004E-3</v>
      </c>
      <c r="G412" t="s">
        <v>2</v>
      </c>
      <c r="H412" s="23" t="s">
        <v>91</v>
      </c>
      <c r="I412" s="23">
        <v>9</v>
      </c>
      <c r="J412" s="23">
        <v>10</v>
      </c>
      <c r="K412" s="8">
        <v>0.44</v>
      </c>
      <c r="L412" s="8">
        <v>0.56000000000000005</v>
      </c>
      <c r="M412">
        <f t="shared" si="6"/>
        <v>4.4000000000000003E-3</v>
      </c>
    </row>
    <row r="413" spans="1:13" x14ac:dyDescent="0.3">
      <c r="A413" s="23" t="s">
        <v>109</v>
      </c>
      <c r="B413" t="s">
        <v>19</v>
      </c>
      <c r="C413" s="38">
        <v>660</v>
      </c>
      <c r="D413" s="7">
        <v>28648</v>
      </c>
      <c r="E413" s="38">
        <v>1714</v>
      </c>
      <c r="F413" s="39">
        <v>1.3259999999999999E-3</v>
      </c>
      <c r="G413" t="s">
        <v>3</v>
      </c>
      <c r="H413" s="23" t="s">
        <v>91</v>
      </c>
      <c r="I413" s="23">
        <v>4</v>
      </c>
      <c r="J413" s="23">
        <v>25</v>
      </c>
      <c r="K413" s="8">
        <v>0.32</v>
      </c>
      <c r="L413" s="8">
        <v>0.67999999999999994</v>
      </c>
      <c r="M413">
        <f t="shared" si="6"/>
        <v>3.2000000000000002E-3</v>
      </c>
    </row>
    <row r="414" spans="1:13" x14ac:dyDescent="0.3">
      <c r="A414" s="23" t="s">
        <v>109</v>
      </c>
      <c r="B414" t="s">
        <v>20</v>
      </c>
      <c r="C414" s="38">
        <v>105</v>
      </c>
      <c r="D414" s="7">
        <v>48142</v>
      </c>
      <c r="E414" s="38">
        <v>242</v>
      </c>
      <c r="F414" s="39">
        <v>5.9789999999999999E-3</v>
      </c>
      <c r="G414" t="s">
        <v>0</v>
      </c>
      <c r="H414" s="23" t="s">
        <v>91</v>
      </c>
      <c r="I414" s="23">
        <v>10</v>
      </c>
      <c r="J414" s="23">
        <v>49</v>
      </c>
      <c r="K414" s="8">
        <v>0.41</v>
      </c>
      <c r="L414" s="8">
        <v>0.59000000000000008</v>
      </c>
      <c r="M414">
        <f t="shared" si="6"/>
        <v>4.0999999999999995E-3</v>
      </c>
    </row>
    <row r="415" spans="1:13" x14ac:dyDescent="0.3">
      <c r="A415" s="23" t="s">
        <v>109</v>
      </c>
      <c r="B415" t="s">
        <v>20</v>
      </c>
      <c r="C415" s="38">
        <v>35</v>
      </c>
      <c r="D415" s="7">
        <v>47545</v>
      </c>
      <c r="E415" s="38">
        <v>376</v>
      </c>
      <c r="F415" s="39">
        <v>5.2310000000000004E-3</v>
      </c>
      <c r="G415" t="s">
        <v>1</v>
      </c>
      <c r="H415" s="23" t="s">
        <v>91</v>
      </c>
      <c r="I415" s="23">
        <v>4</v>
      </c>
      <c r="J415" s="23">
        <v>75</v>
      </c>
      <c r="K415" s="8">
        <v>0.42</v>
      </c>
      <c r="L415" s="8">
        <v>0.58000000000000007</v>
      </c>
      <c r="M415">
        <f t="shared" si="6"/>
        <v>4.1999999999999997E-3</v>
      </c>
    </row>
    <row r="416" spans="1:13" x14ac:dyDescent="0.3">
      <c r="A416" s="23" t="s">
        <v>109</v>
      </c>
      <c r="B416" t="s">
        <v>20</v>
      </c>
      <c r="C416" s="38">
        <v>308</v>
      </c>
      <c r="D416" s="7">
        <v>51579</v>
      </c>
      <c r="E416" s="38">
        <v>311</v>
      </c>
      <c r="F416" s="39">
        <v>3.297E-3</v>
      </c>
      <c r="G416" t="s">
        <v>2</v>
      </c>
      <c r="H416" s="23" t="s">
        <v>91</v>
      </c>
      <c r="I416" s="23">
        <v>21</v>
      </c>
      <c r="J416" s="23">
        <v>67</v>
      </c>
      <c r="K416" s="8">
        <v>0.23</v>
      </c>
      <c r="L416" s="8">
        <v>0.77</v>
      </c>
      <c r="M416">
        <f t="shared" si="6"/>
        <v>2.3E-3</v>
      </c>
    </row>
    <row r="417" spans="1:13" x14ac:dyDescent="0.3">
      <c r="A417" s="23" t="s">
        <v>109</v>
      </c>
      <c r="B417" t="s">
        <v>20</v>
      </c>
      <c r="C417" s="38">
        <v>238</v>
      </c>
      <c r="D417" s="7">
        <v>50981</v>
      </c>
      <c r="E417" s="38">
        <v>445</v>
      </c>
      <c r="F417" s="39">
        <v>4.8180000000000002E-3</v>
      </c>
      <c r="G417" t="s">
        <v>3</v>
      </c>
      <c r="H417" s="23" t="s">
        <v>91</v>
      </c>
      <c r="I417" s="23">
        <v>15</v>
      </c>
      <c r="J417" s="23">
        <v>38</v>
      </c>
      <c r="K417" s="8">
        <v>0.45</v>
      </c>
      <c r="L417" s="8">
        <v>0.55000000000000004</v>
      </c>
      <c r="M417">
        <f t="shared" si="6"/>
        <v>4.5000000000000005E-3</v>
      </c>
    </row>
    <row r="418" spans="1:13" x14ac:dyDescent="0.3">
      <c r="A418" s="23" t="s">
        <v>109</v>
      </c>
      <c r="B418" t="s">
        <v>22</v>
      </c>
      <c r="C418" s="38">
        <v>146</v>
      </c>
      <c r="D418" s="7">
        <v>12234</v>
      </c>
      <c r="E418" s="38">
        <v>373</v>
      </c>
      <c r="F418" s="39">
        <v>5.0080000000000003E-3</v>
      </c>
      <c r="G418" t="s">
        <v>0</v>
      </c>
      <c r="H418" s="23" t="s">
        <v>91</v>
      </c>
      <c r="I418" s="23">
        <v>1</v>
      </c>
      <c r="J418" s="23">
        <v>17</v>
      </c>
      <c r="K418" s="8">
        <v>0.49</v>
      </c>
      <c r="L418" s="8">
        <v>0.51</v>
      </c>
      <c r="M418">
        <f t="shared" si="6"/>
        <v>4.8999999999999998E-3</v>
      </c>
    </row>
    <row r="419" spans="1:13" x14ac:dyDescent="0.3">
      <c r="A419" s="23" t="s">
        <v>109</v>
      </c>
      <c r="B419" t="s">
        <v>22</v>
      </c>
      <c r="C419" s="38">
        <v>204</v>
      </c>
      <c r="D419" s="7">
        <v>17544</v>
      </c>
      <c r="E419" s="38">
        <v>535</v>
      </c>
      <c r="F419" s="39">
        <v>1.0510000000000001E-3</v>
      </c>
      <c r="G419" t="s">
        <v>1</v>
      </c>
      <c r="H419" s="23" t="s">
        <v>91</v>
      </c>
      <c r="I419" s="23">
        <v>3</v>
      </c>
      <c r="J419" s="23">
        <v>27</v>
      </c>
      <c r="K419" s="8">
        <v>0.7</v>
      </c>
      <c r="L419" s="8">
        <v>0.30000000000000004</v>
      </c>
      <c r="M419">
        <f t="shared" si="6"/>
        <v>6.9999999999999993E-3</v>
      </c>
    </row>
    <row r="420" spans="1:13" x14ac:dyDescent="0.3">
      <c r="A420" s="23" t="s">
        <v>109</v>
      </c>
      <c r="B420" t="s">
        <v>22</v>
      </c>
      <c r="C420" s="38">
        <v>124</v>
      </c>
      <c r="D420" s="7">
        <v>17866</v>
      </c>
      <c r="E420" s="38">
        <v>124</v>
      </c>
      <c r="F420" s="39">
        <v>5.4159999999999998E-3</v>
      </c>
      <c r="G420" t="s">
        <v>2</v>
      </c>
      <c r="H420" s="23" t="s">
        <v>91</v>
      </c>
      <c r="I420" s="23">
        <v>3</v>
      </c>
      <c r="J420" s="23">
        <v>57</v>
      </c>
      <c r="K420" s="8">
        <v>0.11</v>
      </c>
      <c r="L420" s="8">
        <v>0.89</v>
      </c>
      <c r="M420">
        <f t="shared" si="6"/>
        <v>1.1000000000000001E-3</v>
      </c>
    </row>
    <row r="421" spans="1:13" x14ac:dyDescent="0.3">
      <c r="A421" s="23" t="s">
        <v>109</v>
      </c>
      <c r="B421" t="s">
        <v>22</v>
      </c>
      <c r="C421" s="38">
        <v>183</v>
      </c>
      <c r="D421" s="7">
        <v>23175</v>
      </c>
      <c r="E421" s="38">
        <v>286</v>
      </c>
      <c r="F421" s="39">
        <v>4.0470000000000002E-3</v>
      </c>
      <c r="G421" t="s">
        <v>3</v>
      </c>
      <c r="H421" s="23" t="s">
        <v>91</v>
      </c>
      <c r="I421" s="23">
        <v>1</v>
      </c>
      <c r="J421" s="23">
        <v>7</v>
      </c>
      <c r="K421" s="8">
        <v>0.63</v>
      </c>
      <c r="L421" s="8">
        <v>0.37</v>
      </c>
      <c r="M421">
        <f t="shared" si="6"/>
        <v>6.3E-3</v>
      </c>
    </row>
    <row r="422" spans="1:13" x14ac:dyDescent="0.3">
      <c r="A422" s="23" t="s">
        <v>109</v>
      </c>
      <c r="B422" t="s">
        <v>21</v>
      </c>
      <c r="C422" s="38">
        <v>223</v>
      </c>
      <c r="D422" s="7">
        <v>72498</v>
      </c>
      <c r="E422" s="38">
        <v>531</v>
      </c>
      <c r="F422" s="39">
        <v>4.8149999999999998E-3</v>
      </c>
      <c r="G422" t="s">
        <v>0</v>
      </c>
      <c r="H422" s="23" t="s">
        <v>91</v>
      </c>
      <c r="I422" s="23">
        <v>14</v>
      </c>
      <c r="J422" s="23">
        <v>22</v>
      </c>
      <c r="K422" s="8">
        <v>0.83</v>
      </c>
      <c r="L422" s="8">
        <v>0.17000000000000004</v>
      </c>
      <c r="M422">
        <f t="shared" si="6"/>
        <v>8.3000000000000001E-3</v>
      </c>
    </row>
    <row r="423" spans="1:13" x14ac:dyDescent="0.3">
      <c r="A423" s="23" t="s">
        <v>109</v>
      </c>
      <c r="B423" t="s">
        <v>21</v>
      </c>
      <c r="C423" s="38">
        <v>243</v>
      </c>
      <c r="D423" s="7">
        <v>96542</v>
      </c>
      <c r="E423" s="38">
        <v>562</v>
      </c>
      <c r="F423" s="39">
        <v>5.5149999999999999E-3</v>
      </c>
      <c r="G423" t="s">
        <v>1</v>
      </c>
      <c r="H423" s="23" t="s">
        <v>91</v>
      </c>
      <c r="I423" s="23">
        <v>1</v>
      </c>
      <c r="J423" s="23">
        <v>31</v>
      </c>
      <c r="K423" s="8">
        <v>0.53</v>
      </c>
      <c r="L423" s="8">
        <v>0.47</v>
      </c>
      <c r="M423">
        <f t="shared" si="6"/>
        <v>5.3E-3</v>
      </c>
    </row>
    <row r="424" spans="1:13" x14ac:dyDescent="0.3">
      <c r="A424" s="23" t="s">
        <v>109</v>
      </c>
      <c r="B424" t="s">
        <v>21</v>
      </c>
      <c r="C424" s="38">
        <v>321</v>
      </c>
      <c r="D424" s="7">
        <v>83701</v>
      </c>
      <c r="E424" s="38">
        <v>566</v>
      </c>
      <c r="F424" s="39">
        <v>4.4320000000000002E-3</v>
      </c>
      <c r="G424" t="s">
        <v>2</v>
      </c>
      <c r="H424" s="23" t="s">
        <v>91</v>
      </c>
      <c r="I424" s="23">
        <v>13</v>
      </c>
      <c r="J424" s="23">
        <v>15</v>
      </c>
      <c r="K424" s="8">
        <v>0.83</v>
      </c>
      <c r="L424" s="8">
        <v>0.17000000000000004</v>
      </c>
      <c r="M424">
        <f t="shared" si="6"/>
        <v>8.3000000000000001E-3</v>
      </c>
    </row>
    <row r="425" spans="1:13" x14ac:dyDescent="0.3">
      <c r="A425" s="23" t="s">
        <v>109</v>
      </c>
      <c r="B425" t="s">
        <v>21</v>
      </c>
      <c r="C425" s="38">
        <v>340</v>
      </c>
      <c r="D425" s="7">
        <v>107745</v>
      </c>
      <c r="E425" s="38">
        <v>597</v>
      </c>
      <c r="F425" s="39">
        <v>4.6759999999999996E-3</v>
      </c>
      <c r="G425" t="s">
        <v>3</v>
      </c>
      <c r="H425" s="23" t="s">
        <v>91</v>
      </c>
      <c r="I425" s="23">
        <v>16</v>
      </c>
      <c r="J425" s="23">
        <v>14</v>
      </c>
      <c r="K425" s="8">
        <v>0.89</v>
      </c>
      <c r="L425" s="8">
        <v>0.10999999999999999</v>
      </c>
      <c r="M425">
        <f t="shared" si="6"/>
        <v>8.8999999999999999E-3</v>
      </c>
    </row>
    <row r="426" spans="1:13" x14ac:dyDescent="0.3">
      <c r="A426" s="23" t="s">
        <v>109</v>
      </c>
      <c r="B426" t="s">
        <v>23</v>
      </c>
      <c r="C426" s="38">
        <v>63</v>
      </c>
      <c r="D426" s="7">
        <v>5994</v>
      </c>
      <c r="E426" s="38">
        <v>105</v>
      </c>
      <c r="F426" s="39">
        <v>5.5750000000000001E-3</v>
      </c>
      <c r="G426" t="s">
        <v>0</v>
      </c>
      <c r="H426" s="23" t="s">
        <v>91</v>
      </c>
      <c r="I426" s="23">
        <v>16</v>
      </c>
      <c r="J426" s="23">
        <v>10</v>
      </c>
      <c r="K426" s="8">
        <v>0.18</v>
      </c>
      <c r="L426" s="8">
        <v>0.82000000000000006</v>
      </c>
      <c r="M426">
        <f t="shared" si="6"/>
        <v>1.8E-3</v>
      </c>
    </row>
    <row r="427" spans="1:13" x14ac:dyDescent="0.3">
      <c r="A427" s="23" t="s">
        <v>109</v>
      </c>
      <c r="B427" t="s">
        <v>23</v>
      </c>
      <c r="C427" s="38">
        <v>57</v>
      </c>
      <c r="D427" s="7">
        <v>6079</v>
      </c>
      <c r="E427" s="38">
        <v>77</v>
      </c>
      <c r="F427" s="39">
        <v>3.3519999999999999E-3</v>
      </c>
      <c r="G427" t="s">
        <v>1</v>
      </c>
      <c r="H427" s="23" t="s">
        <v>91</v>
      </c>
      <c r="I427" s="23">
        <v>10</v>
      </c>
      <c r="J427" s="23">
        <v>22</v>
      </c>
      <c r="K427" s="8">
        <v>0.32</v>
      </c>
      <c r="L427" s="8">
        <v>0.67999999999999994</v>
      </c>
      <c r="M427">
        <f t="shared" si="6"/>
        <v>3.2000000000000002E-3</v>
      </c>
    </row>
    <row r="428" spans="1:13" x14ac:dyDescent="0.3">
      <c r="A428" s="23" t="s">
        <v>109</v>
      </c>
      <c r="B428" t="s">
        <v>23</v>
      </c>
      <c r="C428" s="38">
        <v>40</v>
      </c>
      <c r="D428" s="7">
        <v>3269</v>
      </c>
      <c r="E428" s="38">
        <v>118</v>
      </c>
      <c r="F428" s="39">
        <v>3.3990000000000001E-3</v>
      </c>
      <c r="G428" t="s">
        <v>2</v>
      </c>
      <c r="H428" s="23" t="s">
        <v>91</v>
      </c>
      <c r="I428" s="23">
        <v>8</v>
      </c>
      <c r="J428" s="23">
        <v>51</v>
      </c>
      <c r="K428" s="8">
        <v>0.51</v>
      </c>
      <c r="L428" s="8">
        <v>0.49</v>
      </c>
      <c r="M428">
        <f t="shared" si="6"/>
        <v>5.1000000000000004E-3</v>
      </c>
    </row>
    <row r="429" spans="1:13" x14ac:dyDescent="0.3">
      <c r="A429" s="23" t="s">
        <v>109</v>
      </c>
      <c r="B429" t="s">
        <v>23</v>
      </c>
      <c r="C429" s="38">
        <v>34</v>
      </c>
      <c r="D429" s="7">
        <v>3354</v>
      </c>
      <c r="E429" s="38">
        <v>90</v>
      </c>
      <c r="F429" s="39">
        <v>4.1139999999999996E-3</v>
      </c>
      <c r="G429" t="s">
        <v>3</v>
      </c>
      <c r="H429" s="23" t="s">
        <v>91</v>
      </c>
      <c r="I429" s="23">
        <v>20</v>
      </c>
      <c r="J429" s="23">
        <v>68</v>
      </c>
      <c r="K429" s="8">
        <v>0.15</v>
      </c>
      <c r="L429" s="8">
        <v>0.85</v>
      </c>
      <c r="M429">
        <f t="shared" si="6"/>
        <v>1.5E-3</v>
      </c>
    </row>
    <row r="430" spans="1:13" x14ac:dyDescent="0.3">
      <c r="A430" s="23" t="s">
        <v>109</v>
      </c>
      <c r="B430" t="s">
        <v>24</v>
      </c>
      <c r="C430" s="38">
        <v>93</v>
      </c>
      <c r="D430" s="7">
        <v>6449</v>
      </c>
      <c r="E430" s="38">
        <v>186</v>
      </c>
      <c r="F430" s="39">
        <v>5.8250000000000003E-3</v>
      </c>
      <c r="G430" t="s">
        <v>0</v>
      </c>
      <c r="H430" s="23" t="s">
        <v>91</v>
      </c>
      <c r="I430" s="23">
        <v>22</v>
      </c>
      <c r="J430" s="23">
        <v>59</v>
      </c>
      <c r="K430" s="8">
        <v>0.47</v>
      </c>
      <c r="L430" s="8">
        <v>0.53</v>
      </c>
      <c r="M430">
        <f t="shared" si="6"/>
        <v>4.6999999999999993E-3</v>
      </c>
    </row>
    <row r="431" spans="1:13" x14ac:dyDescent="0.3">
      <c r="A431" s="23" t="s">
        <v>109</v>
      </c>
      <c r="B431" t="s">
        <v>24</v>
      </c>
      <c r="C431" s="38">
        <v>86</v>
      </c>
      <c r="D431" s="7">
        <v>1683</v>
      </c>
      <c r="E431" s="38">
        <v>164</v>
      </c>
      <c r="F431" s="39">
        <v>2.6819999999999999E-3</v>
      </c>
      <c r="G431" t="s">
        <v>1</v>
      </c>
      <c r="H431" s="23" t="s">
        <v>91</v>
      </c>
      <c r="I431" s="23">
        <v>16</v>
      </c>
      <c r="J431" s="23">
        <v>11</v>
      </c>
      <c r="K431" s="8">
        <v>0.83</v>
      </c>
      <c r="L431" s="8">
        <v>0.17000000000000004</v>
      </c>
      <c r="M431">
        <f t="shared" si="6"/>
        <v>8.3000000000000001E-3</v>
      </c>
    </row>
    <row r="432" spans="1:13" x14ac:dyDescent="0.3">
      <c r="A432" s="23" t="s">
        <v>109</v>
      </c>
      <c r="B432" t="s">
        <v>24</v>
      </c>
      <c r="C432" s="38">
        <v>103</v>
      </c>
      <c r="D432" s="7">
        <v>8267</v>
      </c>
      <c r="E432" s="38">
        <v>214</v>
      </c>
      <c r="F432" s="39">
        <v>2.9060000000000002E-3</v>
      </c>
      <c r="G432" t="s">
        <v>2</v>
      </c>
      <c r="H432" s="23" t="s">
        <v>91</v>
      </c>
      <c r="I432" s="23">
        <v>13</v>
      </c>
      <c r="J432" s="23">
        <v>57</v>
      </c>
      <c r="K432" s="8">
        <v>0.1</v>
      </c>
      <c r="L432" s="8">
        <v>0.9</v>
      </c>
      <c r="M432">
        <f t="shared" si="6"/>
        <v>1E-3</v>
      </c>
    </row>
    <row r="433" spans="1:13" x14ac:dyDescent="0.3">
      <c r="A433" s="23" t="s">
        <v>109</v>
      </c>
      <c r="B433" t="s">
        <v>24</v>
      </c>
      <c r="C433" s="38">
        <v>95</v>
      </c>
      <c r="D433" s="7">
        <v>3500</v>
      </c>
      <c r="E433" s="38">
        <v>192</v>
      </c>
      <c r="F433" s="39">
        <v>4.2240000000000003E-3</v>
      </c>
      <c r="G433" t="s">
        <v>3</v>
      </c>
      <c r="H433" s="23" t="s">
        <v>91</v>
      </c>
      <c r="I433" s="23">
        <v>13</v>
      </c>
      <c r="J433" s="23">
        <v>57</v>
      </c>
      <c r="K433" s="8">
        <v>0.49</v>
      </c>
      <c r="L433" s="8">
        <v>0.51</v>
      </c>
      <c r="M433">
        <f t="shared" si="6"/>
        <v>4.8999999999999998E-3</v>
      </c>
    </row>
    <row r="434" spans="1:13" x14ac:dyDescent="0.3">
      <c r="A434" s="23" t="s">
        <v>110</v>
      </c>
      <c r="B434" t="s">
        <v>19</v>
      </c>
      <c r="C434" s="38">
        <v>60</v>
      </c>
      <c r="D434" s="7">
        <v>60872</v>
      </c>
      <c r="E434" s="38">
        <v>296</v>
      </c>
      <c r="F434" s="39">
        <v>1.9070000000000001E-3</v>
      </c>
      <c r="G434" t="s">
        <v>0</v>
      </c>
      <c r="H434" s="23" t="s">
        <v>90</v>
      </c>
      <c r="I434" s="23">
        <v>21</v>
      </c>
      <c r="J434" s="23">
        <v>47</v>
      </c>
      <c r="K434" s="8">
        <v>0.7</v>
      </c>
      <c r="L434" s="8">
        <v>0.30000000000000004</v>
      </c>
      <c r="M434">
        <f t="shared" si="6"/>
        <v>6.9999999999999993E-3</v>
      </c>
    </row>
    <row r="435" spans="1:13" x14ac:dyDescent="0.3">
      <c r="A435" s="23" t="s">
        <v>110</v>
      </c>
      <c r="B435" t="s">
        <v>19</v>
      </c>
      <c r="C435" s="38">
        <v>349</v>
      </c>
      <c r="D435" s="7">
        <v>173848</v>
      </c>
      <c r="E435" s="38">
        <v>487</v>
      </c>
      <c r="F435" s="39">
        <v>2.447E-3</v>
      </c>
      <c r="G435" t="s">
        <v>1</v>
      </c>
      <c r="H435" s="23" t="s">
        <v>90</v>
      </c>
      <c r="I435" s="23">
        <v>7</v>
      </c>
      <c r="J435" s="23">
        <v>43</v>
      </c>
      <c r="K435" s="8">
        <v>0.35</v>
      </c>
      <c r="L435" s="8">
        <v>0.65</v>
      </c>
      <c r="M435">
        <f t="shared" si="6"/>
        <v>3.4999999999999996E-3</v>
      </c>
    </row>
    <row r="436" spans="1:13" x14ac:dyDescent="0.3">
      <c r="A436" s="23" t="s">
        <v>110</v>
      </c>
      <c r="B436" t="s">
        <v>19</v>
      </c>
      <c r="C436" s="38">
        <v>71</v>
      </c>
      <c r="D436" s="7">
        <v>62449</v>
      </c>
      <c r="E436" s="38">
        <v>355</v>
      </c>
      <c r="F436" s="39">
        <v>3.7239999999999999E-3</v>
      </c>
      <c r="G436" t="s">
        <v>2</v>
      </c>
      <c r="H436" s="23" t="s">
        <v>90</v>
      </c>
      <c r="I436" s="23">
        <v>18</v>
      </c>
      <c r="J436" s="23">
        <v>77</v>
      </c>
      <c r="K436" s="8">
        <v>0.79</v>
      </c>
      <c r="L436" s="8">
        <v>0.20999999999999996</v>
      </c>
      <c r="M436">
        <f t="shared" si="6"/>
        <v>7.9000000000000008E-3</v>
      </c>
    </row>
    <row r="437" spans="1:13" x14ac:dyDescent="0.3">
      <c r="A437" s="23" t="s">
        <v>110</v>
      </c>
      <c r="B437" t="s">
        <v>19</v>
      </c>
      <c r="C437" s="38">
        <v>361</v>
      </c>
      <c r="D437" s="7">
        <v>175426</v>
      </c>
      <c r="E437" s="38">
        <v>547</v>
      </c>
      <c r="F437" s="39">
        <v>5.8180000000000003E-3</v>
      </c>
      <c r="G437" t="s">
        <v>3</v>
      </c>
      <c r="H437" s="23" t="s">
        <v>90</v>
      </c>
      <c r="I437" s="23">
        <v>16</v>
      </c>
      <c r="J437" s="23">
        <v>58</v>
      </c>
      <c r="K437" s="8">
        <v>0.59</v>
      </c>
      <c r="L437" s="8">
        <v>0.41000000000000003</v>
      </c>
      <c r="M437">
        <f t="shared" si="6"/>
        <v>5.8999999999999999E-3</v>
      </c>
    </row>
    <row r="438" spans="1:13" x14ac:dyDescent="0.3">
      <c r="A438" s="23" t="s">
        <v>110</v>
      </c>
      <c r="B438" t="s">
        <v>20</v>
      </c>
      <c r="C438" s="38">
        <v>617</v>
      </c>
      <c r="D438" s="7">
        <v>89687</v>
      </c>
      <c r="E438" s="38">
        <v>989</v>
      </c>
      <c r="F438" s="39">
        <v>3.9370000000000004E-3</v>
      </c>
      <c r="G438" t="s">
        <v>0</v>
      </c>
      <c r="H438" s="23" t="s">
        <v>90</v>
      </c>
      <c r="I438" s="23">
        <v>22</v>
      </c>
      <c r="J438" s="23">
        <v>22</v>
      </c>
      <c r="K438" s="8">
        <v>0.11</v>
      </c>
      <c r="L438" s="8">
        <v>0.89</v>
      </c>
      <c r="M438">
        <f t="shared" si="6"/>
        <v>1.1000000000000001E-3</v>
      </c>
    </row>
    <row r="439" spans="1:13" x14ac:dyDescent="0.3">
      <c r="A439" s="23" t="s">
        <v>110</v>
      </c>
      <c r="B439" t="s">
        <v>20</v>
      </c>
      <c r="C439" s="38">
        <v>256</v>
      </c>
      <c r="D439" s="7">
        <v>21216</v>
      </c>
      <c r="E439" s="38">
        <v>524</v>
      </c>
      <c r="F439" s="39">
        <v>1.235E-3</v>
      </c>
      <c r="G439" t="s">
        <v>1</v>
      </c>
      <c r="H439" s="23" t="s">
        <v>90</v>
      </c>
      <c r="I439" s="23">
        <v>14</v>
      </c>
      <c r="J439" s="23">
        <v>68</v>
      </c>
      <c r="K439" s="8">
        <v>0.47</v>
      </c>
      <c r="L439" s="8">
        <v>0.53</v>
      </c>
      <c r="M439">
        <f t="shared" si="6"/>
        <v>4.6999999999999993E-3</v>
      </c>
    </row>
    <row r="440" spans="1:13" x14ac:dyDescent="0.3">
      <c r="A440" s="23" t="s">
        <v>110</v>
      </c>
      <c r="B440" t="s">
        <v>20</v>
      </c>
      <c r="C440" s="38">
        <v>575</v>
      </c>
      <c r="D440" s="7">
        <v>95304</v>
      </c>
      <c r="E440" s="38">
        <v>1139</v>
      </c>
      <c r="F440" s="39">
        <v>2.307E-3</v>
      </c>
      <c r="G440" t="s">
        <v>2</v>
      </c>
      <c r="H440" s="23" t="s">
        <v>90</v>
      </c>
      <c r="I440" s="23">
        <v>21</v>
      </c>
      <c r="J440" s="23">
        <v>46</v>
      </c>
      <c r="K440" s="8">
        <v>0.28000000000000003</v>
      </c>
      <c r="L440" s="8">
        <v>0.72</v>
      </c>
      <c r="M440">
        <f t="shared" si="6"/>
        <v>2.8000000000000004E-3</v>
      </c>
    </row>
    <row r="441" spans="1:13" x14ac:dyDescent="0.3">
      <c r="A441" s="23" t="s">
        <v>110</v>
      </c>
      <c r="B441" t="s">
        <v>20</v>
      </c>
      <c r="C441" s="38">
        <v>214</v>
      </c>
      <c r="D441" s="7">
        <v>26833</v>
      </c>
      <c r="E441" s="38">
        <v>674</v>
      </c>
      <c r="F441" s="39">
        <v>4.5510000000000004E-3</v>
      </c>
      <c r="G441" t="s">
        <v>3</v>
      </c>
      <c r="H441" s="23" t="s">
        <v>90</v>
      </c>
      <c r="I441" s="23">
        <v>6</v>
      </c>
      <c r="J441" s="23">
        <v>38</v>
      </c>
      <c r="K441" s="8">
        <v>0.66</v>
      </c>
      <c r="L441" s="8">
        <v>0.33999999999999997</v>
      </c>
      <c r="M441">
        <f t="shared" si="6"/>
        <v>6.6E-3</v>
      </c>
    </row>
    <row r="442" spans="1:13" x14ac:dyDescent="0.3">
      <c r="A442" s="23" t="s">
        <v>110</v>
      </c>
      <c r="B442" t="s">
        <v>22</v>
      </c>
      <c r="C442" s="38">
        <v>53</v>
      </c>
      <c r="D442" s="7">
        <v>224807</v>
      </c>
      <c r="E442" s="38">
        <v>135</v>
      </c>
      <c r="F442" s="39">
        <v>5.8900000000000001E-4</v>
      </c>
      <c r="G442" t="s">
        <v>0</v>
      </c>
      <c r="H442" s="23" t="s">
        <v>90</v>
      </c>
      <c r="I442" s="23">
        <v>12</v>
      </c>
      <c r="J442" s="23">
        <v>3</v>
      </c>
      <c r="K442" s="8">
        <v>0.61</v>
      </c>
      <c r="L442" s="8">
        <v>0.39</v>
      </c>
      <c r="M442">
        <f t="shared" si="6"/>
        <v>6.0999999999999995E-3</v>
      </c>
    </row>
    <row r="443" spans="1:13" x14ac:dyDescent="0.3">
      <c r="A443" s="23" t="s">
        <v>110</v>
      </c>
      <c r="B443" t="s">
        <v>22</v>
      </c>
      <c r="C443" s="38">
        <v>61</v>
      </c>
      <c r="D443" s="7">
        <v>27585</v>
      </c>
      <c r="E443" s="38">
        <v>86</v>
      </c>
      <c r="F443" s="39">
        <v>1.635E-3</v>
      </c>
      <c r="G443" t="s">
        <v>1</v>
      </c>
      <c r="H443" s="23" t="s">
        <v>90</v>
      </c>
      <c r="I443" s="23">
        <v>20</v>
      </c>
      <c r="J443" s="23">
        <v>57</v>
      </c>
      <c r="K443" s="8">
        <v>0.65</v>
      </c>
      <c r="L443" s="8">
        <v>0.35</v>
      </c>
      <c r="M443">
        <f t="shared" si="6"/>
        <v>6.5000000000000006E-3</v>
      </c>
    </row>
    <row r="444" spans="1:13" x14ac:dyDescent="0.3">
      <c r="A444" s="23" t="s">
        <v>110</v>
      </c>
      <c r="B444" t="s">
        <v>22</v>
      </c>
      <c r="C444" s="38">
        <v>24</v>
      </c>
      <c r="D444" s="7">
        <v>271131</v>
      </c>
      <c r="E444" s="38">
        <v>86</v>
      </c>
      <c r="F444" s="39">
        <v>1.449E-3</v>
      </c>
      <c r="G444" t="s">
        <v>2</v>
      </c>
      <c r="H444" s="23" t="s">
        <v>90</v>
      </c>
      <c r="I444" s="23">
        <v>16</v>
      </c>
      <c r="J444" s="23">
        <v>17</v>
      </c>
      <c r="K444" s="8">
        <v>0.55000000000000004</v>
      </c>
      <c r="L444" s="8">
        <v>0.44999999999999996</v>
      </c>
      <c r="M444">
        <f t="shared" si="6"/>
        <v>5.5000000000000005E-3</v>
      </c>
    </row>
    <row r="445" spans="1:13" x14ac:dyDescent="0.3">
      <c r="A445" s="23" t="s">
        <v>110</v>
      </c>
      <c r="B445" t="s">
        <v>22</v>
      </c>
      <c r="C445" s="38">
        <v>32</v>
      </c>
      <c r="D445" s="7">
        <v>73909</v>
      </c>
      <c r="E445" s="38">
        <v>38</v>
      </c>
      <c r="F445" s="39">
        <v>3.3739999999999998E-3</v>
      </c>
      <c r="G445" t="s">
        <v>3</v>
      </c>
      <c r="H445" s="23" t="s">
        <v>90</v>
      </c>
      <c r="I445" s="23">
        <v>1</v>
      </c>
      <c r="J445" s="23">
        <v>41</v>
      </c>
      <c r="K445" s="8">
        <v>0.74</v>
      </c>
      <c r="L445" s="8">
        <v>0.26</v>
      </c>
      <c r="M445">
        <f t="shared" si="6"/>
        <v>7.4000000000000003E-3</v>
      </c>
    </row>
    <row r="446" spans="1:13" x14ac:dyDescent="0.3">
      <c r="A446" s="23" t="s">
        <v>110</v>
      </c>
      <c r="B446" t="s">
        <v>21</v>
      </c>
      <c r="C446" s="38">
        <v>197</v>
      </c>
      <c r="D446" s="7">
        <v>19096</v>
      </c>
      <c r="E446" s="38">
        <v>210</v>
      </c>
      <c r="F446" s="39">
        <v>5.7600000000000001E-4</v>
      </c>
      <c r="G446" t="s">
        <v>0</v>
      </c>
      <c r="H446" s="23" t="s">
        <v>90</v>
      </c>
      <c r="I446" s="23">
        <v>18</v>
      </c>
      <c r="J446" s="23">
        <v>5</v>
      </c>
      <c r="K446" s="8">
        <v>0.31</v>
      </c>
      <c r="L446" s="8">
        <v>0.69</v>
      </c>
      <c r="M446">
        <f t="shared" si="6"/>
        <v>3.0999999999999999E-3</v>
      </c>
    </row>
    <row r="447" spans="1:13" x14ac:dyDescent="0.3">
      <c r="A447" s="23" t="s">
        <v>110</v>
      </c>
      <c r="B447" t="s">
        <v>21</v>
      </c>
      <c r="C447" s="38">
        <v>114</v>
      </c>
      <c r="D447" s="7">
        <v>17535</v>
      </c>
      <c r="E447" s="38">
        <v>336</v>
      </c>
      <c r="F447" s="39">
        <v>3.5669999999999999E-3</v>
      </c>
      <c r="G447" t="s">
        <v>1</v>
      </c>
      <c r="H447" s="23" t="s">
        <v>90</v>
      </c>
      <c r="I447" s="23">
        <v>6</v>
      </c>
      <c r="J447" s="23">
        <v>28</v>
      </c>
      <c r="K447" s="8">
        <v>0.54</v>
      </c>
      <c r="L447" s="8">
        <v>0.45999999999999996</v>
      </c>
      <c r="M447">
        <f t="shared" si="6"/>
        <v>5.4000000000000003E-3</v>
      </c>
    </row>
    <row r="448" spans="1:13" x14ac:dyDescent="0.3">
      <c r="A448" s="23" t="s">
        <v>110</v>
      </c>
      <c r="B448" t="s">
        <v>21</v>
      </c>
      <c r="C448" s="38">
        <v>111</v>
      </c>
      <c r="D448" s="7">
        <v>29667</v>
      </c>
      <c r="E448" s="38">
        <v>114</v>
      </c>
      <c r="F448" s="39">
        <v>4.2950000000000002E-3</v>
      </c>
      <c r="G448" t="s">
        <v>2</v>
      </c>
      <c r="H448" s="23" t="s">
        <v>90</v>
      </c>
      <c r="I448" s="23">
        <v>9</v>
      </c>
      <c r="J448" s="23">
        <v>6</v>
      </c>
      <c r="K448" s="8">
        <v>0.16</v>
      </c>
      <c r="L448" s="8">
        <v>0.84</v>
      </c>
      <c r="M448">
        <f t="shared" si="6"/>
        <v>1.6000000000000001E-3</v>
      </c>
    </row>
    <row r="449" spans="1:13" x14ac:dyDescent="0.3">
      <c r="A449" s="23" t="s">
        <v>110</v>
      </c>
      <c r="B449" t="s">
        <v>21</v>
      </c>
      <c r="C449" s="38">
        <v>27</v>
      </c>
      <c r="D449" s="7">
        <v>28106</v>
      </c>
      <c r="E449" s="38">
        <v>240</v>
      </c>
      <c r="F449" s="39">
        <v>3.6410000000000001E-3</v>
      </c>
      <c r="G449" t="s">
        <v>3</v>
      </c>
      <c r="H449" s="23" t="s">
        <v>90</v>
      </c>
      <c r="I449" s="23">
        <v>23</v>
      </c>
      <c r="J449" s="23">
        <v>67</v>
      </c>
      <c r="K449" s="8">
        <v>0.52</v>
      </c>
      <c r="L449" s="8">
        <v>0.48</v>
      </c>
      <c r="M449">
        <f t="shared" si="6"/>
        <v>5.1999999999999998E-3</v>
      </c>
    </row>
    <row r="450" spans="1:13" x14ac:dyDescent="0.3">
      <c r="A450" s="23" t="s">
        <v>110</v>
      </c>
      <c r="B450" t="s">
        <v>23</v>
      </c>
      <c r="C450" s="38">
        <v>65</v>
      </c>
      <c r="D450" s="7">
        <v>41961</v>
      </c>
      <c r="E450" s="38">
        <v>282</v>
      </c>
      <c r="F450" s="39">
        <v>1.7650000000000001E-3</v>
      </c>
      <c r="G450" t="s">
        <v>0</v>
      </c>
      <c r="H450" s="23" t="s">
        <v>90</v>
      </c>
      <c r="I450" s="23">
        <v>22</v>
      </c>
      <c r="J450" s="23">
        <v>20</v>
      </c>
      <c r="K450" s="8">
        <v>0.28000000000000003</v>
      </c>
      <c r="L450" s="8">
        <v>0.72</v>
      </c>
      <c r="M450">
        <f t="shared" si="6"/>
        <v>2.8000000000000004E-3</v>
      </c>
    </row>
    <row r="451" spans="1:13" x14ac:dyDescent="0.3">
      <c r="A451" s="23" t="s">
        <v>110</v>
      </c>
      <c r="B451" t="s">
        <v>23</v>
      </c>
      <c r="C451" s="38">
        <v>64</v>
      </c>
      <c r="D451" s="7">
        <v>49243</v>
      </c>
      <c r="E451" s="38">
        <v>161</v>
      </c>
      <c r="F451" s="39">
        <v>2.7320000000000001E-3</v>
      </c>
      <c r="G451" t="s">
        <v>1</v>
      </c>
      <c r="H451" s="23" t="s">
        <v>90</v>
      </c>
      <c r="I451" s="23">
        <v>17</v>
      </c>
      <c r="J451" s="23">
        <v>77</v>
      </c>
      <c r="K451" s="8">
        <v>0.65</v>
      </c>
      <c r="L451" s="8">
        <v>0.35</v>
      </c>
      <c r="M451">
        <f t="shared" ref="M451:M514" si="7">K451/100</f>
        <v>6.5000000000000006E-3</v>
      </c>
    </row>
    <row r="452" spans="1:13" x14ac:dyDescent="0.3">
      <c r="A452" s="23" t="s">
        <v>110</v>
      </c>
      <c r="B452" t="s">
        <v>23</v>
      </c>
      <c r="C452" s="38">
        <v>90</v>
      </c>
      <c r="D452" s="7">
        <v>53460</v>
      </c>
      <c r="E452" s="38">
        <v>148</v>
      </c>
      <c r="F452" s="39">
        <v>7.3300000000000004E-4</v>
      </c>
      <c r="G452" t="s">
        <v>2</v>
      </c>
      <c r="H452" s="23" t="s">
        <v>90</v>
      </c>
      <c r="I452" s="23">
        <v>4</v>
      </c>
      <c r="J452" s="23">
        <v>16</v>
      </c>
      <c r="K452" s="8">
        <v>0.72</v>
      </c>
      <c r="L452" s="8">
        <v>0.28000000000000003</v>
      </c>
      <c r="M452">
        <f t="shared" si="7"/>
        <v>7.1999999999999998E-3</v>
      </c>
    </row>
    <row r="453" spans="1:13" x14ac:dyDescent="0.3">
      <c r="A453" s="23" t="s">
        <v>110</v>
      </c>
      <c r="B453" t="s">
        <v>23</v>
      </c>
      <c r="C453" s="38">
        <v>89</v>
      </c>
      <c r="D453" s="7">
        <v>60742</v>
      </c>
      <c r="E453" s="38">
        <v>28</v>
      </c>
      <c r="F453" s="39">
        <v>3.2420000000000001E-3</v>
      </c>
      <c r="G453" t="s">
        <v>3</v>
      </c>
      <c r="H453" s="23" t="s">
        <v>90</v>
      </c>
      <c r="I453" s="23">
        <v>16</v>
      </c>
      <c r="J453" s="23">
        <v>11</v>
      </c>
      <c r="K453" s="8">
        <v>0.19</v>
      </c>
      <c r="L453" s="8">
        <v>0.81</v>
      </c>
      <c r="M453">
        <f t="shared" si="7"/>
        <v>1.9E-3</v>
      </c>
    </row>
    <row r="454" spans="1:13" x14ac:dyDescent="0.3">
      <c r="A454" s="23" t="s">
        <v>110</v>
      </c>
      <c r="B454" t="s">
        <v>24</v>
      </c>
      <c r="C454" s="38">
        <v>30</v>
      </c>
      <c r="D454" s="7">
        <v>33950</v>
      </c>
      <c r="E454" s="38">
        <v>71</v>
      </c>
      <c r="F454" s="39">
        <v>4.594E-3</v>
      </c>
      <c r="G454" t="s">
        <v>0</v>
      </c>
      <c r="H454" s="23" t="s">
        <v>90</v>
      </c>
      <c r="I454" s="23">
        <v>8</v>
      </c>
      <c r="J454" s="23">
        <v>2</v>
      </c>
      <c r="K454" s="8">
        <v>0.88</v>
      </c>
      <c r="L454" s="8">
        <v>0.12</v>
      </c>
      <c r="M454">
        <f t="shared" si="7"/>
        <v>8.8000000000000005E-3</v>
      </c>
    </row>
    <row r="455" spans="1:13" x14ac:dyDescent="0.3">
      <c r="A455" s="23" t="s">
        <v>110</v>
      </c>
      <c r="B455" t="s">
        <v>24</v>
      </c>
      <c r="C455" s="38">
        <v>48</v>
      </c>
      <c r="D455" s="7">
        <v>40485</v>
      </c>
      <c r="E455" s="38">
        <v>106</v>
      </c>
      <c r="F455" s="39">
        <v>5.0889999999999998E-3</v>
      </c>
      <c r="G455" t="s">
        <v>1</v>
      </c>
      <c r="H455" s="23" t="s">
        <v>90</v>
      </c>
      <c r="I455" s="23">
        <v>4</v>
      </c>
      <c r="J455" s="23">
        <v>67</v>
      </c>
      <c r="K455" s="8">
        <v>0.61</v>
      </c>
      <c r="L455" s="8">
        <v>0.39</v>
      </c>
      <c r="M455">
        <f t="shared" si="7"/>
        <v>6.0999999999999995E-3</v>
      </c>
    </row>
    <row r="456" spans="1:13" x14ac:dyDescent="0.3">
      <c r="A456" s="23" t="s">
        <v>110</v>
      </c>
      <c r="B456" t="s">
        <v>24</v>
      </c>
      <c r="C456" s="38">
        <v>16</v>
      </c>
      <c r="D456" s="7">
        <v>20924</v>
      </c>
      <c r="E456" s="38">
        <v>22</v>
      </c>
      <c r="F456" s="39">
        <v>2.1150000000000001E-3</v>
      </c>
      <c r="G456" t="s">
        <v>2</v>
      </c>
      <c r="H456" s="23" t="s">
        <v>90</v>
      </c>
      <c r="I456" s="23">
        <v>23</v>
      </c>
      <c r="J456" s="23">
        <v>24</v>
      </c>
      <c r="K456" s="8">
        <v>0.51</v>
      </c>
      <c r="L456" s="8">
        <v>0.49</v>
      </c>
      <c r="M456">
        <f t="shared" si="7"/>
        <v>5.1000000000000004E-3</v>
      </c>
    </row>
    <row r="457" spans="1:13" x14ac:dyDescent="0.3">
      <c r="A457" s="23" t="s">
        <v>110</v>
      </c>
      <c r="B457" t="s">
        <v>24</v>
      </c>
      <c r="C457" s="38">
        <v>33</v>
      </c>
      <c r="D457" s="7">
        <v>27459</v>
      </c>
      <c r="E457" s="38">
        <v>57</v>
      </c>
      <c r="F457" s="39">
        <v>3.4390000000000002E-3</v>
      </c>
      <c r="G457" t="s">
        <v>3</v>
      </c>
      <c r="H457" s="23" t="s">
        <v>90</v>
      </c>
      <c r="I457" s="23">
        <v>14</v>
      </c>
      <c r="J457" s="23">
        <v>15</v>
      </c>
      <c r="K457" s="8">
        <v>0.21</v>
      </c>
      <c r="L457" s="8">
        <v>0.79</v>
      </c>
      <c r="M457">
        <f t="shared" si="7"/>
        <v>2.0999999999999999E-3</v>
      </c>
    </row>
    <row r="458" spans="1:13" x14ac:dyDescent="0.3">
      <c r="A458" s="23" t="s">
        <v>110</v>
      </c>
      <c r="B458" t="s">
        <v>19</v>
      </c>
      <c r="C458" s="38">
        <v>375</v>
      </c>
      <c r="D458" s="7">
        <v>95395</v>
      </c>
      <c r="E458" s="38">
        <v>299</v>
      </c>
      <c r="F458" s="39">
        <v>4.333E-3</v>
      </c>
      <c r="G458" t="s">
        <v>0</v>
      </c>
      <c r="H458" s="23" t="s">
        <v>89</v>
      </c>
      <c r="I458" s="23">
        <v>16</v>
      </c>
      <c r="J458" s="23">
        <v>60</v>
      </c>
      <c r="K458" s="8">
        <v>0.84</v>
      </c>
      <c r="L458" s="8">
        <v>0.16000000000000003</v>
      </c>
      <c r="M458">
        <f t="shared" si="7"/>
        <v>8.3999999999999995E-3</v>
      </c>
    </row>
    <row r="459" spans="1:13" x14ac:dyDescent="0.3">
      <c r="A459" s="23" t="s">
        <v>110</v>
      </c>
      <c r="B459" t="s">
        <v>19</v>
      </c>
      <c r="C459" s="38">
        <v>244</v>
      </c>
      <c r="D459" s="7">
        <v>66592</v>
      </c>
      <c r="E459" s="38">
        <v>504</v>
      </c>
      <c r="F459" s="39">
        <v>3.2910000000000001E-3</v>
      </c>
      <c r="G459" t="s">
        <v>1</v>
      </c>
      <c r="H459" s="23" t="s">
        <v>89</v>
      </c>
      <c r="I459" s="23">
        <v>10</v>
      </c>
      <c r="J459" s="23">
        <v>54</v>
      </c>
      <c r="K459" s="8">
        <v>0.49</v>
      </c>
      <c r="L459" s="8">
        <v>0.51</v>
      </c>
      <c r="M459">
        <f t="shared" si="7"/>
        <v>4.8999999999999998E-3</v>
      </c>
    </row>
    <row r="460" spans="1:13" x14ac:dyDescent="0.3">
      <c r="A460" s="23" t="s">
        <v>110</v>
      </c>
      <c r="B460" t="s">
        <v>19</v>
      </c>
      <c r="C460" s="38">
        <v>227</v>
      </c>
      <c r="D460" s="7">
        <v>89095</v>
      </c>
      <c r="E460" s="38">
        <v>440</v>
      </c>
      <c r="F460" s="39">
        <v>1.207E-3</v>
      </c>
      <c r="G460" t="s">
        <v>2</v>
      </c>
      <c r="H460" s="23" t="s">
        <v>89</v>
      </c>
      <c r="I460" s="23">
        <v>8</v>
      </c>
      <c r="J460" s="23">
        <v>63</v>
      </c>
      <c r="K460" s="8">
        <v>0.17</v>
      </c>
      <c r="L460" s="8">
        <v>0.83</v>
      </c>
      <c r="M460">
        <f t="shared" si="7"/>
        <v>1.7000000000000001E-3</v>
      </c>
    </row>
    <row r="461" spans="1:13" x14ac:dyDescent="0.3">
      <c r="A461" s="23" t="s">
        <v>110</v>
      </c>
      <c r="B461" t="s">
        <v>19</v>
      </c>
      <c r="C461" s="38">
        <v>96</v>
      </c>
      <c r="D461" s="7">
        <v>60292</v>
      </c>
      <c r="E461" s="38">
        <v>645</v>
      </c>
      <c r="F461" s="39">
        <v>4.3889999999999997E-3</v>
      </c>
      <c r="G461" t="s">
        <v>3</v>
      </c>
      <c r="H461" s="23" t="s">
        <v>89</v>
      </c>
      <c r="I461" s="23">
        <v>5</v>
      </c>
      <c r="J461" s="23">
        <v>52</v>
      </c>
      <c r="K461" s="8">
        <v>0.51</v>
      </c>
      <c r="L461" s="8">
        <v>0.49</v>
      </c>
      <c r="M461">
        <f t="shared" si="7"/>
        <v>5.1000000000000004E-3</v>
      </c>
    </row>
    <row r="462" spans="1:13" x14ac:dyDescent="0.3">
      <c r="A462" s="23" t="s">
        <v>110</v>
      </c>
      <c r="B462" t="s">
        <v>20</v>
      </c>
      <c r="C462" s="38">
        <v>1047</v>
      </c>
      <c r="D462" s="7">
        <v>19275</v>
      </c>
      <c r="E462" s="38">
        <v>1661</v>
      </c>
      <c r="F462" s="39">
        <v>1.273E-3</v>
      </c>
      <c r="G462" t="s">
        <v>0</v>
      </c>
      <c r="H462" s="23" t="s">
        <v>89</v>
      </c>
      <c r="I462" s="23">
        <v>7</v>
      </c>
      <c r="J462" s="23">
        <v>36</v>
      </c>
      <c r="K462" s="8">
        <v>0.24</v>
      </c>
      <c r="L462" s="8">
        <v>0.76</v>
      </c>
      <c r="M462">
        <f t="shared" si="7"/>
        <v>2.3999999999999998E-3</v>
      </c>
    </row>
    <row r="463" spans="1:13" x14ac:dyDescent="0.3">
      <c r="A463" s="23" t="s">
        <v>110</v>
      </c>
      <c r="B463" t="s">
        <v>20</v>
      </c>
      <c r="C463" s="38">
        <v>355</v>
      </c>
      <c r="D463" s="7">
        <v>69203</v>
      </c>
      <c r="E463" s="38">
        <v>2739</v>
      </c>
      <c r="F463" s="39">
        <v>4.2519999999999997E-3</v>
      </c>
      <c r="G463" t="s">
        <v>1</v>
      </c>
      <c r="H463" s="23" t="s">
        <v>89</v>
      </c>
      <c r="I463" s="23">
        <v>19</v>
      </c>
      <c r="J463" s="23">
        <v>21</v>
      </c>
      <c r="K463" s="8">
        <v>0.39</v>
      </c>
      <c r="L463" s="8">
        <v>0.61</v>
      </c>
      <c r="M463">
        <f t="shared" si="7"/>
        <v>3.9000000000000003E-3</v>
      </c>
    </row>
    <row r="464" spans="1:13" x14ac:dyDescent="0.3">
      <c r="A464" s="23" t="s">
        <v>110</v>
      </c>
      <c r="B464" t="s">
        <v>20</v>
      </c>
      <c r="C464" s="38">
        <v>1344</v>
      </c>
      <c r="D464" s="7">
        <v>7567</v>
      </c>
      <c r="E464" s="38">
        <v>661</v>
      </c>
      <c r="F464" s="39">
        <v>4.2360000000000002E-3</v>
      </c>
      <c r="G464" t="s">
        <v>2</v>
      </c>
      <c r="H464" s="23" t="s">
        <v>89</v>
      </c>
      <c r="I464" s="23">
        <v>17</v>
      </c>
      <c r="J464" s="23">
        <v>52</v>
      </c>
      <c r="K464" s="8">
        <v>0.14000000000000001</v>
      </c>
      <c r="L464" s="8">
        <v>0.86</v>
      </c>
      <c r="M464">
        <f t="shared" si="7"/>
        <v>1.4000000000000002E-3</v>
      </c>
    </row>
    <row r="465" spans="1:13" x14ac:dyDescent="0.3">
      <c r="A465" s="23" t="s">
        <v>110</v>
      </c>
      <c r="B465" t="s">
        <v>20</v>
      </c>
      <c r="C465" s="38">
        <v>653</v>
      </c>
      <c r="D465" s="7">
        <v>57495</v>
      </c>
      <c r="E465" s="38">
        <v>1739</v>
      </c>
      <c r="F465" s="39">
        <v>1.8879999999999999E-3</v>
      </c>
      <c r="G465" t="s">
        <v>3</v>
      </c>
      <c r="H465" s="23" t="s">
        <v>89</v>
      </c>
      <c r="I465" s="23">
        <v>15</v>
      </c>
      <c r="J465" s="23">
        <v>77</v>
      </c>
      <c r="K465" s="8">
        <v>0.65</v>
      </c>
      <c r="L465" s="8">
        <v>0.35</v>
      </c>
      <c r="M465">
        <f t="shared" si="7"/>
        <v>6.5000000000000006E-3</v>
      </c>
    </row>
    <row r="466" spans="1:13" x14ac:dyDescent="0.3">
      <c r="A466" s="23" t="s">
        <v>110</v>
      </c>
      <c r="B466" t="s">
        <v>22</v>
      </c>
      <c r="C466" s="38">
        <v>73</v>
      </c>
      <c r="D466" s="7">
        <v>68493</v>
      </c>
      <c r="E466" s="38">
        <v>104</v>
      </c>
      <c r="F466" s="39">
        <v>4.1489999999999999E-3</v>
      </c>
      <c r="G466" t="s">
        <v>0</v>
      </c>
      <c r="H466" s="23" t="s">
        <v>89</v>
      </c>
      <c r="I466" s="23">
        <v>2</v>
      </c>
      <c r="J466" s="23">
        <v>41</v>
      </c>
      <c r="K466" s="8">
        <v>0.44</v>
      </c>
      <c r="L466" s="8">
        <v>0.56000000000000005</v>
      </c>
      <c r="M466">
        <f t="shared" si="7"/>
        <v>4.4000000000000003E-3</v>
      </c>
    </row>
    <row r="467" spans="1:13" x14ac:dyDescent="0.3">
      <c r="A467" s="23" t="s">
        <v>110</v>
      </c>
      <c r="B467" t="s">
        <v>22</v>
      </c>
      <c r="C467" s="38">
        <v>32</v>
      </c>
      <c r="D467" s="7">
        <v>22560</v>
      </c>
      <c r="E467" s="38">
        <v>210</v>
      </c>
      <c r="F467" s="39">
        <v>4.7829999999999999E-3</v>
      </c>
      <c r="G467" t="s">
        <v>1</v>
      </c>
      <c r="H467" s="23" t="s">
        <v>89</v>
      </c>
      <c r="I467" s="23">
        <v>4</v>
      </c>
      <c r="J467" s="23">
        <v>16</v>
      </c>
      <c r="K467" s="8">
        <v>0.22</v>
      </c>
      <c r="L467" s="8">
        <v>0.78</v>
      </c>
      <c r="M467">
        <f t="shared" si="7"/>
        <v>2.2000000000000001E-3</v>
      </c>
    </row>
    <row r="468" spans="1:13" x14ac:dyDescent="0.3">
      <c r="A468" s="23" t="s">
        <v>110</v>
      </c>
      <c r="B468" t="s">
        <v>22</v>
      </c>
      <c r="C468" s="38">
        <v>136</v>
      </c>
      <c r="D468" s="7">
        <v>174252</v>
      </c>
      <c r="E468" s="38">
        <v>127</v>
      </c>
      <c r="F468" s="39">
        <v>2.1519999999999998E-3</v>
      </c>
      <c r="G468" t="s">
        <v>2</v>
      </c>
      <c r="H468" s="23" t="s">
        <v>89</v>
      </c>
      <c r="I468" s="23">
        <v>15</v>
      </c>
      <c r="J468" s="23">
        <v>9</v>
      </c>
      <c r="K468" s="8">
        <v>0.68</v>
      </c>
      <c r="L468" s="8">
        <v>0.31999999999999995</v>
      </c>
      <c r="M468">
        <f t="shared" si="7"/>
        <v>6.8000000000000005E-3</v>
      </c>
    </row>
    <row r="469" spans="1:13" x14ac:dyDescent="0.3">
      <c r="A469" s="23" t="s">
        <v>110</v>
      </c>
      <c r="B469" t="s">
        <v>22</v>
      </c>
      <c r="C469" s="38">
        <v>95</v>
      </c>
      <c r="D469" s="7">
        <v>128319</v>
      </c>
      <c r="E469" s="38">
        <v>232</v>
      </c>
      <c r="F469" s="39">
        <v>5.574E-3</v>
      </c>
      <c r="G469" t="s">
        <v>3</v>
      </c>
      <c r="H469" s="23" t="s">
        <v>89</v>
      </c>
      <c r="I469" s="23">
        <v>9</v>
      </c>
      <c r="J469" s="23">
        <v>67</v>
      </c>
      <c r="K469" s="8">
        <v>0.22</v>
      </c>
      <c r="L469" s="8">
        <v>0.78</v>
      </c>
      <c r="M469">
        <f t="shared" si="7"/>
        <v>2.2000000000000001E-3</v>
      </c>
    </row>
    <row r="470" spans="1:13" x14ac:dyDescent="0.3">
      <c r="A470" s="23" t="s">
        <v>110</v>
      </c>
      <c r="B470" t="s">
        <v>21</v>
      </c>
      <c r="C470" s="38">
        <v>375</v>
      </c>
      <c r="D470" s="7">
        <v>17438</v>
      </c>
      <c r="E470" s="38">
        <v>543</v>
      </c>
      <c r="F470" s="39">
        <v>4.9950000000000003E-3</v>
      </c>
      <c r="G470" t="s">
        <v>0</v>
      </c>
      <c r="H470" s="23" t="s">
        <v>89</v>
      </c>
      <c r="I470" s="23">
        <v>21</v>
      </c>
      <c r="J470" s="23">
        <v>69</v>
      </c>
      <c r="K470" s="8">
        <v>0.62</v>
      </c>
      <c r="L470" s="8">
        <v>0.38</v>
      </c>
      <c r="M470">
        <f t="shared" si="7"/>
        <v>6.1999999999999998E-3</v>
      </c>
    </row>
    <row r="471" spans="1:13" x14ac:dyDescent="0.3">
      <c r="A471" s="23" t="s">
        <v>110</v>
      </c>
      <c r="B471" t="s">
        <v>21</v>
      </c>
      <c r="C471" s="38">
        <v>400</v>
      </c>
      <c r="D471" s="7">
        <v>16902</v>
      </c>
      <c r="E471" s="38">
        <v>294</v>
      </c>
      <c r="F471" s="39">
        <v>4.3290000000000004E-3</v>
      </c>
      <c r="G471" t="s">
        <v>1</v>
      </c>
      <c r="H471" s="23" t="s">
        <v>89</v>
      </c>
      <c r="I471" s="23">
        <v>2</v>
      </c>
      <c r="J471" s="23">
        <v>50</v>
      </c>
      <c r="K471" s="8">
        <v>0.75</v>
      </c>
      <c r="L471" s="8">
        <v>0.25</v>
      </c>
      <c r="M471">
        <f t="shared" si="7"/>
        <v>7.4999999999999997E-3</v>
      </c>
    </row>
    <row r="472" spans="1:13" x14ac:dyDescent="0.3">
      <c r="A472" s="23" t="s">
        <v>110</v>
      </c>
      <c r="B472" t="s">
        <v>21</v>
      </c>
      <c r="C472" s="38">
        <v>139</v>
      </c>
      <c r="D472" s="7">
        <v>14197</v>
      </c>
      <c r="E472" s="38">
        <v>785</v>
      </c>
      <c r="F472" s="39">
        <v>5.9900000000000003E-4</v>
      </c>
      <c r="G472" t="s">
        <v>2</v>
      </c>
      <c r="H472" s="23" t="s">
        <v>89</v>
      </c>
      <c r="I472" s="23">
        <v>3</v>
      </c>
      <c r="J472" s="23">
        <v>12</v>
      </c>
      <c r="K472" s="8">
        <v>0.7</v>
      </c>
      <c r="L472" s="8">
        <v>0.30000000000000004</v>
      </c>
      <c r="M472">
        <f t="shared" si="7"/>
        <v>6.9999999999999993E-3</v>
      </c>
    </row>
    <row r="473" spans="1:13" x14ac:dyDescent="0.3">
      <c r="A473" s="23" t="s">
        <v>110</v>
      </c>
      <c r="B473" t="s">
        <v>21</v>
      </c>
      <c r="C473" s="38">
        <v>164</v>
      </c>
      <c r="D473" s="7">
        <v>13661</v>
      </c>
      <c r="E473" s="38">
        <v>536</v>
      </c>
      <c r="F473" s="39">
        <v>4.6109999999999996E-3</v>
      </c>
      <c r="G473" t="s">
        <v>3</v>
      </c>
      <c r="H473" s="23" t="s">
        <v>89</v>
      </c>
      <c r="I473" s="23">
        <v>21</v>
      </c>
      <c r="J473" s="23">
        <v>17</v>
      </c>
      <c r="K473" s="8">
        <v>0.44</v>
      </c>
      <c r="L473" s="8">
        <v>0.56000000000000005</v>
      </c>
      <c r="M473">
        <f t="shared" si="7"/>
        <v>4.4000000000000003E-3</v>
      </c>
    </row>
    <row r="474" spans="1:13" x14ac:dyDescent="0.3">
      <c r="A474" s="23" t="s">
        <v>110</v>
      </c>
      <c r="B474" t="s">
        <v>23</v>
      </c>
      <c r="C474" s="38">
        <v>181</v>
      </c>
      <c r="D474" s="7">
        <v>45855</v>
      </c>
      <c r="E474" s="38">
        <v>320</v>
      </c>
      <c r="F474" s="39">
        <v>3.2260000000000001E-3</v>
      </c>
      <c r="G474" t="s">
        <v>0</v>
      </c>
      <c r="H474" s="23" t="s">
        <v>89</v>
      </c>
      <c r="I474" s="23">
        <v>21</v>
      </c>
      <c r="J474" s="23">
        <v>1</v>
      </c>
      <c r="K474" s="8">
        <v>0.88</v>
      </c>
      <c r="L474" s="8">
        <v>0.12</v>
      </c>
      <c r="M474">
        <f t="shared" si="7"/>
        <v>8.8000000000000005E-3</v>
      </c>
    </row>
    <row r="475" spans="1:13" x14ac:dyDescent="0.3">
      <c r="A475" s="23" t="s">
        <v>110</v>
      </c>
      <c r="B475" t="s">
        <v>23</v>
      </c>
      <c r="C475" s="38">
        <v>112</v>
      </c>
      <c r="D475" s="7">
        <v>40103</v>
      </c>
      <c r="E475" s="38">
        <v>283</v>
      </c>
      <c r="F475" s="39">
        <v>2.0600000000000002E-3</v>
      </c>
      <c r="G475" t="s">
        <v>1</v>
      </c>
      <c r="H475" s="23" t="s">
        <v>89</v>
      </c>
      <c r="I475" s="23">
        <v>11</v>
      </c>
      <c r="J475" s="23">
        <v>61</v>
      </c>
      <c r="K475" s="8">
        <v>0.44</v>
      </c>
      <c r="L475" s="8">
        <v>0.56000000000000005</v>
      </c>
      <c r="M475">
        <f t="shared" si="7"/>
        <v>4.4000000000000003E-3</v>
      </c>
    </row>
    <row r="476" spans="1:13" x14ac:dyDescent="0.3">
      <c r="A476" s="23" t="s">
        <v>110</v>
      </c>
      <c r="B476" t="s">
        <v>23</v>
      </c>
      <c r="C476" s="38">
        <v>159</v>
      </c>
      <c r="D476" s="7">
        <v>27564</v>
      </c>
      <c r="E476" s="38">
        <v>260</v>
      </c>
      <c r="F476" s="39">
        <v>1.709E-3</v>
      </c>
      <c r="G476" t="s">
        <v>2</v>
      </c>
      <c r="H476" s="23" t="s">
        <v>89</v>
      </c>
      <c r="I476" s="23">
        <v>22</v>
      </c>
      <c r="J476" s="23">
        <v>47</v>
      </c>
      <c r="K476" s="8">
        <v>0.66</v>
      </c>
      <c r="L476" s="8">
        <v>0.33999999999999997</v>
      </c>
      <c r="M476">
        <f t="shared" si="7"/>
        <v>6.6E-3</v>
      </c>
    </row>
    <row r="477" spans="1:13" x14ac:dyDescent="0.3">
      <c r="A477" s="23" t="s">
        <v>110</v>
      </c>
      <c r="B477" t="s">
        <v>23</v>
      </c>
      <c r="C477" s="38">
        <v>90</v>
      </c>
      <c r="D477" s="7">
        <v>21812</v>
      </c>
      <c r="E477" s="38">
        <v>223</v>
      </c>
      <c r="F477" s="39">
        <v>2.8140000000000001E-3</v>
      </c>
      <c r="G477" t="s">
        <v>3</v>
      </c>
      <c r="H477" s="23" t="s">
        <v>89</v>
      </c>
      <c r="I477" s="23">
        <v>18</v>
      </c>
      <c r="J477" s="23">
        <v>40</v>
      </c>
      <c r="K477" s="8">
        <v>0.52</v>
      </c>
      <c r="L477" s="8">
        <v>0.48</v>
      </c>
      <c r="M477">
        <f t="shared" si="7"/>
        <v>5.1999999999999998E-3</v>
      </c>
    </row>
    <row r="478" spans="1:13" x14ac:dyDescent="0.3">
      <c r="A478" s="23" t="s">
        <v>110</v>
      </c>
      <c r="B478" t="s">
        <v>24</v>
      </c>
      <c r="C478" s="38">
        <v>48</v>
      </c>
      <c r="D478" s="7">
        <v>20313</v>
      </c>
      <c r="E478" s="38">
        <v>104</v>
      </c>
      <c r="F478" s="39">
        <v>1.2030000000000001E-3</v>
      </c>
      <c r="G478" t="s">
        <v>0</v>
      </c>
      <c r="H478" s="23" t="s">
        <v>89</v>
      </c>
      <c r="I478" s="23">
        <v>19</v>
      </c>
      <c r="J478" s="23">
        <v>37</v>
      </c>
      <c r="K478" s="8">
        <v>0.17</v>
      </c>
      <c r="L478" s="8">
        <v>0.83</v>
      </c>
      <c r="M478">
        <f t="shared" si="7"/>
        <v>1.7000000000000001E-3</v>
      </c>
    </row>
    <row r="479" spans="1:13" x14ac:dyDescent="0.3">
      <c r="A479" s="23" t="s">
        <v>110</v>
      </c>
      <c r="B479" t="s">
        <v>24</v>
      </c>
      <c r="C479" s="38">
        <v>64</v>
      </c>
      <c r="D479" s="7">
        <v>18221</v>
      </c>
      <c r="E479" s="38">
        <v>60</v>
      </c>
      <c r="F479" s="39">
        <v>1.8710000000000001E-3</v>
      </c>
      <c r="G479" t="s">
        <v>1</v>
      </c>
      <c r="H479" s="23" t="s">
        <v>89</v>
      </c>
      <c r="I479" s="23">
        <v>20</v>
      </c>
      <c r="J479" s="23">
        <v>75</v>
      </c>
      <c r="K479" s="8">
        <v>0.68</v>
      </c>
      <c r="L479" s="8">
        <v>0.31999999999999995</v>
      </c>
      <c r="M479">
        <f t="shared" si="7"/>
        <v>6.8000000000000005E-3</v>
      </c>
    </row>
    <row r="480" spans="1:13" x14ac:dyDescent="0.3">
      <c r="A480" s="23" t="s">
        <v>110</v>
      </c>
      <c r="B480" t="s">
        <v>24</v>
      </c>
      <c r="C480" s="38">
        <v>19</v>
      </c>
      <c r="D480" s="7">
        <v>22239</v>
      </c>
      <c r="E480" s="38">
        <v>106</v>
      </c>
      <c r="F480" s="39">
        <v>7.6599999999999997E-4</v>
      </c>
      <c r="G480" t="s">
        <v>2</v>
      </c>
      <c r="H480" s="23" t="s">
        <v>89</v>
      </c>
      <c r="I480" s="23">
        <v>17</v>
      </c>
      <c r="J480" s="23">
        <v>40</v>
      </c>
      <c r="K480" s="8">
        <v>0.34</v>
      </c>
      <c r="L480" s="8">
        <v>0.65999999999999992</v>
      </c>
      <c r="M480">
        <f t="shared" si="7"/>
        <v>3.4000000000000002E-3</v>
      </c>
    </row>
    <row r="481" spans="1:13" x14ac:dyDescent="0.3">
      <c r="A481" s="23" t="s">
        <v>110</v>
      </c>
      <c r="B481" t="s">
        <v>24</v>
      </c>
      <c r="C481" s="38">
        <v>35</v>
      </c>
      <c r="D481" s="7">
        <v>20146</v>
      </c>
      <c r="E481" s="38">
        <v>63</v>
      </c>
      <c r="F481" s="39">
        <v>5.62E-3</v>
      </c>
      <c r="G481" t="s">
        <v>3</v>
      </c>
      <c r="H481" s="23" t="s">
        <v>89</v>
      </c>
      <c r="I481" s="23">
        <v>6</v>
      </c>
      <c r="J481" s="23">
        <v>73</v>
      </c>
      <c r="K481" s="8">
        <v>0.28000000000000003</v>
      </c>
      <c r="L481" s="8">
        <v>0.72</v>
      </c>
      <c r="M481">
        <f t="shared" si="7"/>
        <v>2.8000000000000004E-3</v>
      </c>
    </row>
    <row r="482" spans="1:13" x14ac:dyDescent="0.3">
      <c r="A482" s="23" t="s">
        <v>110</v>
      </c>
      <c r="B482" t="s">
        <v>19</v>
      </c>
      <c r="C482" s="38">
        <v>442</v>
      </c>
      <c r="D482" s="7">
        <v>31436</v>
      </c>
      <c r="E482" s="38">
        <v>257</v>
      </c>
      <c r="F482" s="39">
        <v>5.0899999999999999E-3</v>
      </c>
      <c r="G482" t="s">
        <v>0</v>
      </c>
      <c r="H482" s="23" t="s">
        <v>91</v>
      </c>
      <c r="I482" s="23">
        <v>3</v>
      </c>
      <c r="J482" s="23">
        <v>58</v>
      </c>
      <c r="K482" s="8">
        <v>0.63</v>
      </c>
      <c r="L482" s="8">
        <v>0.37</v>
      </c>
      <c r="M482">
        <f t="shared" si="7"/>
        <v>6.3E-3</v>
      </c>
    </row>
    <row r="483" spans="1:13" x14ac:dyDescent="0.3">
      <c r="A483" s="23" t="s">
        <v>110</v>
      </c>
      <c r="B483" t="s">
        <v>19</v>
      </c>
      <c r="C483" s="38">
        <v>373</v>
      </c>
      <c r="D483" s="7">
        <v>65656</v>
      </c>
      <c r="E483" s="38">
        <v>670</v>
      </c>
      <c r="F483" s="39">
        <v>2.2260000000000001E-3</v>
      </c>
      <c r="G483" t="s">
        <v>1</v>
      </c>
      <c r="H483" s="23" t="s">
        <v>91</v>
      </c>
      <c r="I483" s="23">
        <v>10</v>
      </c>
      <c r="J483" s="23">
        <v>63</v>
      </c>
      <c r="K483" s="8">
        <v>0.35</v>
      </c>
      <c r="L483" s="8">
        <v>0.65</v>
      </c>
      <c r="M483">
        <f t="shared" si="7"/>
        <v>3.4999999999999996E-3</v>
      </c>
    </row>
    <row r="484" spans="1:13" x14ac:dyDescent="0.3">
      <c r="A484" s="23" t="s">
        <v>110</v>
      </c>
      <c r="B484" t="s">
        <v>19</v>
      </c>
      <c r="C484" s="38">
        <v>225</v>
      </c>
      <c r="D484" s="7">
        <v>56048</v>
      </c>
      <c r="E484" s="38">
        <v>528</v>
      </c>
      <c r="F484" s="39">
        <v>4.0879999999999996E-3</v>
      </c>
      <c r="G484" t="s">
        <v>2</v>
      </c>
      <c r="H484" s="23" t="s">
        <v>91</v>
      </c>
      <c r="I484" s="23">
        <v>4</v>
      </c>
      <c r="J484" s="23">
        <v>62</v>
      </c>
      <c r="K484" s="8">
        <v>0.61</v>
      </c>
      <c r="L484" s="8">
        <v>0.39</v>
      </c>
      <c r="M484">
        <f t="shared" si="7"/>
        <v>6.0999999999999995E-3</v>
      </c>
    </row>
    <row r="485" spans="1:13" x14ac:dyDescent="0.3">
      <c r="A485" s="23" t="s">
        <v>110</v>
      </c>
      <c r="B485" t="s">
        <v>19</v>
      </c>
      <c r="C485" s="38">
        <v>156</v>
      </c>
      <c r="D485" s="7">
        <v>90269</v>
      </c>
      <c r="E485" s="38">
        <v>941</v>
      </c>
      <c r="F485" s="39">
        <v>6.2100000000000002E-4</v>
      </c>
      <c r="G485" t="s">
        <v>3</v>
      </c>
      <c r="H485" s="23" t="s">
        <v>91</v>
      </c>
      <c r="I485" s="23">
        <v>1</v>
      </c>
      <c r="J485" s="23">
        <v>54</v>
      </c>
      <c r="K485" s="8">
        <v>0.59</v>
      </c>
      <c r="L485" s="8">
        <v>0.41000000000000003</v>
      </c>
      <c r="M485">
        <f t="shared" si="7"/>
        <v>5.8999999999999999E-3</v>
      </c>
    </row>
    <row r="486" spans="1:13" x14ac:dyDescent="0.3">
      <c r="A486" s="23" t="s">
        <v>110</v>
      </c>
      <c r="B486" t="s">
        <v>20</v>
      </c>
      <c r="C486" s="38">
        <v>145</v>
      </c>
      <c r="D486" s="7">
        <v>39526</v>
      </c>
      <c r="E486" s="38">
        <v>1299</v>
      </c>
      <c r="F486" s="39">
        <v>1.408E-3</v>
      </c>
      <c r="G486" t="s">
        <v>0</v>
      </c>
      <c r="H486" s="23" t="s">
        <v>91</v>
      </c>
      <c r="I486" s="23">
        <v>17</v>
      </c>
      <c r="J486" s="23">
        <v>33</v>
      </c>
      <c r="K486" s="8">
        <v>0.41</v>
      </c>
      <c r="L486" s="8">
        <v>0.59000000000000008</v>
      </c>
      <c r="M486">
        <f t="shared" si="7"/>
        <v>4.0999999999999995E-3</v>
      </c>
    </row>
    <row r="487" spans="1:13" x14ac:dyDescent="0.3">
      <c r="A487" s="23" t="s">
        <v>110</v>
      </c>
      <c r="B487" t="s">
        <v>20</v>
      </c>
      <c r="C487" s="38">
        <v>81</v>
      </c>
      <c r="D487" s="7">
        <v>26114</v>
      </c>
      <c r="E487" s="38">
        <v>965</v>
      </c>
      <c r="F487" s="39">
        <v>3.009E-3</v>
      </c>
      <c r="G487" t="s">
        <v>1</v>
      </c>
      <c r="H487" s="23" t="s">
        <v>91</v>
      </c>
      <c r="I487" s="23">
        <v>21</v>
      </c>
      <c r="J487" s="23">
        <v>15</v>
      </c>
      <c r="K487" s="8">
        <v>0.64</v>
      </c>
      <c r="L487" s="8">
        <v>0.36</v>
      </c>
      <c r="M487">
        <f t="shared" si="7"/>
        <v>6.4000000000000003E-3</v>
      </c>
    </row>
    <row r="488" spans="1:13" x14ac:dyDescent="0.3">
      <c r="A488" s="23" t="s">
        <v>110</v>
      </c>
      <c r="B488" t="s">
        <v>20</v>
      </c>
      <c r="C488" s="38">
        <v>695</v>
      </c>
      <c r="D488" s="7">
        <v>33899</v>
      </c>
      <c r="E488" s="38">
        <v>587</v>
      </c>
      <c r="F488" s="39">
        <v>2.1580000000000002E-3</v>
      </c>
      <c r="G488" t="s">
        <v>2</v>
      </c>
      <c r="H488" s="23" t="s">
        <v>91</v>
      </c>
      <c r="I488" s="23">
        <v>10</v>
      </c>
      <c r="J488" s="23">
        <v>29</v>
      </c>
      <c r="K488" s="8">
        <v>0.39</v>
      </c>
      <c r="L488" s="8">
        <v>0.61</v>
      </c>
      <c r="M488">
        <f t="shared" si="7"/>
        <v>3.9000000000000003E-3</v>
      </c>
    </row>
    <row r="489" spans="1:13" x14ac:dyDescent="0.3">
      <c r="A489" s="23" t="s">
        <v>110</v>
      </c>
      <c r="B489" t="s">
        <v>20</v>
      </c>
      <c r="C489" s="38">
        <v>631</v>
      </c>
      <c r="D489" s="7">
        <v>20487</v>
      </c>
      <c r="E489" s="38">
        <v>254</v>
      </c>
      <c r="F489" s="39">
        <v>4.4419999999999998E-3</v>
      </c>
      <c r="G489" t="s">
        <v>3</v>
      </c>
      <c r="H489" s="23" t="s">
        <v>91</v>
      </c>
      <c r="I489" s="23">
        <v>17</v>
      </c>
      <c r="J489" s="23">
        <v>56</v>
      </c>
      <c r="K489" s="8">
        <v>0.61</v>
      </c>
      <c r="L489" s="8">
        <v>0.39</v>
      </c>
      <c r="M489">
        <f t="shared" si="7"/>
        <v>6.0999999999999995E-3</v>
      </c>
    </row>
    <row r="490" spans="1:13" x14ac:dyDescent="0.3">
      <c r="A490" s="23" t="s">
        <v>110</v>
      </c>
      <c r="B490" t="s">
        <v>22</v>
      </c>
      <c r="C490" s="38">
        <v>59</v>
      </c>
      <c r="D490" s="7">
        <v>97908</v>
      </c>
      <c r="E490" s="38">
        <v>90</v>
      </c>
      <c r="F490" s="39">
        <v>4.3689999999999996E-3</v>
      </c>
      <c r="G490" t="s">
        <v>0</v>
      </c>
      <c r="H490" s="23" t="s">
        <v>91</v>
      </c>
      <c r="I490" s="23">
        <v>13</v>
      </c>
      <c r="J490" s="23">
        <v>63</v>
      </c>
      <c r="K490" s="8">
        <v>0.37</v>
      </c>
      <c r="L490" s="8">
        <v>0.63</v>
      </c>
      <c r="M490">
        <f t="shared" si="7"/>
        <v>3.7000000000000002E-3</v>
      </c>
    </row>
    <row r="491" spans="1:13" x14ac:dyDescent="0.3">
      <c r="A491" s="23" t="s">
        <v>110</v>
      </c>
      <c r="B491" t="s">
        <v>22</v>
      </c>
      <c r="C491" s="38">
        <v>15</v>
      </c>
      <c r="D491" s="7">
        <v>81886</v>
      </c>
      <c r="E491" s="38">
        <v>107</v>
      </c>
      <c r="F491" s="39">
        <v>2.4919999999999999E-3</v>
      </c>
      <c r="G491" t="s">
        <v>1</v>
      </c>
      <c r="H491" s="23" t="s">
        <v>91</v>
      </c>
      <c r="I491" s="23">
        <v>16</v>
      </c>
      <c r="J491" s="23">
        <v>66</v>
      </c>
      <c r="K491" s="8">
        <v>0.46</v>
      </c>
      <c r="L491" s="8">
        <v>0.54</v>
      </c>
      <c r="M491">
        <f t="shared" si="7"/>
        <v>4.5999999999999999E-3</v>
      </c>
    </row>
    <row r="492" spans="1:13" x14ac:dyDescent="0.3">
      <c r="A492" s="23" t="s">
        <v>110</v>
      </c>
      <c r="B492" t="s">
        <v>22</v>
      </c>
      <c r="C492" s="38">
        <v>95</v>
      </c>
      <c r="D492" s="7">
        <v>71967</v>
      </c>
      <c r="E492" s="38">
        <v>114</v>
      </c>
      <c r="F492" s="39">
        <v>4.9220000000000002E-3</v>
      </c>
      <c r="G492" t="s">
        <v>2</v>
      </c>
      <c r="H492" s="23" t="s">
        <v>91</v>
      </c>
      <c r="I492" s="23">
        <v>21</v>
      </c>
      <c r="J492" s="23">
        <v>54</v>
      </c>
      <c r="K492" s="8">
        <v>0.69</v>
      </c>
      <c r="L492" s="8">
        <v>0.31000000000000005</v>
      </c>
      <c r="M492">
        <f t="shared" si="7"/>
        <v>6.8999999999999999E-3</v>
      </c>
    </row>
    <row r="493" spans="1:13" x14ac:dyDescent="0.3">
      <c r="A493" s="23" t="s">
        <v>110</v>
      </c>
      <c r="B493" t="s">
        <v>22</v>
      </c>
      <c r="C493" s="38">
        <v>51</v>
      </c>
      <c r="D493" s="7">
        <v>55945</v>
      </c>
      <c r="E493" s="38">
        <v>131</v>
      </c>
      <c r="F493" s="39">
        <v>4.5849999999999997E-3</v>
      </c>
      <c r="G493" t="s">
        <v>3</v>
      </c>
      <c r="H493" s="23" t="s">
        <v>91</v>
      </c>
      <c r="I493" s="23">
        <v>13</v>
      </c>
      <c r="J493" s="23">
        <v>5</v>
      </c>
      <c r="K493" s="8">
        <v>0.87</v>
      </c>
      <c r="L493" s="8">
        <v>0.13</v>
      </c>
      <c r="M493">
        <f t="shared" si="7"/>
        <v>8.6999999999999994E-3</v>
      </c>
    </row>
    <row r="494" spans="1:13" x14ac:dyDescent="0.3">
      <c r="A494" s="23" t="s">
        <v>110</v>
      </c>
      <c r="B494" t="s">
        <v>21</v>
      </c>
      <c r="C494" s="38">
        <v>214</v>
      </c>
      <c r="D494" s="7">
        <v>5041</v>
      </c>
      <c r="E494" s="38">
        <v>391</v>
      </c>
      <c r="F494" s="39">
        <v>1.6980000000000001E-3</v>
      </c>
      <c r="G494" t="s">
        <v>0</v>
      </c>
      <c r="H494" s="23" t="s">
        <v>91</v>
      </c>
      <c r="I494" s="23">
        <v>13</v>
      </c>
      <c r="J494" s="23">
        <v>18</v>
      </c>
      <c r="K494" s="8">
        <v>0.47</v>
      </c>
      <c r="L494" s="8">
        <v>0.53</v>
      </c>
      <c r="M494">
        <f t="shared" si="7"/>
        <v>4.6999999999999993E-3</v>
      </c>
    </row>
    <row r="495" spans="1:13" x14ac:dyDescent="0.3">
      <c r="A495" s="23" t="s">
        <v>110</v>
      </c>
      <c r="B495" t="s">
        <v>21</v>
      </c>
      <c r="C495" s="38">
        <v>268</v>
      </c>
      <c r="D495" s="7">
        <v>9746</v>
      </c>
      <c r="E495" s="38">
        <v>404</v>
      </c>
      <c r="F495" s="39">
        <v>2.225E-3</v>
      </c>
      <c r="G495" t="s">
        <v>1</v>
      </c>
      <c r="H495" s="23" t="s">
        <v>91</v>
      </c>
      <c r="I495" s="23">
        <v>13</v>
      </c>
      <c r="J495" s="23">
        <v>41</v>
      </c>
      <c r="K495" s="8">
        <v>0.33</v>
      </c>
      <c r="L495" s="8">
        <v>0.66999999999999993</v>
      </c>
      <c r="M495">
        <f t="shared" si="7"/>
        <v>3.3E-3</v>
      </c>
    </row>
    <row r="496" spans="1:13" x14ac:dyDescent="0.3">
      <c r="A496" s="23" t="s">
        <v>110</v>
      </c>
      <c r="B496" t="s">
        <v>21</v>
      </c>
      <c r="C496" s="38">
        <v>234</v>
      </c>
      <c r="D496" s="7">
        <v>14565</v>
      </c>
      <c r="E496" s="38">
        <v>601</v>
      </c>
      <c r="F496" s="39">
        <v>2.9740000000000001E-3</v>
      </c>
      <c r="G496" t="s">
        <v>2</v>
      </c>
      <c r="H496" s="23" t="s">
        <v>91</v>
      </c>
      <c r="I496" s="23">
        <v>4</v>
      </c>
      <c r="J496" s="23">
        <v>8</v>
      </c>
      <c r="K496" s="8">
        <v>0.32</v>
      </c>
      <c r="L496" s="8">
        <v>0.67999999999999994</v>
      </c>
      <c r="M496">
        <f t="shared" si="7"/>
        <v>3.2000000000000002E-3</v>
      </c>
    </row>
    <row r="497" spans="1:13" x14ac:dyDescent="0.3">
      <c r="A497" s="23" t="s">
        <v>110</v>
      </c>
      <c r="B497" t="s">
        <v>21</v>
      </c>
      <c r="C497" s="38">
        <v>288</v>
      </c>
      <c r="D497" s="7">
        <v>19270</v>
      </c>
      <c r="E497" s="38">
        <v>614</v>
      </c>
      <c r="F497" s="39">
        <v>4.8149999999999998E-3</v>
      </c>
      <c r="G497" t="s">
        <v>3</v>
      </c>
      <c r="H497" s="23" t="s">
        <v>91</v>
      </c>
      <c r="I497" s="23">
        <v>21</v>
      </c>
      <c r="J497" s="23">
        <v>56</v>
      </c>
      <c r="K497" s="8">
        <v>0.35</v>
      </c>
      <c r="L497" s="8">
        <v>0.65</v>
      </c>
      <c r="M497">
        <f t="shared" si="7"/>
        <v>3.4999999999999996E-3</v>
      </c>
    </row>
    <row r="498" spans="1:13" x14ac:dyDescent="0.3">
      <c r="A498" s="23" t="s">
        <v>110</v>
      </c>
      <c r="B498" t="s">
        <v>23</v>
      </c>
      <c r="C498" s="38">
        <v>41</v>
      </c>
      <c r="D498" s="7">
        <v>10721</v>
      </c>
      <c r="E498" s="38">
        <v>157</v>
      </c>
      <c r="F498" s="39">
        <v>1.4159999999999999E-3</v>
      </c>
      <c r="G498" t="s">
        <v>0</v>
      </c>
      <c r="H498" s="23" t="s">
        <v>91</v>
      </c>
      <c r="I498" s="23">
        <v>2</v>
      </c>
      <c r="J498" s="23">
        <v>67</v>
      </c>
      <c r="K498" s="8">
        <v>0.26</v>
      </c>
      <c r="L498" s="8">
        <v>0.74</v>
      </c>
      <c r="M498">
        <f t="shared" si="7"/>
        <v>2.5999999999999999E-3</v>
      </c>
    </row>
    <row r="499" spans="1:13" x14ac:dyDescent="0.3">
      <c r="A499" s="23" t="s">
        <v>110</v>
      </c>
      <c r="B499" t="s">
        <v>23</v>
      </c>
      <c r="C499" s="38">
        <v>56</v>
      </c>
      <c r="D499" s="7">
        <v>26254</v>
      </c>
      <c r="E499" s="38">
        <v>146</v>
      </c>
      <c r="F499" s="39">
        <v>3.7620000000000002E-3</v>
      </c>
      <c r="G499" t="s">
        <v>1</v>
      </c>
      <c r="H499" s="23" t="s">
        <v>91</v>
      </c>
      <c r="I499" s="23">
        <v>15</v>
      </c>
      <c r="J499" s="23">
        <v>39</v>
      </c>
      <c r="K499" s="8">
        <v>0.23</v>
      </c>
      <c r="L499" s="8">
        <v>0.77</v>
      </c>
      <c r="M499">
        <f t="shared" si="7"/>
        <v>2.3E-3</v>
      </c>
    </row>
    <row r="500" spans="1:13" x14ac:dyDescent="0.3">
      <c r="A500" s="23" t="s">
        <v>110</v>
      </c>
      <c r="B500" t="s">
        <v>23</v>
      </c>
      <c r="C500" s="38">
        <v>168</v>
      </c>
      <c r="D500" s="7">
        <v>26643</v>
      </c>
      <c r="E500" s="38">
        <v>303</v>
      </c>
      <c r="F500" s="39">
        <v>3.6449999999999998E-3</v>
      </c>
      <c r="G500" t="s">
        <v>2</v>
      </c>
      <c r="H500" s="23" t="s">
        <v>91</v>
      </c>
      <c r="I500" s="23">
        <v>20</v>
      </c>
      <c r="J500" s="23">
        <v>69</v>
      </c>
      <c r="K500" s="8">
        <v>0.68</v>
      </c>
      <c r="L500" s="8">
        <v>0.31999999999999995</v>
      </c>
      <c r="M500">
        <f t="shared" si="7"/>
        <v>6.8000000000000005E-3</v>
      </c>
    </row>
    <row r="501" spans="1:13" x14ac:dyDescent="0.3">
      <c r="A501" s="23" t="s">
        <v>110</v>
      </c>
      <c r="B501" t="s">
        <v>23</v>
      </c>
      <c r="C501" s="38">
        <v>183</v>
      </c>
      <c r="D501" s="7">
        <v>42176</v>
      </c>
      <c r="E501" s="38">
        <v>293</v>
      </c>
      <c r="F501" s="39">
        <v>1.4890000000000001E-3</v>
      </c>
      <c r="G501" t="s">
        <v>3</v>
      </c>
      <c r="H501" s="23" t="s">
        <v>91</v>
      </c>
      <c r="I501" s="23">
        <v>8</v>
      </c>
      <c r="J501" s="23">
        <v>60</v>
      </c>
      <c r="K501" s="8">
        <v>0.6</v>
      </c>
      <c r="L501" s="8">
        <v>0.4</v>
      </c>
      <c r="M501">
        <f t="shared" si="7"/>
        <v>6.0000000000000001E-3</v>
      </c>
    </row>
    <row r="502" spans="1:13" x14ac:dyDescent="0.3">
      <c r="A502" s="23" t="s">
        <v>110</v>
      </c>
      <c r="B502" t="s">
        <v>24</v>
      </c>
      <c r="C502" s="38">
        <v>35</v>
      </c>
      <c r="D502" s="7">
        <v>23638</v>
      </c>
      <c r="E502" s="38">
        <v>14</v>
      </c>
      <c r="F502" s="39">
        <v>1.054E-3</v>
      </c>
      <c r="G502" t="s">
        <v>0</v>
      </c>
      <c r="H502" s="23" t="s">
        <v>91</v>
      </c>
      <c r="I502" s="23">
        <v>2</v>
      </c>
      <c r="J502" s="23">
        <v>28</v>
      </c>
      <c r="K502" s="8">
        <v>0.16</v>
      </c>
      <c r="L502" s="8">
        <v>0.84</v>
      </c>
      <c r="M502">
        <f t="shared" si="7"/>
        <v>1.6000000000000001E-3</v>
      </c>
    </row>
    <row r="503" spans="1:13" x14ac:dyDescent="0.3">
      <c r="A503" s="23" t="s">
        <v>110</v>
      </c>
      <c r="B503" t="s">
        <v>24</v>
      </c>
      <c r="C503" s="38">
        <v>37</v>
      </c>
      <c r="D503" s="7">
        <v>14838</v>
      </c>
      <c r="E503" s="38">
        <v>43</v>
      </c>
      <c r="F503" s="39">
        <v>3.3909999999999999E-3</v>
      </c>
      <c r="G503" t="s">
        <v>1</v>
      </c>
      <c r="H503" s="23" t="s">
        <v>91</v>
      </c>
      <c r="I503" s="23">
        <v>13</v>
      </c>
      <c r="J503" s="23">
        <v>53</v>
      </c>
      <c r="K503" s="8">
        <v>0.14000000000000001</v>
      </c>
      <c r="L503" s="8">
        <v>0.86</v>
      </c>
      <c r="M503">
        <f t="shared" si="7"/>
        <v>1.4000000000000002E-3</v>
      </c>
    </row>
    <row r="504" spans="1:13" x14ac:dyDescent="0.3">
      <c r="A504" s="23" t="s">
        <v>110</v>
      </c>
      <c r="B504" t="s">
        <v>24</v>
      </c>
      <c r="C504" s="38">
        <v>17</v>
      </c>
      <c r="D504" s="7">
        <v>16790</v>
      </c>
      <c r="E504" s="38">
        <v>66</v>
      </c>
      <c r="F504" s="39">
        <v>5.6099999999999998E-4</v>
      </c>
      <c r="G504" t="s">
        <v>2</v>
      </c>
      <c r="H504" s="23" t="s">
        <v>91</v>
      </c>
      <c r="I504" s="23">
        <v>19</v>
      </c>
      <c r="J504" s="23">
        <v>15</v>
      </c>
      <c r="K504" s="8">
        <v>0.16</v>
      </c>
      <c r="L504" s="8">
        <v>0.84</v>
      </c>
      <c r="M504">
        <f t="shared" si="7"/>
        <v>1.6000000000000001E-3</v>
      </c>
    </row>
    <row r="505" spans="1:13" x14ac:dyDescent="0.3">
      <c r="A505" s="23" t="s">
        <v>110</v>
      </c>
      <c r="B505" t="s">
        <v>24</v>
      </c>
      <c r="C505" s="38">
        <v>19</v>
      </c>
      <c r="D505" s="7">
        <v>7990</v>
      </c>
      <c r="E505" s="38">
        <v>95</v>
      </c>
      <c r="F505" s="39">
        <v>4.5259999999999996E-3</v>
      </c>
      <c r="G505" t="s">
        <v>3</v>
      </c>
      <c r="H505" s="23" t="s">
        <v>91</v>
      </c>
      <c r="I505" s="23">
        <v>13</v>
      </c>
      <c r="J505" s="23">
        <v>58</v>
      </c>
      <c r="K505" s="8">
        <v>0.19</v>
      </c>
      <c r="L505" s="8">
        <v>0.81</v>
      </c>
      <c r="M505">
        <f t="shared" si="7"/>
        <v>1.9E-3</v>
      </c>
    </row>
    <row r="506" spans="1:13" x14ac:dyDescent="0.3">
      <c r="A506" s="23" t="s">
        <v>111</v>
      </c>
      <c r="B506" t="s">
        <v>19</v>
      </c>
      <c r="C506" s="38">
        <v>623</v>
      </c>
      <c r="D506" s="7">
        <v>50627</v>
      </c>
      <c r="E506" s="38">
        <v>2140</v>
      </c>
      <c r="F506" s="39">
        <v>9.5E-4</v>
      </c>
      <c r="G506" t="s">
        <v>0</v>
      </c>
      <c r="H506" s="23" t="s">
        <v>90</v>
      </c>
      <c r="I506" s="23">
        <v>2</v>
      </c>
      <c r="J506" s="23">
        <v>59</v>
      </c>
      <c r="K506" s="8">
        <v>0.8</v>
      </c>
      <c r="L506" s="8">
        <v>0.19999999999999996</v>
      </c>
      <c r="M506">
        <f t="shared" si="7"/>
        <v>8.0000000000000002E-3</v>
      </c>
    </row>
    <row r="507" spans="1:13" x14ac:dyDescent="0.3">
      <c r="A507" s="23" t="s">
        <v>111</v>
      </c>
      <c r="B507" t="s">
        <v>19</v>
      </c>
      <c r="C507" s="38">
        <v>1337</v>
      </c>
      <c r="D507" s="7">
        <v>38392</v>
      </c>
      <c r="E507" s="38">
        <v>2210</v>
      </c>
      <c r="F507" s="39">
        <v>5.3759999999999997E-3</v>
      </c>
      <c r="G507" t="s">
        <v>1</v>
      </c>
      <c r="H507" s="23" t="s">
        <v>90</v>
      </c>
      <c r="I507" s="23">
        <v>12</v>
      </c>
      <c r="J507" s="23">
        <v>43</v>
      </c>
      <c r="K507" s="8">
        <v>0.21</v>
      </c>
      <c r="L507" s="8">
        <v>0.79</v>
      </c>
      <c r="M507">
        <f t="shared" si="7"/>
        <v>2.0999999999999999E-3</v>
      </c>
    </row>
    <row r="508" spans="1:13" x14ac:dyDescent="0.3">
      <c r="A508" s="23" t="s">
        <v>111</v>
      </c>
      <c r="B508" t="s">
        <v>19</v>
      </c>
      <c r="C508" s="38">
        <v>561</v>
      </c>
      <c r="D508" s="7">
        <v>34747</v>
      </c>
      <c r="E508" s="38">
        <v>1587</v>
      </c>
      <c r="F508" s="39">
        <v>1.209E-3</v>
      </c>
      <c r="G508" t="s">
        <v>2</v>
      </c>
      <c r="H508" s="23" t="s">
        <v>90</v>
      </c>
      <c r="I508" s="23">
        <v>20</v>
      </c>
      <c r="J508" s="23">
        <v>59</v>
      </c>
      <c r="K508" s="8">
        <v>0.64</v>
      </c>
      <c r="L508" s="8">
        <v>0.36</v>
      </c>
      <c r="M508">
        <f t="shared" si="7"/>
        <v>6.4000000000000003E-3</v>
      </c>
    </row>
    <row r="509" spans="1:13" x14ac:dyDescent="0.3">
      <c r="A509" s="23" t="s">
        <v>111</v>
      </c>
      <c r="B509" t="s">
        <v>19</v>
      </c>
      <c r="C509" s="38">
        <v>1275</v>
      </c>
      <c r="D509" s="7">
        <v>22512</v>
      </c>
      <c r="E509" s="38">
        <v>1657</v>
      </c>
      <c r="F509" s="39">
        <v>6.842E-3</v>
      </c>
      <c r="G509" t="s">
        <v>3</v>
      </c>
      <c r="H509" s="23" t="s">
        <v>90</v>
      </c>
      <c r="I509" s="23">
        <v>18</v>
      </c>
      <c r="J509" s="23">
        <v>49</v>
      </c>
      <c r="K509" s="8">
        <v>0.31</v>
      </c>
      <c r="L509" s="8">
        <v>0.69</v>
      </c>
      <c r="M509">
        <f t="shared" si="7"/>
        <v>3.0999999999999999E-3</v>
      </c>
    </row>
    <row r="510" spans="1:13" x14ac:dyDescent="0.3">
      <c r="A510" s="23" t="s">
        <v>111</v>
      </c>
      <c r="B510" t="s">
        <v>20</v>
      </c>
      <c r="C510" s="38">
        <v>398</v>
      </c>
      <c r="D510" s="7">
        <v>277194</v>
      </c>
      <c r="E510" s="38">
        <v>1945</v>
      </c>
      <c r="F510" s="39">
        <v>4.4799999999999996E-3</v>
      </c>
      <c r="G510" t="s">
        <v>0</v>
      </c>
      <c r="H510" s="23" t="s">
        <v>90</v>
      </c>
      <c r="I510" s="23">
        <v>14</v>
      </c>
      <c r="J510" s="23">
        <v>65</v>
      </c>
      <c r="K510" s="8">
        <v>0.61</v>
      </c>
      <c r="L510" s="8">
        <v>0.39</v>
      </c>
      <c r="M510">
        <f t="shared" si="7"/>
        <v>6.0999999999999995E-3</v>
      </c>
    </row>
    <row r="511" spans="1:13" x14ac:dyDescent="0.3">
      <c r="A511" s="23" t="s">
        <v>111</v>
      </c>
      <c r="B511" t="s">
        <v>20</v>
      </c>
      <c r="C511" s="38">
        <v>414</v>
      </c>
      <c r="D511" s="7">
        <v>260284</v>
      </c>
      <c r="E511" s="38">
        <v>2874</v>
      </c>
      <c r="F511" s="39">
        <v>5.4229999999999999E-3</v>
      </c>
      <c r="G511" t="s">
        <v>1</v>
      </c>
      <c r="H511" s="23" t="s">
        <v>90</v>
      </c>
      <c r="I511" s="23">
        <v>14</v>
      </c>
      <c r="J511" s="23">
        <v>2</v>
      </c>
      <c r="K511" s="8">
        <v>0.42</v>
      </c>
      <c r="L511" s="8">
        <v>0.58000000000000007</v>
      </c>
      <c r="M511">
        <f t="shared" si="7"/>
        <v>4.1999999999999997E-3</v>
      </c>
    </row>
    <row r="512" spans="1:13" x14ac:dyDescent="0.3">
      <c r="A512" s="23" t="s">
        <v>111</v>
      </c>
      <c r="B512" t="s">
        <v>20</v>
      </c>
      <c r="C512" s="38">
        <v>1355</v>
      </c>
      <c r="D512" s="7">
        <v>69641</v>
      </c>
      <c r="E512" s="38">
        <v>665</v>
      </c>
      <c r="F512" s="39">
        <v>5.4840000000000002E-3</v>
      </c>
      <c r="G512" t="s">
        <v>2</v>
      </c>
      <c r="H512" s="23" t="s">
        <v>90</v>
      </c>
      <c r="I512" s="23">
        <v>17</v>
      </c>
      <c r="J512" s="23">
        <v>10</v>
      </c>
      <c r="K512" s="8">
        <v>0.4</v>
      </c>
      <c r="L512" s="8">
        <v>0.6</v>
      </c>
      <c r="M512">
        <f t="shared" si="7"/>
        <v>4.0000000000000001E-3</v>
      </c>
    </row>
    <row r="513" spans="1:13" x14ac:dyDescent="0.3">
      <c r="A513" s="23" t="s">
        <v>111</v>
      </c>
      <c r="B513" t="s">
        <v>20</v>
      </c>
      <c r="C513" s="38">
        <v>1371</v>
      </c>
      <c r="D513" s="7">
        <v>52731</v>
      </c>
      <c r="E513" s="38">
        <v>1594</v>
      </c>
      <c r="F513" s="39">
        <v>3.4450000000000001E-3</v>
      </c>
      <c r="G513" t="s">
        <v>3</v>
      </c>
      <c r="H513" s="23" t="s">
        <v>90</v>
      </c>
      <c r="I513" s="23">
        <v>1</v>
      </c>
      <c r="J513" s="23">
        <v>25</v>
      </c>
      <c r="K513" s="8">
        <v>0.32</v>
      </c>
      <c r="L513" s="8">
        <v>0.67999999999999994</v>
      </c>
      <c r="M513">
        <f t="shared" si="7"/>
        <v>3.2000000000000002E-3</v>
      </c>
    </row>
    <row r="514" spans="1:13" x14ac:dyDescent="0.3">
      <c r="A514" s="23" t="s">
        <v>111</v>
      </c>
      <c r="B514" t="s">
        <v>22</v>
      </c>
      <c r="C514" s="38">
        <v>41</v>
      </c>
      <c r="D514" s="7">
        <v>19829</v>
      </c>
      <c r="E514" s="38">
        <v>2484</v>
      </c>
      <c r="F514" s="39">
        <v>3.9410000000000001E-3</v>
      </c>
      <c r="G514" t="s">
        <v>0</v>
      </c>
      <c r="H514" s="23" t="s">
        <v>90</v>
      </c>
      <c r="I514" s="23">
        <v>20</v>
      </c>
      <c r="J514" s="23">
        <v>1</v>
      </c>
      <c r="K514" s="8">
        <v>0.55000000000000004</v>
      </c>
      <c r="L514" s="8">
        <v>0.44999999999999996</v>
      </c>
      <c r="M514">
        <f t="shared" si="7"/>
        <v>5.5000000000000005E-3</v>
      </c>
    </row>
    <row r="515" spans="1:13" x14ac:dyDescent="0.3">
      <c r="A515" s="23" t="s">
        <v>111</v>
      </c>
      <c r="B515" t="s">
        <v>22</v>
      </c>
      <c r="C515" s="38">
        <v>870</v>
      </c>
      <c r="D515" s="7">
        <v>11883</v>
      </c>
      <c r="E515" s="38">
        <v>979</v>
      </c>
      <c r="F515" s="39">
        <v>2.7200000000000002E-3</v>
      </c>
      <c r="G515" t="s">
        <v>1</v>
      </c>
      <c r="H515" s="23" t="s">
        <v>90</v>
      </c>
      <c r="I515" s="23">
        <v>8</v>
      </c>
      <c r="J515" s="23">
        <v>44</v>
      </c>
      <c r="K515" s="8">
        <v>0.66</v>
      </c>
      <c r="L515" s="8">
        <v>0.33999999999999997</v>
      </c>
      <c r="M515">
        <f t="shared" ref="M515:M578" si="8">K515/100</f>
        <v>6.6E-3</v>
      </c>
    </row>
    <row r="516" spans="1:13" x14ac:dyDescent="0.3">
      <c r="A516" s="23" t="s">
        <v>111</v>
      </c>
      <c r="B516" t="s">
        <v>22</v>
      </c>
      <c r="C516" s="38">
        <v>508</v>
      </c>
      <c r="D516" s="7">
        <v>22492</v>
      </c>
      <c r="E516" s="38">
        <v>1778</v>
      </c>
      <c r="F516" s="39">
        <v>2.1599999999999999E-4</v>
      </c>
      <c r="G516" t="s">
        <v>2</v>
      </c>
      <c r="H516" s="23" t="s">
        <v>90</v>
      </c>
      <c r="I516" s="23">
        <v>9</v>
      </c>
      <c r="J516" s="23">
        <v>70</v>
      </c>
      <c r="K516" s="8">
        <v>0.56999999999999995</v>
      </c>
      <c r="L516" s="8">
        <v>0.43000000000000005</v>
      </c>
      <c r="M516">
        <f t="shared" si="8"/>
        <v>5.6999999999999993E-3</v>
      </c>
    </row>
    <row r="517" spans="1:13" x14ac:dyDescent="0.3">
      <c r="A517" s="23" t="s">
        <v>111</v>
      </c>
      <c r="B517" t="s">
        <v>22</v>
      </c>
      <c r="C517" s="38">
        <v>1337</v>
      </c>
      <c r="D517" s="7">
        <v>14546</v>
      </c>
      <c r="E517" s="38">
        <v>274</v>
      </c>
      <c r="F517" s="39">
        <v>2.9759999999999999E-3</v>
      </c>
      <c r="G517" t="s">
        <v>3</v>
      </c>
      <c r="H517" s="23" t="s">
        <v>90</v>
      </c>
      <c r="I517" s="23">
        <v>16</v>
      </c>
      <c r="J517" s="23">
        <v>77</v>
      </c>
      <c r="K517" s="8">
        <v>0.28999999999999998</v>
      </c>
      <c r="L517" s="8">
        <v>0.71</v>
      </c>
      <c r="M517">
        <f t="shared" si="8"/>
        <v>2.8999999999999998E-3</v>
      </c>
    </row>
    <row r="518" spans="1:13" x14ac:dyDescent="0.3">
      <c r="A518" s="23" t="s">
        <v>111</v>
      </c>
      <c r="B518" t="s">
        <v>21</v>
      </c>
      <c r="C518" s="38">
        <v>1143</v>
      </c>
      <c r="D518" s="7">
        <v>33456</v>
      </c>
      <c r="E518" s="38">
        <v>2783</v>
      </c>
      <c r="F518" s="39">
        <v>2.81E-4</v>
      </c>
      <c r="G518" t="s">
        <v>0</v>
      </c>
      <c r="H518" s="23" t="s">
        <v>90</v>
      </c>
      <c r="I518" s="23">
        <v>12</v>
      </c>
      <c r="J518" s="23">
        <v>15</v>
      </c>
      <c r="K518" s="8">
        <v>0.59</v>
      </c>
      <c r="L518" s="8">
        <v>0.41000000000000003</v>
      </c>
      <c r="M518">
        <f t="shared" si="8"/>
        <v>5.8999999999999999E-3</v>
      </c>
    </row>
    <row r="519" spans="1:13" x14ac:dyDescent="0.3">
      <c r="A519" s="23" t="s">
        <v>111</v>
      </c>
      <c r="B519" t="s">
        <v>21</v>
      </c>
      <c r="C519" s="38">
        <v>1634</v>
      </c>
      <c r="D519" s="7">
        <v>31027</v>
      </c>
      <c r="E519" s="38">
        <v>3916</v>
      </c>
      <c r="F519" s="39">
        <v>4.9639999999999997E-3</v>
      </c>
      <c r="G519" t="s">
        <v>1</v>
      </c>
      <c r="H519" s="23" t="s">
        <v>90</v>
      </c>
      <c r="I519" s="23">
        <v>20</v>
      </c>
      <c r="J519" s="23">
        <v>45</v>
      </c>
      <c r="K519" s="8">
        <v>0.48</v>
      </c>
      <c r="L519" s="8">
        <v>0.52</v>
      </c>
      <c r="M519">
        <f t="shared" si="8"/>
        <v>4.7999999999999996E-3</v>
      </c>
    </row>
    <row r="520" spans="1:13" x14ac:dyDescent="0.3">
      <c r="A520" s="23" t="s">
        <v>111</v>
      </c>
      <c r="B520" t="s">
        <v>21</v>
      </c>
      <c r="C520" s="38">
        <v>619</v>
      </c>
      <c r="D520" s="7">
        <v>37335</v>
      </c>
      <c r="E520" s="38">
        <v>591</v>
      </c>
      <c r="F520" s="39">
        <v>3.375E-3</v>
      </c>
      <c r="G520" t="s">
        <v>2</v>
      </c>
      <c r="H520" s="23" t="s">
        <v>90</v>
      </c>
      <c r="I520" s="23">
        <v>12</v>
      </c>
      <c r="J520" s="23">
        <v>52</v>
      </c>
      <c r="K520" s="8">
        <v>0.69</v>
      </c>
      <c r="L520" s="8">
        <v>0.31000000000000005</v>
      </c>
      <c r="M520">
        <f t="shared" si="8"/>
        <v>6.8999999999999999E-3</v>
      </c>
    </row>
    <row r="521" spans="1:13" x14ac:dyDescent="0.3">
      <c r="A521" s="23" t="s">
        <v>111</v>
      </c>
      <c r="B521" t="s">
        <v>21</v>
      </c>
      <c r="C521" s="38">
        <v>1110</v>
      </c>
      <c r="D521" s="7">
        <v>34906</v>
      </c>
      <c r="E521" s="38">
        <v>1724</v>
      </c>
      <c r="F521" s="39">
        <v>7.0660000000000002E-3</v>
      </c>
      <c r="G521" t="s">
        <v>3</v>
      </c>
      <c r="H521" s="23" t="s">
        <v>90</v>
      </c>
      <c r="I521" s="23">
        <v>23</v>
      </c>
      <c r="J521" s="23">
        <v>56</v>
      </c>
      <c r="K521" s="8">
        <v>0.49</v>
      </c>
      <c r="L521" s="8">
        <v>0.51</v>
      </c>
      <c r="M521">
        <f t="shared" si="8"/>
        <v>4.8999999999999998E-3</v>
      </c>
    </row>
    <row r="522" spans="1:13" x14ac:dyDescent="0.3">
      <c r="A522" s="23" t="s">
        <v>111</v>
      </c>
      <c r="B522" t="s">
        <v>23</v>
      </c>
      <c r="C522" s="38">
        <v>449</v>
      </c>
      <c r="D522" s="7">
        <v>22209</v>
      </c>
      <c r="E522" s="38">
        <v>1673</v>
      </c>
      <c r="F522" s="39">
        <v>6.6439999999999997E-3</v>
      </c>
      <c r="G522" t="s">
        <v>0</v>
      </c>
      <c r="H522" s="23" t="s">
        <v>90</v>
      </c>
      <c r="I522" s="23">
        <v>15</v>
      </c>
      <c r="J522" s="23">
        <v>33</v>
      </c>
      <c r="K522" s="8">
        <v>0.4</v>
      </c>
      <c r="L522" s="8">
        <v>0.6</v>
      </c>
      <c r="M522">
        <f t="shared" si="8"/>
        <v>4.0000000000000001E-3</v>
      </c>
    </row>
    <row r="523" spans="1:13" x14ac:dyDescent="0.3">
      <c r="A523" s="23" t="s">
        <v>111</v>
      </c>
      <c r="B523" t="s">
        <v>23</v>
      </c>
      <c r="C523" s="38">
        <v>385</v>
      </c>
      <c r="D523" s="7">
        <v>40731</v>
      </c>
      <c r="E523" s="38">
        <v>1366</v>
      </c>
      <c r="F523" s="39">
        <v>5.7489999999999998E-3</v>
      </c>
      <c r="G523" t="s">
        <v>1</v>
      </c>
      <c r="H523" s="23" t="s">
        <v>90</v>
      </c>
      <c r="I523" s="23">
        <v>5</v>
      </c>
      <c r="J523" s="23">
        <v>77</v>
      </c>
      <c r="K523" s="8">
        <v>0.77</v>
      </c>
      <c r="L523" s="8">
        <v>0.22999999999999998</v>
      </c>
      <c r="M523">
        <f t="shared" si="8"/>
        <v>7.7000000000000002E-3</v>
      </c>
    </row>
    <row r="524" spans="1:13" x14ac:dyDescent="0.3">
      <c r="A524" s="23" t="s">
        <v>111</v>
      </c>
      <c r="B524" t="s">
        <v>23</v>
      </c>
      <c r="C524" s="38">
        <v>572</v>
      </c>
      <c r="D524" s="7">
        <v>29489</v>
      </c>
      <c r="E524" s="38">
        <v>548</v>
      </c>
      <c r="F524" s="39">
        <v>5.2960000000000004E-3</v>
      </c>
      <c r="G524" t="s">
        <v>2</v>
      </c>
      <c r="H524" s="23" t="s">
        <v>90</v>
      </c>
      <c r="I524" s="23">
        <v>5</v>
      </c>
      <c r="J524" s="23">
        <v>5</v>
      </c>
      <c r="K524" s="8">
        <v>0.82</v>
      </c>
      <c r="L524" s="8">
        <v>0.18000000000000005</v>
      </c>
      <c r="M524">
        <f t="shared" si="8"/>
        <v>8.199999999999999E-3</v>
      </c>
    </row>
    <row r="525" spans="1:13" x14ac:dyDescent="0.3">
      <c r="A525" s="23" t="s">
        <v>111</v>
      </c>
      <c r="B525" t="s">
        <v>23</v>
      </c>
      <c r="C525" s="38">
        <v>507</v>
      </c>
      <c r="D525" s="7">
        <v>48011</v>
      </c>
      <c r="E525" s="38">
        <v>241</v>
      </c>
      <c r="F525" s="39">
        <v>8.2600000000000002E-4</v>
      </c>
      <c r="G525" t="s">
        <v>3</v>
      </c>
      <c r="H525" s="23" t="s">
        <v>90</v>
      </c>
      <c r="I525" s="23">
        <v>9</v>
      </c>
      <c r="J525" s="23">
        <v>40</v>
      </c>
      <c r="K525" s="8">
        <v>0.11</v>
      </c>
      <c r="L525" s="8">
        <v>0.89</v>
      </c>
      <c r="M525">
        <f t="shared" si="8"/>
        <v>1.1000000000000001E-3</v>
      </c>
    </row>
    <row r="526" spans="1:13" x14ac:dyDescent="0.3">
      <c r="A526" s="23" t="s">
        <v>111</v>
      </c>
      <c r="B526" t="s">
        <v>24</v>
      </c>
      <c r="C526" s="38">
        <v>145</v>
      </c>
      <c r="D526" s="7">
        <v>47739</v>
      </c>
      <c r="E526" s="38">
        <v>720</v>
      </c>
      <c r="F526" s="39">
        <v>1.219E-3</v>
      </c>
      <c r="G526" t="s">
        <v>0</v>
      </c>
      <c r="H526" s="23" t="s">
        <v>90</v>
      </c>
      <c r="I526" s="23">
        <v>17</v>
      </c>
      <c r="J526" s="23">
        <v>66</v>
      </c>
      <c r="K526" s="8">
        <v>0.84</v>
      </c>
      <c r="L526" s="8">
        <v>0.16000000000000003</v>
      </c>
      <c r="M526">
        <f t="shared" si="8"/>
        <v>8.3999999999999995E-3</v>
      </c>
    </row>
    <row r="527" spans="1:13" x14ac:dyDescent="0.3">
      <c r="A527" s="23" t="s">
        <v>111</v>
      </c>
      <c r="B527" t="s">
        <v>24</v>
      </c>
      <c r="C527" s="38">
        <v>269</v>
      </c>
      <c r="D527" s="7">
        <v>53011</v>
      </c>
      <c r="E527" s="38">
        <v>143</v>
      </c>
      <c r="F527" s="39">
        <v>6.2329999999999998E-3</v>
      </c>
      <c r="G527" t="s">
        <v>1</v>
      </c>
      <c r="H527" s="23" t="s">
        <v>90</v>
      </c>
      <c r="I527" s="23">
        <v>17</v>
      </c>
      <c r="J527" s="23">
        <v>73</v>
      </c>
      <c r="K527" s="8">
        <v>0.62</v>
      </c>
      <c r="L527" s="8">
        <v>0.38</v>
      </c>
      <c r="M527">
        <f t="shared" si="8"/>
        <v>6.1999999999999998E-3</v>
      </c>
    </row>
    <row r="528" spans="1:13" x14ac:dyDescent="0.3">
      <c r="A528" s="23" t="s">
        <v>111</v>
      </c>
      <c r="B528" t="s">
        <v>24</v>
      </c>
      <c r="C528" s="38">
        <v>186</v>
      </c>
      <c r="D528" s="7">
        <v>10468</v>
      </c>
      <c r="E528" s="38">
        <v>770</v>
      </c>
      <c r="F528" s="39">
        <v>3.3649999999999999E-3</v>
      </c>
      <c r="G528" t="s">
        <v>2</v>
      </c>
      <c r="H528" s="23" t="s">
        <v>90</v>
      </c>
      <c r="I528" s="23">
        <v>20</v>
      </c>
      <c r="J528" s="23">
        <v>4</v>
      </c>
      <c r="K528" s="8">
        <v>0.74</v>
      </c>
      <c r="L528" s="8">
        <v>0.26</v>
      </c>
      <c r="M528">
        <f t="shared" si="8"/>
        <v>7.4000000000000003E-3</v>
      </c>
    </row>
    <row r="529" spans="1:13" x14ac:dyDescent="0.3">
      <c r="A529" s="23" t="s">
        <v>111</v>
      </c>
      <c r="B529" t="s">
        <v>24</v>
      </c>
      <c r="C529" s="38">
        <v>311</v>
      </c>
      <c r="D529" s="7">
        <v>15740</v>
      </c>
      <c r="E529" s="38">
        <v>193</v>
      </c>
      <c r="F529" s="39">
        <v>6.9560000000000004E-3</v>
      </c>
      <c r="G529" t="s">
        <v>3</v>
      </c>
      <c r="H529" s="23" t="s">
        <v>90</v>
      </c>
      <c r="I529" s="23">
        <v>10</v>
      </c>
      <c r="J529" s="23">
        <v>75</v>
      </c>
      <c r="K529" s="8">
        <v>0.15</v>
      </c>
      <c r="L529" s="8">
        <v>0.85</v>
      </c>
      <c r="M529">
        <f t="shared" si="8"/>
        <v>1.5E-3</v>
      </c>
    </row>
    <row r="530" spans="1:13" x14ac:dyDescent="0.3">
      <c r="A530" s="23" t="s">
        <v>111</v>
      </c>
      <c r="B530" t="s">
        <v>19</v>
      </c>
      <c r="C530" s="38">
        <v>1035</v>
      </c>
      <c r="D530" s="7">
        <v>15230</v>
      </c>
      <c r="E530" s="38">
        <v>989</v>
      </c>
      <c r="F530" s="39">
        <v>5.2319999999999997E-3</v>
      </c>
      <c r="G530" t="s">
        <v>0</v>
      </c>
      <c r="H530" s="23" t="s">
        <v>89</v>
      </c>
      <c r="I530" s="23">
        <v>10</v>
      </c>
      <c r="J530" s="23">
        <v>33</v>
      </c>
      <c r="K530" s="8">
        <v>0.65</v>
      </c>
      <c r="L530" s="8">
        <v>0.35</v>
      </c>
      <c r="M530">
        <f t="shared" si="8"/>
        <v>6.5000000000000006E-3</v>
      </c>
    </row>
    <row r="531" spans="1:13" x14ac:dyDescent="0.3">
      <c r="A531" s="23" t="s">
        <v>111</v>
      </c>
      <c r="B531" t="s">
        <v>19</v>
      </c>
      <c r="C531" s="38">
        <v>1847</v>
      </c>
      <c r="D531" s="7">
        <v>22531</v>
      </c>
      <c r="E531" s="38">
        <v>3834</v>
      </c>
      <c r="F531" s="39">
        <v>3.104E-3</v>
      </c>
      <c r="G531" t="s">
        <v>1</v>
      </c>
      <c r="H531" s="23" t="s">
        <v>89</v>
      </c>
      <c r="I531" s="23">
        <v>1</v>
      </c>
      <c r="J531" s="23">
        <v>40</v>
      </c>
      <c r="K531" s="8">
        <v>0.1</v>
      </c>
      <c r="L531" s="8">
        <v>0.9</v>
      </c>
      <c r="M531">
        <f t="shared" si="8"/>
        <v>1E-3</v>
      </c>
    </row>
    <row r="532" spans="1:13" x14ac:dyDescent="0.3">
      <c r="A532" s="23" t="s">
        <v>111</v>
      </c>
      <c r="B532" t="s">
        <v>19</v>
      </c>
      <c r="C532" s="38">
        <v>563</v>
      </c>
      <c r="D532" s="7">
        <v>25657</v>
      </c>
      <c r="E532" s="38">
        <v>987</v>
      </c>
      <c r="F532" s="39">
        <v>3.156E-3</v>
      </c>
      <c r="G532" t="s">
        <v>2</v>
      </c>
      <c r="H532" s="23" t="s">
        <v>89</v>
      </c>
      <c r="I532" s="23">
        <v>12</v>
      </c>
      <c r="J532" s="23">
        <v>29</v>
      </c>
      <c r="K532" s="8">
        <v>0.82</v>
      </c>
      <c r="L532" s="8">
        <v>0.18000000000000005</v>
      </c>
      <c r="M532">
        <f t="shared" si="8"/>
        <v>8.199999999999999E-3</v>
      </c>
    </row>
    <row r="533" spans="1:13" x14ac:dyDescent="0.3">
      <c r="A533" s="23" t="s">
        <v>111</v>
      </c>
      <c r="B533" t="s">
        <v>19</v>
      </c>
      <c r="C533" s="38">
        <v>1375</v>
      </c>
      <c r="D533" s="7">
        <v>32958</v>
      </c>
      <c r="E533" s="38">
        <v>3832</v>
      </c>
      <c r="F533" s="39">
        <v>5.4549999999999998E-3</v>
      </c>
      <c r="G533" t="s">
        <v>3</v>
      </c>
      <c r="H533" s="23" t="s">
        <v>89</v>
      </c>
      <c r="I533" s="23">
        <v>11</v>
      </c>
      <c r="J533" s="23">
        <v>45</v>
      </c>
      <c r="K533" s="8">
        <v>0.22</v>
      </c>
      <c r="L533" s="8">
        <v>0.78</v>
      </c>
      <c r="M533">
        <f t="shared" si="8"/>
        <v>2.2000000000000001E-3</v>
      </c>
    </row>
    <row r="534" spans="1:13" x14ac:dyDescent="0.3">
      <c r="A534" s="23" t="s">
        <v>111</v>
      </c>
      <c r="B534" t="s">
        <v>20</v>
      </c>
      <c r="C534" s="38">
        <v>850</v>
      </c>
      <c r="D534" s="7">
        <v>102260</v>
      </c>
      <c r="E534" s="38">
        <v>807</v>
      </c>
      <c r="F534" s="39">
        <v>4.0000000000000001E-3</v>
      </c>
      <c r="G534" t="s">
        <v>0</v>
      </c>
      <c r="H534" s="23" t="s">
        <v>89</v>
      </c>
      <c r="I534" s="23">
        <v>10</v>
      </c>
      <c r="J534" s="23">
        <v>49</v>
      </c>
      <c r="K534" s="8">
        <v>0.8</v>
      </c>
      <c r="L534" s="8">
        <v>0.19999999999999996</v>
      </c>
      <c r="M534">
        <f t="shared" si="8"/>
        <v>8.0000000000000002E-3</v>
      </c>
    </row>
    <row r="535" spans="1:13" x14ac:dyDescent="0.3">
      <c r="A535" s="23" t="s">
        <v>111</v>
      </c>
      <c r="B535" t="s">
        <v>20</v>
      </c>
      <c r="C535" s="38">
        <v>546</v>
      </c>
      <c r="D535" s="7">
        <v>134920</v>
      </c>
      <c r="E535" s="38">
        <v>1521</v>
      </c>
      <c r="F535" s="39">
        <v>1.4040000000000001E-3</v>
      </c>
      <c r="G535" t="s">
        <v>1</v>
      </c>
      <c r="H535" s="23" t="s">
        <v>89</v>
      </c>
      <c r="I535" s="23">
        <v>13</v>
      </c>
      <c r="J535" s="23">
        <v>1</v>
      </c>
      <c r="K535" s="8">
        <v>0.89</v>
      </c>
      <c r="L535" s="8">
        <v>0.10999999999999999</v>
      </c>
      <c r="M535">
        <f t="shared" si="8"/>
        <v>8.8999999999999999E-3</v>
      </c>
    </row>
    <row r="536" spans="1:13" x14ac:dyDescent="0.3">
      <c r="A536" s="23" t="s">
        <v>111</v>
      </c>
      <c r="B536" t="s">
        <v>20</v>
      </c>
      <c r="C536" s="38">
        <v>603</v>
      </c>
      <c r="D536" s="7">
        <v>82455</v>
      </c>
      <c r="E536" s="38">
        <v>779</v>
      </c>
      <c r="F536" s="39">
        <v>2.653E-3</v>
      </c>
      <c r="G536" t="s">
        <v>2</v>
      </c>
      <c r="H536" s="23" t="s">
        <v>89</v>
      </c>
      <c r="I536" s="23">
        <v>12</v>
      </c>
      <c r="J536" s="23">
        <v>39</v>
      </c>
      <c r="K536" s="8">
        <v>0.23</v>
      </c>
      <c r="L536" s="8">
        <v>0.77</v>
      </c>
      <c r="M536">
        <f t="shared" si="8"/>
        <v>2.3E-3</v>
      </c>
    </row>
    <row r="537" spans="1:13" x14ac:dyDescent="0.3">
      <c r="A537" s="23" t="s">
        <v>111</v>
      </c>
      <c r="B537" t="s">
        <v>20</v>
      </c>
      <c r="C537" s="38">
        <v>299</v>
      </c>
      <c r="D537" s="7">
        <v>115115</v>
      </c>
      <c r="E537" s="38">
        <v>1493</v>
      </c>
      <c r="F537" s="39">
        <v>2.5360000000000001E-3</v>
      </c>
      <c r="G537" t="s">
        <v>3</v>
      </c>
      <c r="H537" s="23" t="s">
        <v>89</v>
      </c>
      <c r="I537" s="23">
        <v>5</v>
      </c>
      <c r="J537" s="23">
        <v>43</v>
      </c>
      <c r="K537" s="8">
        <v>0.14000000000000001</v>
      </c>
      <c r="L537" s="8">
        <v>0.86</v>
      </c>
      <c r="M537">
        <f t="shared" si="8"/>
        <v>1.4000000000000002E-3</v>
      </c>
    </row>
    <row r="538" spans="1:13" x14ac:dyDescent="0.3">
      <c r="A538" s="23" t="s">
        <v>111</v>
      </c>
      <c r="B538" t="s">
        <v>22</v>
      </c>
      <c r="C538" s="38">
        <v>494</v>
      </c>
      <c r="D538" s="7">
        <v>5930</v>
      </c>
      <c r="E538" s="38">
        <v>245</v>
      </c>
      <c r="F538" s="39">
        <v>6.5440000000000003E-3</v>
      </c>
      <c r="G538" t="s">
        <v>0</v>
      </c>
      <c r="H538" s="23" t="s">
        <v>89</v>
      </c>
      <c r="I538" s="23">
        <v>16</v>
      </c>
      <c r="J538" s="23">
        <v>26</v>
      </c>
      <c r="K538" s="8">
        <v>0.16</v>
      </c>
      <c r="L538" s="8">
        <v>0.84</v>
      </c>
      <c r="M538">
        <f t="shared" si="8"/>
        <v>1.6000000000000001E-3</v>
      </c>
    </row>
    <row r="539" spans="1:13" x14ac:dyDescent="0.3">
      <c r="A539" s="23" t="s">
        <v>111</v>
      </c>
      <c r="B539" t="s">
        <v>22</v>
      </c>
      <c r="C539" s="38">
        <v>290</v>
      </c>
      <c r="D539" s="7">
        <v>14319</v>
      </c>
      <c r="E539" s="38">
        <v>688</v>
      </c>
      <c r="F539" s="39">
        <v>6.6169999999999996E-3</v>
      </c>
      <c r="G539" t="s">
        <v>1</v>
      </c>
      <c r="H539" s="23" t="s">
        <v>89</v>
      </c>
      <c r="I539" s="23">
        <v>9</v>
      </c>
      <c r="J539" s="23">
        <v>16</v>
      </c>
      <c r="K539" s="8">
        <v>0.26</v>
      </c>
      <c r="L539" s="8">
        <v>0.74</v>
      </c>
      <c r="M539">
        <f t="shared" si="8"/>
        <v>2.5999999999999999E-3</v>
      </c>
    </row>
    <row r="540" spans="1:13" x14ac:dyDescent="0.3">
      <c r="A540" s="23" t="s">
        <v>111</v>
      </c>
      <c r="B540" t="s">
        <v>22</v>
      </c>
      <c r="C540" s="38">
        <v>617</v>
      </c>
      <c r="D540" s="7">
        <v>8329</v>
      </c>
      <c r="E540" s="38">
        <v>1127</v>
      </c>
      <c r="F540" s="39">
        <v>7.3399999999999995E-4</v>
      </c>
      <c r="G540" t="s">
        <v>2</v>
      </c>
      <c r="H540" s="23" t="s">
        <v>89</v>
      </c>
      <c r="I540" s="23">
        <v>13</v>
      </c>
      <c r="J540" s="23">
        <v>39</v>
      </c>
      <c r="K540" s="8">
        <v>0.78</v>
      </c>
      <c r="L540" s="8">
        <v>0.21999999999999997</v>
      </c>
      <c r="M540">
        <f t="shared" si="8"/>
        <v>7.8000000000000005E-3</v>
      </c>
    </row>
    <row r="541" spans="1:13" x14ac:dyDescent="0.3">
      <c r="A541" s="23" t="s">
        <v>111</v>
      </c>
      <c r="B541" t="s">
        <v>22</v>
      </c>
      <c r="C541" s="38">
        <v>413</v>
      </c>
      <c r="D541" s="7">
        <v>16718</v>
      </c>
      <c r="E541" s="38">
        <v>1571</v>
      </c>
      <c r="F541" s="39">
        <v>2.5569999999999998E-3</v>
      </c>
      <c r="G541" t="s">
        <v>3</v>
      </c>
      <c r="H541" s="23" t="s">
        <v>89</v>
      </c>
      <c r="I541" s="23">
        <v>1</v>
      </c>
      <c r="J541" s="23">
        <v>13</v>
      </c>
      <c r="K541" s="8">
        <v>0.35</v>
      </c>
      <c r="L541" s="8">
        <v>0.65</v>
      </c>
      <c r="M541">
        <f t="shared" si="8"/>
        <v>3.4999999999999996E-3</v>
      </c>
    </row>
    <row r="542" spans="1:13" x14ac:dyDescent="0.3">
      <c r="A542" s="23" t="s">
        <v>111</v>
      </c>
      <c r="B542" t="s">
        <v>21</v>
      </c>
      <c r="C542" s="38">
        <v>651</v>
      </c>
      <c r="D542" s="7">
        <v>35434</v>
      </c>
      <c r="E542" s="38">
        <v>391</v>
      </c>
      <c r="F542" s="39">
        <v>5.0270000000000002E-3</v>
      </c>
      <c r="G542" t="s">
        <v>0</v>
      </c>
      <c r="H542" s="23" t="s">
        <v>89</v>
      </c>
      <c r="I542" s="23">
        <v>4</v>
      </c>
      <c r="J542" s="23">
        <v>60</v>
      </c>
      <c r="K542" s="8">
        <v>0.61</v>
      </c>
      <c r="L542" s="8">
        <v>0.39</v>
      </c>
      <c r="M542">
        <f t="shared" si="8"/>
        <v>6.0999999999999995E-3</v>
      </c>
    </row>
    <row r="543" spans="1:13" x14ac:dyDescent="0.3">
      <c r="A543" s="23" t="s">
        <v>111</v>
      </c>
      <c r="B543" t="s">
        <v>21</v>
      </c>
      <c r="C543" s="38">
        <v>2407</v>
      </c>
      <c r="D543" s="7">
        <v>30490</v>
      </c>
      <c r="E543" s="38">
        <v>1318</v>
      </c>
      <c r="F543" s="39">
        <v>3.754E-3</v>
      </c>
      <c r="G543" t="s">
        <v>1</v>
      </c>
      <c r="H543" s="23" t="s">
        <v>89</v>
      </c>
      <c r="I543" s="23">
        <v>1</v>
      </c>
      <c r="J543" s="23">
        <v>18</v>
      </c>
      <c r="K543" s="8">
        <v>0.38</v>
      </c>
      <c r="L543" s="8">
        <v>0.62</v>
      </c>
      <c r="M543">
        <f t="shared" si="8"/>
        <v>3.8E-3</v>
      </c>
    </row>
    <row r="544" spans="1:13" x14ac:dyDescent="0.3">
      <c r="A544" s="23" t="s">
        <v>111</v>
      </c>
      <c r="B544" t="s">
        <v>21</v>
      </c>
      <c r="C544" s="38">
        <v>607</v>
      </c>
      <c r="D544" s="7">
        <v>14551</v>
      </c>
      <c r="E544" s="38">
        <v>4711</v>
      </c>
      <c r="F544" s="39">
        <v>1.034E-3</v>
      </c>
      <c r="G544" t="s">
        <v>2</v>
      </c>
      <c r="H544" s="23" t="s">
        <v>89</v>
      </c>
      <c r="I544" s="23">
        <v>18</v>
      </c>
      <c r="J544" s="23">
        <v>65</v>
      </c>
      <c r="K544" s="8">
        <v>0.66</v>
      </c>
      <c r="L544" s="8">
        <v>0.33999999999999997</v>
      </c>
      <c r="M544">
        <f t="shared" si="8"/>
        <v>6.6E-3</v>
      </c>
    </row>
    <row r="545" spans="1:13" x14ac:dyDescent="0.3">
      <c r="A545" s="23" t="s">
        <v>111</v>
      </c>
      <c r="B545" t="s">
        <v>21</v>
      </c>
      <c r="C545" s="38">
        <v>2363</v>
      </c>
      <c r="D545" s="7">
        <v>9607</v>
      </c>
      <c r="E545" s="38">
        <v>5638</v>
      </c>
      <c r="F545" s="39">
        <v>5.7229999999999998E-3</v>
      </c>
      <c r="G545" t="s">
        <v>3</v>
      </c>
      <c r="H545" s="23" t="s">
        <v>89</v>
      </c>
      <c r="I545" s="23">
        <v>23</v>
      </c>
      <c r="J545" s="23">
        <v>60</v>
      </c>
      <c r="K545" s="8">
        <v>0.87</v>
      </c>
      <c r="L545" s="8">
        <v>0.13</v>
      </c>
      <c r="M545">
        <f t="shared" si="8"/>
        <v>8.6999999999999994E-3</v>
      </c>
    </row>
    <row r="546" spans="1:13" x14ac:dyDescent="0.3">
      <c r="A546" s="23" t="s">
        <v>111</v>
      </c>
      <c r="B546" t="s">
        <v>23</v>
      </c>
      <c r="C546" s="38">
        <v>290</v>
      </c>
      <c r="D546" s="7">
        <v>5550</v>
      </c>
      <c r="E546" s="38">
        <v>1036</v>
      </c>
      <c r="F546" s="39">
        <v>3.7000000000000002E-3</v>
      </c>
      <c r="G546" t="s">
        <v>0</v>
      </c>
      <c r="H546" s="23" t="s">
        <v>89</v>
      </c>
      <c r="I546" s="23">
        <v>8</v>
      </c>
      <c r="J546" s="23">
        <v>10</v>
      </c>
      <c r="K546" s="8">
        <v>0.33</v>
      </c>
      <c r="L546" s="8">
        <v>0.66999999999999993</v>
      </c>
      <c r="M546">
        <f t="shared" si="8"/>
        <v>3.3E-3</v>
      </c>
    </row>
    <row r="547" spans="1:13" x14ac:dyDescent="0.3">
      <c r="A547" s="23" t="s">
        <v>111</v>
      </c>
      <c r="B547" t="s">
        <v>23</v>
      </c>
      <c r="C547" s="38">
        <v>583</v>
      </c>
      <c r="D547" s="7">
        <v>36646</v>
      </c>
      <c r="E547" s="38">
        <v>365</v>
      </c>
      <c r="F547" s="39">
        <v>2.578E-3</v>
      </c>
      <c r="G547" t="s">
        <v>1</v>
      </c>
      <c r="H547" s="23" t="s">
        <v>89</v>
      </c>
      <c r="I547" s="23">
        <v>9</v>
      </c>
      <c r="J547" s="23">
        <v>27</v>
      </c>
      <c r="K547" s="8">
        <v>0.3</v>
      </c>
      <c r="L547" s="8">
        <v>0.7</v>
      </c>
      <c r="M547">
        <f t="shared" si="8"/>
        <v>3.0000000000000001E-3</v>
      </c>
    </row>
    <row r="548" spans="1:13" x14ac:dyDescent="0.3">
      <c r="A548" s="23" t="s">
        <v>111</v>
      </c>
      <c r="B548" t="s">
        <v>23</v>
      </c>
      <c r="C548" s="38">
        <v>208</v>
      </c>
      <c r="D548" s="7">
        <v>9619</v>
      </c>
      <c r="E548" s="38">
        <v>1218</v>
      </c>
      <c r="F548" s="39">
        <v>5.3579999999999999E-3</v>
      </c>
      <c r="G548" t="s">
        <v>2</v>
      </c>
      <c r="H548" s="23" t="s">
        <v>89</v>
      </c>
      <c r="I548" s="23">
        <v>17</v>
      </c>
      <c r="J548" s="23">
        <v>19</v>
      </c>
      <c r="K548" s="8">
        <v>0.6</v>
      </c>
      <c r="L548" s="8">
        <v>0.4</v>
      </c>
      <c r="M548">
        <f t="shared" si="8"/>
        <v>6.0000000000000001E-3</v>
      </c>
    </row>
    <row r="549" spans="1:13" x14ac:dyDescent="0.3">
      <c r="A549" s="23" t="s">
        <v>111</v>
      </c>
      <c r="B549" t="s">
        <v>23</v>
      </c>
      <c r="C549" s="38">
        <v>501</v>
      </c>
      <c r="D549" s="7">
        <v>40714</v>
      </c>
      <c r="E549" s="38">
        <v>547</v>
      </c>
      <c r="F549" s="39">
        <v>5.9160000000000003E-3</v>
      </c>
      <c r="G549" t="s">
        <v>3</v>
      </c>
      <c r="H549" s="23" t="s">
        <v>89</v>
      </c>
      <c r="I549" s="23">
        <v>11</v>
      </c>
      <c r="J549" s="23">
        <v>50</v>
      </c>
      <c r="K549" s="8">
        <v>0.62</v>
      </c>
      <c r="L549" s="8">
        <v>0.38</v>
      </c>
      <c r="M549">
        <f t="shared" si="8"/>
        <v>6.1999999999999998E-3</v>
      </c>
    </row>
    <row r="550" spans="1:13" x14ac:dyDescent="0.3">
      <c r="A550" s="23" t="s">
        <v>111</v>
      </c>
      <c r="B550" t="s">
        <v>24</v>
      </c>
      <c r="C550" s="38">
        <v>112</v>
      </c>
      <c r="D550" s="7">
        <v>17707</v>
      </c>
      <c r="E550" s="38">
        <v>378</v>
      </c>
      <c r="F550" s="39">
        <v>4.594E-3</v>
      </c>
      <c r="G550" t="s">
        <v>0</v>
      </c>
      <c r="H550" s="23" t="s">
        <v>89</v>
      </c>
      <c r="I550" s="23">
        <v>15</v>
      </c>
      <c r="J550" s="23">
        <v>6</v>
      </c>
      <c r="K550" s="8">
        <v>0.47</v>
      </c>
      <c r="L550" s="8">
        <v>0.53</v>
      </c>
      <c r="M550">
        <f t="shared" si="8"/>
        <v>4.6999999999999993E-3</v>
      </c>
    </row>
    <row r="551" spans="1:13" x14ac:dyDescent="0.3">
      <c r="A551" s="23" t="s">
        <v>111</v>
      </c>
      <c r="B551" t="s">
        <v>24</v>
      </c>
      <c r="C551" s="38">
        <v>241</v>
      </c>
      <c r="D551" s="7">
        <v>23055</v>
      </c>
      <c r="E551" s="38">
        <v>397</v>
      </c>
      <c r="F551" s="39">
        <v>2.307E-3</v>
      </c>
      <c r="G551" t="s">
        <v>1</v>
      </c>
      <c r="H551" s="23" t="s">
        <v>89</v>
      </c>
      <c r="I551" s="23">
        <v>22</v>
      </c>
      <c r="J551" s="23">
        <v>38</v>
      </c>
      <c r="K551" s="8">
        <v>0.12</v>
      </c>
      <c r="L551" s="8">
        <v>0.88</v>
      </c>
      <c r="M551">
        <f t="shared" si="8"/>
        <v>1.1999999999999999E-3</v>
      </c>
    </row>
    <row r="552" spans="1:13" x14ac:dyDescent="0.3">
      <c r="A552" s="23" t="s">
        <v>111</v>
      </c>
      <c r="B552" t="s">
        <v>24</v>
      </c>
      <c r="C552" s="38">
        <v>58</v>
      </c>
      <c r="D552" s="7">
        <v>18769</v>
      </c>
      <c r="E552" s="38">
        <v>204</v>
      </c>
      <c r="F552" s="39">
        <v>6.9820000000000004E-3</v>
      </c>
      <c r="G552" t="s">
        <v>2</v>
      </c>
      <c r="H552" s="23" t="s">
        <v>89</v>
      </c>
      <c r="I552" s="23">
        <v>6</v>
      </c>
      <c r="J552" s="23">
        <v>47</v>
      </c>
      <c r="K552" s="8">
        <v>0.14000000000000001</v>
      </c>
      <c r="L552" s="8">
        <v>0.86</v>
      </c>
      <c r="M552">
        <f t="shared" si="8"/>
        <v>1.4000000000000002E-3</v>
      </c>
    </row>
    <row r="553" spans="1:13" x14ac:dyDescent="0.3">
      <c r="A553" s="23" t="s">
        <v>111</v>
      </c>
      <c r="B553" t="s">
        <v>24</v>
      </c>
      <c r="C553" s="38">
        <v>188</v>
      </c>
      <c r="D553" s="7">
        <v>24117</v>
      </c>
      <c r="E553" s="38">
        <v>223</v>
      </c>
      <c r="F553" s="39">
        <v>2.4899999999999998E-4</v>
      </c>
      <c r="G553" t="s">
        <v>3</v>
      </c>
      <c r="H553" s="23" t="s">
        <v>89</v>
      </c>
      <c r="I553" s="23">
        <v>22</v>
      </c>
      <c r="J553" s="23">
        <v>12</v>
      </c>
      <c r="K553" s="8">
        <v>0.35</v>
      </c>
      <c r="L553" s="8">
        <v>0.65</v>
      </c>
      <c r="M553">
        <f t="shared" si="8"/>
        <v>3.4999999999999996E-3</v>
      </c>
    </row>
    <row r="554" spans="1:13" x14ac:dyDescent="0.3">
      <c r="A554" s="23" t="s">
        <v>111</v>
      </c>
      <c r="B554" t="s">
        <v>19</v>
      </c>
      <c r="C554" s="38">
        <v>704</v>
      </c>
      <c r="D554" s="7">
        <v>15018</v>
      </c>
      <c r="E554" s="38">
        <v>2181</v>
      </c>
      <c r="F554" s="39">
        <v>6.3000000000000003E-4</v>
      </c>
      <c r="G554" t="s">
        <v>0</v>
      </c>
      <c r="H554" s="23" t="s">
        <v>91</v>
      </c>
      <c r="I554" s="23">
        <v>7</v>
      </c>
      <c r="J554" s="23">
        <v>14</v>
      </c>
      <c r="K554" s="8">
        <v>0.39</v>
      </c>
      <c r="L554" s="8">
        <v>0.61</v>
      </c>
      <c r="M554">
        <f t="shared" si="8"/>
        <v>3.9000000000000003E-3</v>
      </c>
    </row>
    <row r="555" spans="1:13" x14ac:dyDescent="0.3">
      <c r="A555" s="23" t="s">
        <v>111</v>
      </c>
      <c r="B555" t="s">
        <v>19</v>
      </c>
      <c r="C555" s="38">
        <v>1072</v>
      </c>
      <c r="D555" s="7">
        <v>9632</v>
      </c>
      <c r="E555" s="38">
        <v>2089</v>
      </c>
      <c r="F555" s="39">
        <v>4.3400000000000001E-3</v>
      </c>
      <c r="G555" t="s">
        <v>1</v>
      </c>
      <c r="H555" s="23" t="s">
        <v>91</v>
      </c>
      <c r="I555" s="23">
        <v>23</v>
      </c>
      <c r="J555" s="23">
        <v>18</v>
      </c>
      <c r="K555" s="8">
        <v>0.67</v>
      </c>
      <c r="L555" s="8">
        <v>0.32999999999999996</v>
      </c>
      <c r="M555">
        <f t="shared" si="8"/>
        <v>6.7000000000000002E-3</v>
      </c>
    </row>
    <row r="556" spans="1:13" x14ac:dyDescent="0.3">
      <c r="A556" s="23" t="s">
        <v>111</v>
      </c>
      <c r="B556" t="s">
        <v>19</v>
      </c>
      <c r="C556" s="38">
        <v>623</v>
      </c>
      <c r="D556" s="7">
        <v>28038</v>
      </c>
      <c r="E556" s="38">
        <v>1303</v>
      </c>
      <c r="F556" s="39">
        <v>4.1910000000000003E-3</v>
      </c>
      <c r="G556" t="s">
        <v>2</v>
      </c>
      <c r="H556" s="23" t="s">
        <v>91</v>
      </c>
      <c r="I556" s="23">
        <v>5</v>
      </c>
      <c r="J556" s="23">
        <v>35</v>
      </c>
      <c r="K556" s="8">
        <v>0.56999999999999995</v>
      </c>
      <c r="L556" s="8">
        <v>0.43000000000000005</v>
      </c>
      <c r="M556">
        <f t="shared" si="8"/>
        <v>5.6999999999999993E-3</v>
      </c>
    </row>
    <row r="557" spans="1:13" x14ac:dyDescent="0.3">
      <c r="A557" s="23" t="s">
        <v>111</v>
      </c>
      <c r="B557" t="s">
        <v>19</v>
      </c>
      <c r="C557" s="38">
        <v>992</v>
      </c>
      <c r="D557" s="7">
        <v>22651</v>
      </c>
      <c r="E557" s="38">
        <v>1211</v>
      </c>
      <c r="F557" s="39">
        <v>2.0769999999999999E-3</v>
      </c>
      <c r="G557" t="s">
        <v>3</v>
      </c>
      <c r="H557" s="23" t="s">
        <v>91</v>
      </c>
      <c r="I557" s="23">
        <v>12</v>
      </c>
      <c r="J557" s="23">
        <v>42</v>
      </c>
      <c r="K557" s="8">
        <v>0.1</v>
      </c>
      <c r="L557" s="8">
        <v>0.9</v>
      </c>
      <c r="M557">
        <f t="shared" si="8"/>
        <v>1E-3</v>
      </c>
    </row>
    <row r="558" spans="1:13" x14ac:dyDescent="0.3">
      <c r="A558" s="23" t="s">
        <v>111</v>
      </c>
      <c r="B558" t="s">
        <v>20</v>
      </c>
      <c r="C558" s="38">
        <v>249</v>
      </c>
      <c r="D558" s="7">
        <v>13963</v>
      </c>
      <c r="E558" s="38">
        <v>339</v>
      </c>
      <c r="F558" s="39">
        <v>7.0150000000000004E-3</v>
      </c>
      <c r="G558" t="s">
        <v>0</v>
      </c>
      <c r="H558" s="23" t="s">
        <v>91</v>
      </c>
      <c r="I558" s="23">
        <v>4</v>
      </c>
      <c r="J558" s="23">
        <v>51</v>
      </c>
      <c r="K558" s="8">
        <v>0.4</v>
      </c>
      <c r="L558" s="8">
        <v>0.6</v>
      </c>
      <c r="M558">
        <f t="shared" si="8"/>
        <v>4.0000000000000001E-3</v>
      </c>
    </row>
    <row r="559" spans="1:13" x14ac:dyDescent="0.3">
      <c r="A559" s="23" t="s">
        <v>111</v>
      </c>
      <c r="B559" t="s">
        <v>20</v>
      </c>
      <c r="C559" s="38">
        <v>442</v>
      </c>
      <c r="D559" s="7">
        <v>154101</v>
      </c>
      <c r="E559" s="38">
        <v>1256</v>
      </c>
      <c r="F559" s="39">
        <v>5.6490000000000004E-3</v>
      </c>
      <c r="G559" t="s">
        <v>1</v>
      </c>
      <c r="H559" s="23" t="s">
        <v>91</v>
      </c>
      <c r="I559" s="23">
        <v>21</v>
      </c>
      <c r="J559" s="23">
        <v>30</v>
      </c>
      <c r="K559" s="8">
        <v>0.61</v>
      </c>
      <c r="L559" s="8">
        <v>0.39</v>
      </c>
      <c r="M559">
        <f t="shared" si="8"/>
        <v>6.0999999999999995E-3</v>
      </c>
    </row>
    <row r="560" spans="1:13" x14ac:dyDescent="0.3">
      <c r="A560" s="23" t="s">
        <v>111</v>
      </c>
      <c r="B560" t="s">
        <v>20</v>
      </c>
      <c r="C560" s="38">
        <v>456</v>
      </c>
      <c r="D560" s="7">
        <v>15827</v>
      </c>
      <c r="E560" s="38">
        <v>541</v>
      </c>
      <c r="F560" s="39">
        <v>3.3409999999999998E-3</v>
      </c>
      <c r="G560" t="s">
        <v>2</v>
      </c>
      <c r="H560" s="23" t="s">
        <v>91</v>
      </c>
      <c r="I560" s="23">
        <v>2</v>
      </c>
      <c r="J560" s="23">
        <v>21</v>
      </c>
      <c r="K560" s="8">
        <v>0.34</v>
      </c>
      <c r="L560" s="8">
        <v>0.65999999999999992</v>
      </c>
      <c r="M560">
        <f t="shared" si="8"/>
        <v>3.4000000000000002E-3</v>
      </c>
    </row>
    <row r="561" spans="1:13" x14ac:dyDescent="0.3">
      <c r="A561" s="23" t="s">
        <v>111</v>
      </c>
      <c r="B561" t="s">
        <v>20</v>
      </c>
      <c r="C561" s="38">
        <v>649</v>
      </c>
      <c r="D561" s="7">
        <v>155965</v>
      </c>
      <c r="E561" s="38">
        <v>1459</v>
      </c>
      <c r="F561" s="39">
        <v>4.0299999999999997E-3</v>
      </c>
      <c r="G561" t="s">
        <v>3</v>
      </c>
      <c r="H561" s="23" t="s">
        <v>91</v>
      </c>
      <c r="I561" s="23">
        <v>4</v>
      </c>
      <c r="J561" s="23">
        <v>5</v>
      </c>
      <c r="K561" s="8">
        <v>0.51</v>
      </c>
      <c r="L561" s="8">
        <v>0.49</v>
      </c>
      <c r="M561">
        <f t="shared" si="8"/>
        <v>5.1000000000000004E-3</v>
      </c>
    </row>
    <row r="562" spans="1:13" x14ac:dyDescent="0.3">
      <c r="A562" s="23" t="s">
        <v>111</v>
      </c>
      <c r="B562" t="s">
        <v>22</v>
      </c>
      <c r="C562" s="38">
        <v>271</v>
      </c>
      <c r="D562" s="7">
        <v>11356</v>
      </c>
      <c r="E562" s="38">
        <v>1246</v>
      </c>
      <c r="F562" s="39">
        <v>6.254E-3</v>
      </c>
      <c r="G562" t="s">
        <v>0</v>
      </c>
      <c r="H562" s="23" t="s">
        <v>91</v>
      </c>
      <c r="I562" s="23">
        <v>14</v>
      </c>
      <c r="J562" s="23">
        <v>67</v>
      </c>
      <c r="K562" s="8">
        <v>0.36</v>
      </c>
      <c r="L562" s="8">
        <v>0.64</v>
      </c>
      <c r="M562">
        <f t="shared" si="8"/>
        <v>3.5999999999999999E-3</v>
      </c>
    </row>
    <row r="563" spans="1:13" x14ac:dyDescent="0.3">
      <c r="A563" s="23" t="s">
        <v>111</v>
      </c>
      <c r="B563" t="s">
        <v>22</v>
      </c>
      <c r="C563" s="38">
        <v>444</v>
      </c>
      <c r="D563" s="7">
        <v>8176</v>
      </c>
      <c r="E563" s="38">
        <v>612</v>
      </c>
      <c r="F563" s="39">
        <v>5.8729999999999997E-3</v>
      </c>
      <c r="G563" t="s">
        <v>1</v>
      </c>
      <c r="H563" s="23" t="s">
        <v>91</v>
      </c>
      <c r="I563" s="23">
        <v>16</v>
      </c>
      <c r="J563" s="23">
        <v>48</v>
      </c>
      <c r="K563" s="8">
        <v>0.56000000000000005</v>
      </c>
      <c r="L563" s="8">
        <v>0.43999999999999995</v>
      </c>
      <c r="M563">
        <f t="shared" si="8"/>
        <v>5.6000000000000008E-3</v>
      </c>
    </row>
    <row r="564" spans="1:13" x14ac:dyDescent="0.3">
      <c r="A564" s="23" t="s">
        <v>111</v>
      </c>
      <c r="B564" t="s">
        <v>22</v>
      </c>
      <c r="C564" s="38">
        <v>265</v>
      </c>
      <c r="D564" s="7">
        <v>9528</v>
      </c>
      <c r="E564" s="38">
        <v>806</v>
      </c>
      <c r="F564" s="39">
        <v>1.905E-3</v>
      </c>
      <c r="G564" t="s">
        <v>2</v>
      </c>
      <c r="H564" s="23" t="s">
        <v>91</v>
      </c>
      <c r="I564" s="23">
        <v>17</v>
      </c>
      <c r="J564" s="23">
        <v>8</v>
      </c>
      <c r="K564" s="8">
        <v>0.3</v>
      </c>
      <c r="L564" s="8">
        <v>0.7</v>
      </c>
      <c r="M564">
        <f t="shared" si="8"/>
        <v>3.0000000000000001E-3</v>
      </c>
    </row>
    <row r="565" spans="1:13" x14ac:dyDescent="0.3">
      <c r="A565" s="23" t="s">
        <v>111</v>
      </c>
      <c r="B565" t="s">
        <v>22</v>
      </c>
      <c r="C565" s="38">
        <v>438</v>
      </c>
      <c r="D565" s="7">
        <v>6348</v>
      </c>
      <c r="E565" s="38">
        <v>172</v>
      </c>
      <c r="F565" s="39">
        <v>4.2649999999999997E-3</v>
      </c>
      <c r="G565" t="s">
        <v>3</v>
      </c>
      <c r="H565" s="23" t="s">
        <v>91</v>
      </c>
      <c r="I565" s="23">
        <v>15</v>
      </c>
      <c r="J565" s="23">
        <v>7</v>
      </c>
      <c r="K565" s="8">
        <v>0.34</v>
      </c>
      <c r="L565" s="8">
        <v>0.65999999999999992</v>
      </c>
      <c r="M565">
        <f t="shared" si="8"/>
        <v>3.4000000000000002E-3</v>
      </c>
    </row>
    <row r="566" spans="1:13" x14ac:dyDescent="0.3">
      <c r="A566" s="23" t="s">
        <v>111</v>
      </c>
      <c r="B566" t="s">
        <v>21</v>
      </c>
      <c r="C566" s="38">
        <v>645</v>
      </c>
      <c r="D566" s="7">
        <v>19656</v>
      </c>
      <c r="E566" s="38">
        <v>547</v>
      </c>
      <c r="F566" s="39">
        <v>9.19E-4</v>
      </c>
      <c r="G566" t="s">
        <v>0</v>
      </c>
      <c r="H566" s="23" t="s">
        <v>91</v>
      </c>
      <c r="I566" s="23">
        <v>20</v>
      </c>
      <c r="J566" s="23">
        <v>54</v>
      </c>
      <c r="K566" s="8">
        <v>0.53</v>
      </c>
      <c r="L566" s="8">
        <v>0.47</v>
      </c>
      <c r="M566">
        <f t="shared" si="8"/>
        <v>5.3E-3</v>
      </c>
    </row>
    <row r="567" spans="1:13" x14ac:dyDescent="0.3">
      <c r="A567" s="23" t="s">
        <v>111</v>
      </c>
      <c r="B567" t="s">
        <v>21</v>
      </c>
      <c r="C567" s="38">
        <v>860</v>
      </c>
      <c r="D567" s="7">
        <v>10046</v>
      </c>
      <c r="E567" s="38">
        <v>2104</v>
      </c>
      <c r="F567" s="39">
        <v>3.516E-3</v>
      </c>
      <c r="G567" t="s">
        <v>1</v>
      </c>
      <c r="H567" s="23" t="s">
        <v>91</v>
      </c>
      <c r="I567" s="23">
        <v>14</v>
      </c>
      <c r="J567" s="23">
        <v>54</v>
      </c>
      <c r="K567" s="8">
        <v>0.8</v>
      </c>
      <c r="L567" s="8">
        <v>0.19999999999999996</v>
      </c>
      <c r="M567">
        <f t="shared" si="8"/>
        <v>8.0000000000000002E-3</v>
      </c>
    </row>
    <row r="568" spans="1:13" x14ac:dyDescent="0.3">
      <c r="A568" s="23" t="s">
        <v>111</v>
      </c>
      <c r="B568" t="s">
        <v>21</v>
      </c>
      <c r="C568" s="38">
        <v>602</v>
      </c>
      <c r="D568" s="7">
        <v>25163</v>
      </c>
      <c r="E568" s="38">
        <v>820</v>
      </c>
      <c r="F568" s="39">
        <v>3.6900000000000002E-4</v>
      </c>
      <c r="G568" t="s">
        <v>2</v>
      </c>
      <c r="H568" s="23" t="s">
        <v>91</v>
      </c>
      <c r="I568" s="23">
        <v>6</v>
      </c>
      <c r="J568" s="23">
        <v>37</v>
      </c>
      <c r="K568" s="8">
        <v>0.63</v>
      </c>
      <c r="L568" s="8">
        <v>0.37</v>
      </c>
      <c r="M568">
        <f t="shared" si="8"/>
        <v>6.3E-3</v>
      </c>
    </row>
    <row r="569" spans="1:13" x14ac:dyDescent="0.3">
      <c r="A569" s="23" t="s">
        <v>111</v>
      </c>
      <c r="B569" t="s">
        <v>21</v>
      </c>
      <c r="C569" s="38">
        <v>817</v>
      </c>
      <c r="D569" s="7">
        <v>15553</v>
      </c>
      <c r="E569" s="38">
        <v>2377</v>
      </c>
      <c r="F569" s="39">
        <v>4.725E-3</v>
      </c>
      <c r="G569" t="s">
        <v>3</v>
      </c>
      <c r="H569" s="23" t="s">
        <v>91</v>
      </c>
      <c r="I569" s="23">
        <v>4</v>
      </c>
      <c r="J569" s="23">
        <v>73</v>
      </c>
      <c r="K569" s="8">
        <v>0.87</v>
      </c>
      <c r="L569" s="8">
        <v>0.13</v>
      </c>
      <c r="M569">
        <f t="shared" si="8"/>
        <v>8.6999999999999994E-3</v>
      </c>
    </row>
    <row r="570" spans="1:13" x14ac:dyDescent="0.3">
      <c r="A570" s="23" t="s">
        <v>111</v>
      </c>
      <c r="B570" t="s">
        <v>23</v>
      </c>
      <c r="C570" s="38">
        <v>159</v>
      </c>
      <c r="D570" s="7">
        <v>15930</v>
      </c>
      <c r="E570" s="38">
        <v>619</v>
      </c>
      <c r="F570" s="39">
        <v>4.9059999999999998E-3</v>
      </c>
      <c r="G570" t="s">
        <v>0</v>
      </c>
      <c r="H570" s="23" t="s">
        <v>91</v>
      </c>
      <c r="I570" s="23">
        <v>4</v>
      </c>
      <c r="J570" s="23">
        <v>57</v>
      </c>
      <c r="K570" s="8">
        <v>0.51</v>
      </c>
      <c r="L570" s="8">
        <v>0.49</v>
      </c>
      <c r="M570">
        <f t="shared" si="8"/>
        <v>5.1000000000000004E-3</v>
      </c>
    </row>
    <row r="571" spans="1:13" x14ac:dyDescent="0.3">
      <c r="A571" s="23" t="s">
        <v>111</v>
      </c>
      <c r="B571" t="s">
        <v>23</v>
      </c>
      <c r="C571" s="38">
        <v>114</v>
      </c>
      <c r="D571" s="7">
        <v>20925</v>
      </c>
      <c r="E571" s="38">
        <v>226</v>
      </c>
      <c r="F571" s="39">
        <v>3.5049999999999999E-3</v>
      </c>
      <c r="G571" t="s">
        <v>1</v>
      </c>
      <c r="H571" s="23" t="s">
        <v>91</v>
      </c>
      <c r="I571" s="23">
        <v>22</v>
      </c>
      <c r="J571" s="23">
        <v>58</v>
      </c>
      <c r="K571" s="8">
        <v>0.25</v>
      </c>
      <c r="L571" s="8">
        <v>0.75</v>
      </c>
      <c r="M571">
        <f t="shared" si="8"/>
        <v>2.5000000000000001E-3</v>
      </c>
    </row>
    <row r="572" spans="1:13" x14ac:dyDescent="0.3">
      <c r="A572" s="23" t="s">
        <v>111</v>
      </c>
      <c r="B572" t="s">
        <v>23</v>
      </c>
      <c r="C572" s="38">
        <v>431</v>
      </c>
      <c r="D572" s="7">
        <v>15241</v>
      </c>
      <c r="E572" s="38">
        <v>866</v>
      </c>
      <c r="F572" s="39">
        <v>6.3680000000000004E-3</v>
      </c>
      <c r="G572" t="s">
        <v>2</v>
      </c>
      <c r="H572" s="23" t="s">
        <v>91</v>
      </c>
      <c r="I572" s="23">
        <v>18</v>
      </c>
      <c r="J572" s="23">
        <v>51</v>
      </c>
      <c r="K572" s="8">
        <v>0.16</v>
      </c>
      <c r="L572" s="8">
        <v>0.84</v>
      </c>
      <c r="M572">
        <f t="shared" si="8"/>
        <v>1.6000000000000001E-3</v>
      </c>
    </row>
    <row r="573" spans="1:13" x14ac:dyDescent="0.3">
      <c r="A573" s="23" t="s">
        <v>111</v>
      </c>
      <c r="B573" t="s">
        <v>23</v>
      </c>
      <c r="C573" s="38">
        <v>386</v>
      </c>
      <c r="D573" s="7">
        <v>20236</v>
      </c>
      <c r="E573" s="38">
        <v>474</v>
      </c>
      <c r="F573" s="39">
        <v>4.4910000000000002E-3</v>
      </c>
      <c r="G573" t="s">
        <v>3</v>
      </c>
      <c r="H573" s="23" t="s">
        <v>91</v>
      </c>
      <c r="I573" s="23">
        <v>7</v>
      </c>
      <c r="J573" s="23">
        <v>64</v>
      </c>
      <c r="K573" s="8">
        <v>0.6</v>
      </c>
      <c r="L573" s="8">
        <v>0.4</v>
      </c>
      <c r="M573">
        <f t="shared" si="8"/>
        <v>6.0000000000000001E-3</v>
      </c>
    </row>
    <row r="574" spans="1:13" x14ac:dyDescent="0.3">
      <c r="A574" s="23" t="s">
        <v>111</v>
      </c>
      <c r="B574" t="s">
        <v>24</v>
      </c>
      <c r="C574" s="38">
        <v>149</v>
      </c>
      <c r="D574" s="7">
        <v>30413</v>
      </c>
      <c r="E574" s="38">
        <v>126</v>
      </c>
      <c r="F574" s="39">
        <v>5.0260000000000001E-3</v>
      </c>
      <c r="G574" t="s">
        <v>0</v>
      </c>
      <c r="H574" s="23" t="s">
        <v>91</v>
      </c>
      <c r="I574" s="23">
        <v>21</v>
      </c>
      <c r="J574" s="23">
        <v>60</v>
      </c>
      <c r="K574" s="8">
        <v>0.74</v>
      </c>
      <c r="L574" s="8">
        <v>0.26</v>
      </c>
      <c r="M574">
        <f t="shared" si="8"/>
        <v>7.4000000000000003E-3</v>
      </c>
    </row>
    <row r="575" spans="1:13" x14ac:dyDescent="0.3">
      <c r="A575" s="23" t="s">
        <v>111</v>
      </c>
      <c r="B575" t="s">
        <v>24</v>
      </c>
      <c r="C575" s="38">
        <v>222</v>
      </c>
      <c r="D575" s="7">
        <v>13000</v>
      </c>
      <c r="E575" s="38">
        <v>350</v>
      </c>
      <c r="F575" s="39">
        <v>6.3499999999999997E-3</v>
      </c>
      <c r="G575" t="s">
        <v>1</v>
      </c>
      <c r="H575" s="23" t="s">
        <v>91</v>
      </c>
      <c r="I575" s="23">
        <v>22</v>
      </c>
      <c r="J575" s="23">
        <v>61</v>
      </c>
      <c r="K575" s="8">
        <v>0.36</v>
      </c>
      <c r="L575" s="8">
        <v>0.64</v>
      </c>
      <c r="M575">
        <f t="shared" si="8"/>
        <v>3.5999999999999999E-3</v>
      </c>
    </row>
    <row r="576" spans="1:13" x14ac:dyDescent="0.3">
      <c r="A576" s="23" t="s">
        <v>111</v>
      </c>
      <c r="B576" t="s">
        <v>24</v>
      </c>
      <c r="C576" s="38">
        <v>129</v>
      </c>
      <c r="D576" s="7">
        <v>19694</v>
      </c>
      <c r="E576" s="38">
        <v>354</v>
      </c>
      <c r="F576" s="39">
        <v>1.24E-3</v>
      </c>
      <c r="G576" t="s">
        <v>2</v>
      </c>
      <c r="H576" s="23" t="s">
        <v>91</v>
      </c>
      <c r="I576" s="23">
        <v>2</v>
      </c>
      <c r="J576" s="23">
        <v>25</v>
      </c>
      <c r="K576" s="8">
        <v>0.79</v>
      </c>
      <c r="L576" s="8">
        <v>0.20999999999999996</v>
      </c>
      <c r="M576">
        <f t="shared" si="8"/>
        <v>7.9000000000000008E-3</v>
      </c>
    </row>
    <row r="577" spans="1:13" x14ac:dyDescent="0.3">
      <c r="A577" s="23" t="s">
        <v>111</v>
      </c>
      <c r="B577" t="s">
        <v>24</v>
      </c>
      <c r="C577" s="38">
        <v>202</v>
      </c>
      <c r="D577" s="7">
        <v>2281</v>
      </c>
      <c r="E577" s="38">
        <v>578</v>
      </c>
      <c r="F577" s="39">
        <v>3.6619999999999999E-3</v>
      </c>
      <c r="G577" t="s">
        <v>3</v>
      </c>
      <c r="H577" s="23" t="s">
        <v>91</v>
      </c>
      <c r="I577" s="23">
        <v>10</v>
      </c>
      <c r="J577" s="23">
        <v>52</v>
      </c>
      <c r="K577" s="8">
        <v>0.38</v>
      </c>
      <c r="L577" s="8">
        <v>0.62</v>
      </c>
      <c r="M577">
        <f t="shared" si="8"/>
        <v>3.8E-3</v>
      </c>
    </row>
    <row r="578" spans="1:13" x14ac:dyDescent="0.3">
      <c r="A578" s="23" t="s">
        <v>112</v>
      </c>
      <c r="B578" t="s">
        <v>19</v>
      </c>
      <c r="C578" s="38">
        <v>828</v>
      </c>
      <c r="D578" s="7">
        <v>7162</v>
      </c>
      <c r="E578" s="38">
        <v>3113</v>
      </c>
      <c r="F578" s="39">
        <v>7.2069999999999999E-3</v>
      </c>
      <c r="G578" t="s">
        <v>0</v>
      </c>
      <c r="H578" s="23" t="s">
        <v>90</v>
      </c>
      <c r="I578" s="23">
        <v>11</v>
      </c>
      <c r="J578" s="23">
        <v>73</v>
      </c>
      <c r="K578" s="8">
        <v>0.74</v>
      </c>
      <c r="L578" s="8">
        <v>0.26</v>
      </c>
      <c r="M578">
        <f t="shared" si="8"/>
        <v>7.4000000000000003E-3</v>
      </c>
    </row>
    <row r="579" spans="1:13" x14ac:dyDescent="0.3">
      <c r="A579" s="23" t="s">
        <v>112</v>
      </c>
      <c r="B579" t="s">
        <v>19</v>
      </c>
      <c r="C579" s="38">
        <v>1549</v>
      </c>
      <c r="D579" s="7">
        <v>21948</v>
      </c>
      <c r="E579" s="38">
        <v>3493</v>
      </c>
      <c r="F579" s="39">
        <v>2.4459999999999998E-3</v>
      </c>
      <c r="G579" t="s">
        <v>1</v>
      </c>
      <c r="H579" s="23" t="s">
        <v>90</v>
      </c>
      <c r="I579" s="23">
        <v>9</v>
      </c>
      <c r="J579" s="23">
        <v>58</v>
      </c>
      <c r="K579" s="8">
        <v>0.18</v>
      </c>
      <c r="L579" s="8">
        <v>0.82000000000000006</v>
      </c>
      <c r="M579">
        <f t="shared" ref="M579:M642" si="9">K579/100</f>
        <v>1.8E-3</v>
      </c>
    </row>
    <row r="580" spans="1:13" x14ac:dyDescent="0.3">
      <c r="A580" s="23" t="s">
        <v>112</v>
      </c>
      <c r="B580" t="s">
        <v>19</v>
      </c>
      <c r="C580" s="38">
        <v>1089</v>
      </c>
      <c r="D580" s="7">
        <v>4306</v>
      </c>
      <c r="E580" s="38">
        <v>1783</v>
      </c>
      <c r="F580" s="39">
        <v>7.1459999999999996E-3</v>
      </c>
      <c r="G580" t="s">
        <v>2</v>
      </c>
      <c r="H580" s="23" t="s">
        <v>90</v>
      </c>
      <c r="I580" s="23">
        <v>20</v>
      </c>
      <c r="J580" s="23">
        <v>22</v>
      </c>
      <c r="K580" s="8">
        <v>0.33</v>
      </c>
      <c r="L580" s="8">
        <v>0.66999999999999993</v>
      </c>
      <c r="M580">
        <f t="shared" si="9"/>
        <v>3.3E-3</v>
      </c>
    </row>
    <row r="581" spans="1:13" x14ac:dyDescent="0.3">
      <c r="A581" s="23" t="s">
        <v>112</v>
      </c>
      <c r="B581" t="s">
        <v>19</v>
      </c>
      <c r="C581" s="38">
        <v>1810</v>
      </c>
      <c r="D581" s="7">
        <v>19092</v>
      </c>
      <c r="E581" s="38">
        <v>2163</v>
      </c>
      <c r="F581" s="39">
        <v>4.3090000000000003E-3</v>
      </c>
      <c r="G581" t="s">
        <v>3</v>
      </c>
      <c r="H581" s="23" t="s">
        <v>90</v>
      </c>
      <c r="I581" s="23">
        <v>22</v>
      </c>
      <c r="J581" s="23">
        <v>57</v>
      </c>
      <c r="K581" s="8">
        <v>0.33</v>
      </c>
      <c r="L581" s="8">
        <v>0.66999999999999993</v>
      </c>
      <c r="M581">
        <f t="shared" si="9"/>
        <v>3.3E-3</v>
      </c>
    </row>
    <row r="582" spans="1:13" x14ac:dyDescent="0.3">
      <c r="A582" s="23" t="s">
        <v>112</v>
      </c>
      <c r="B582" t="s">
        <v>20</v>
      </c>
      <c r="C582" s="38">
        <v>4884</v>
      </c>
      <c r="D582" s="7">
        <v>23823</v>
      </c>
      <c r="E582" s="38">
        <v>9613</v>
      </c>
      <c r="F582" s="39">
        <v>3.2720000000000002E-3</v>
      </c>
      <c r="G582" t="s">
        <v>0</v>
      </c>
      <c r="H582" s="23" t="s">
        <v>90</v>
      </c>
      <c r="I582" s="23">
        <v>22</v>
      </c>
      <c r="J582" s="23">
        <v>61</v>
      </c>
      <c r="K582" s="8">
        <v>0.41</v>
      </c>
      <c r="L582" s="8">
        <v>0.59000000000000008</v>
      </c>
      <c r="M582">
        <f t="shared" si="9"/>
        <v>4.0999999999999995E-3</v>
      </c>
    </row>
    <row r="583" spans="1:13" x14ac:dyDescent="0.3">
      <c r="A583" s="23" t="s">
        <v>112</v>
      </c>
      <c r="B583" t="s">
        <v>20</v>
      </c>
      <c r="C583" s="38">
        <v>6934</v>
      </c>
      <c r="D583" s="7">
        <v>21669</v>
      </c>
      <c r="E583" s="38">
        <v>9430</v>
      </c>
      <c r="F583" s="39">
        <v>2.5990000000000002E-3</v>
      </c>
      <c r="G583" t="s">
        <v>1</v>
      </c>
      <c r="H583" s="23" t="s">
        <v>90</v>
      </c>
      <c r="I583" s="23">
        <v>20</v>
      </c>
      <c r="J583" s="23">
        <v>36</v>
      </c>
      <c r="K583" s="8">
        <v>0.76</v>
      </c>
      <c r="L583" s="8">
        <v>0.24</v>
      </c>
      <c r="M583">
        <f t="shared" si="9"/>
        <v>7.6E-3</v>
      </c>
    </row>
    <row r="584" spans="1:13" x14ac:dyDescent="0.3">
      <c r="A584" s="23" t="s">
        <v>112</v>
      </c>
      <c r="B584" t="s">
        <v>20</v>
      </c>
      <c r="C584" s="38">
        <v>3835</v>
      </c>
      <c r="D584" s="7">
        <v>14988</v>
      </c>
      <c r="E584" s="38">
        <v>12109</v>
      </c>
      <c r="F584" s="39">
        <v>1.2930000000000001E-3</v>
      </c>
      <c r="G584" t="s">
        <v>2</v>
      </c>
      <c r="H584" s="23" t="s">
        <v>90</v>
      </c>
      <c r="I584" s="23">
        <v>8</v>
      </c>
      <c r="J584" s="23">
        <v>53</v>
      </c>
      <c r="K584" s="8">
        <v>0.43</v>
      </c>
      <c r="L584" s="8">
        <v>0.57000000000000006</v>
      </c>
      <c r="M584">
        <f t="shared" si="9"/>
        <v>4.3E-3</v>
      </c>
    </row>
    <row r="585" spans="1:13" x14ac:dyDescent="0.3">
      <c r="A585" s="23" t="s">
        <v>112</v>
      </c>
      <c r="B585" t="s">
        <v>20</v>
      </c>
      <c r="C585" s="38">
        <v>5885</v>
      </c>
      <c r="D585" s="7">
        <v>12834</v>
      </c>
      <c r="E585" s="38">
        <v>11926</v>
      </c>
      <c r="F585" s="39">
        <v>9.0200000000000002E-4</v>
      </c>
      <c r="G585" t="s">
        <v>3</v>
      </c>
      <c r="H585" s="23" t="s">
        <v>90</v>
      </c>
      <c r="I585" s="23">
        <v>9</v>
      </c>
      <c r="J585" s="23">
        <v>60</v>
      </c>
      <c r="K585" s="8">
        <v>0.42</v>
      </c>
      <c r="L585" s="8">
        <v>0.58000000000000007</v>
      </c>
      <c r="M585">
        <f t="shared" si="9"/>
        <v>4.1999999999999997E-3</v>
      </c>
    </row>
    <row r="586" spans="1:13" x14ac:dyDescent="0.3">
      <c r="A586" s="23" t="s">
        <v>112</v>
      </c>
      <c r="B586" t="s">
        <v>22</v>
      </c>
      <c r="C586" s="38">
        <v>407</v>
      </c>
      <c r="D586" s="7">
        <v>1398</v>
      </c>
      <c r="E586" s="38">
        <v>1005</v>
      </c>
      <c r="F586" s="39">
        <v>3.0590000000000001E-3</v>
      </c>
      <c r="G586" t="s">
        <v>0</v>
      </c>
      <c r="H586" s="23" t="s">
        <v>90</v>
      </c>
      <c r="I586" s="23">
        <v>20</v>
      </c>
      <c r="J586" s="23">
        <v>12</v>
      </c>
      <c r="K586" s="8">
        <v>0.73</v>
      </c>
      <c r="L586" s="8">
        <v>0.27</v>
      </c>
      <c r="M586">
        <f t="shared" si="9"/>
        <v>7.3000000000000001E-3</v>
      </c>
    </row>
    <row r="587" spans="1:13" x14ac:dyDescent="0.3">
      <c r="A587" s="23" t="s">
        <v>112</v>
      </c>
      <c r="B587" t="s">
        <v>22</v>
      </c>
      <c r="C587" s="38">
        <v>350</v>
      </c>
      <c r="D587" s="7">
        <v>7992</v>
      </c>
      <c r="E587" s="38">
        <v>1612</v>
      </c>
      <c r="F587" s="39">
        <v>6.1349999999999998E-3</v>
      </c>
      <c r="G587" t="s">
        <v>1</v>
      </c>
      <c r="H587" s="23" t="s">
        <v>90</v>
      </c>
      <c r="I587" s="23">
        <v>1</v>
      </c>
      <c r="J587" s="23">
        <v>72</v>
      </c>
      <c r="K587" s="8">
        <v>0.56999999999999995</v>
      </c>
      <c r="L587" s="8">
        <v>0.43000000000000005</v>
      </c>
      <c r="M587">
        <f t="shared" si="9"/>
        <v>5.6999999999999993E-3</v>
      </c>
    </row>
    <row r="588" spans="1:13" x14ac:dyDescent="0.3">
      <c r="A588" s="23" t="s">
        <v>112</v>
      </c>
      <c r="B588" t="s">
        <v>22</v>
      </c>
      <c r="C588" s="38">
        <v>830</v>
      </c>
      <c r="D588" s="7">
        <v>25198</v>
      </c>
      <c r="E588" s="38">
        <v>749</v>
      </c>
      <c r="F588" s="39">
        <v>5.1219999999999998E-3</v>
      </c>
      <c r="G588" t="s">
        <v>2</v>
      </c>
      <c r="H588" s="23" t="s">
        <v>90</v>
      </c>
      <c r="I588" s="23">
        <v>19</v>
      </c>
      <c r="J588" s="23">
        <v>67</v>
      </c>
      <c r="K588" s="8">
        <v>0.76</v>
      </c>
      <c r="L588" s="8">
        <v>0.24</v>
      </c>
      <c r="M588">
        <f t="shared" si="9"/>
        <v>7.6E-3</v>
      </c>
    </row>
    <row r="589" spans="1:13" x14ac:dyDescent="0.3">
      <c r="A589" s="23" t="s">
        <v>112</v>
      </c>
      <c r="B589" t="s">
        <v>22</v>
      </c>
      <c r="C589" s="38">
        <v>773</v>
      </c>
      <c r="D589" s="7">
        <v>31791</v>
      </c>
      <c r="E589" s="38">
        <v>1356</v>
      </c>
      <c r="F589" s="39">
        <v>6.3199999999999997E-4</v>
      </c>
      <c r="G589" t="s">
        <v>3</v>
      </c>
      <c r="H589" s="23" t="s">
        <v>90</v>
      </c>
      <c r="I589" s="23">
        <v>15</v>
      </c>
      <c r="J589" s="23">
        <v>22</v>
      </c>
      <c r="K589" s="8">
        <v>0.82</v>
      </c>
      <c r="L589" s="8">
        <v>0.18000000000000005</v>
      </c>
      <c r="M589">
        <f t="shared" si="9"/>
        <v>8.199999999999999E-3</v>
      </c>
    </row>
    <row r="590" spans="1:13" x14ac:dyDescent="0.3">
      <c r="A590" s="23" t="s">
        <v>112</v>
      </c>
      <c r="B590" t="s">
        <v>21</v>
      </c>
      <c r="C590" s="38">
        <v>4973</v>
      </c>
      <c r="D590" s="7">
        <v>274642</v>
      </c>
      <c r="E590" s="38">
        <v>3677</v>
      </c>
      <c r="F590" s="39">
        <v>5.1380000000000002E-3</v>
      </c>
      <c r="G590" t="s">
        <v>0</v>
      </c>
      <c r="H590" s="23" t="s">
        <v>90</v>
      </c>
      <c r="I590" s="23">
        <v>1</v>
      </c>
      <c r="J590" s="23">
        <v>9</v>
      </c>
      <c r="K590" s="8">
        <v>0.26</v>
      </c>
      <c r="L590" s="8">
        <v>0.74</v>
      </c>
      <c r="M590">
        <f t="shared" si="9"/>
        <v>2.5999999999999999E-3</v>
      </c>
    </row>
    <row r="591" spans="1:13" x14ac:dyDescent="0.3">
      <c r="A591" s="23" t="s">
        <v>112</v>
      </c>
      <c r="B591" t="s">
        <v>21</v>
      </c>
      <c r="C591" s="38">
        <v>2523</v>
      </c>
      <c r="D591" s="7">
        <v>59291</v>
      </c>
      <c r="E591" s="38">
        <v>8014</v>
      </c>
      <c r="F591" s="39">
        <v>6.6689999999999996E-3</v>
      </c>
      <c r="G591" t="s">
        <v>1</v>
      </c>
      <c r="H591" s="23" t="s">
        <v>90</v>
      </c>
      <c r="I591" s="23">
        <v>4</v>
      </c>
      <c r="J591" s="23">
        <v>34</v>
      </c>
      <c r="K591" s="8">
        <v>0.56999999999999995</v>
      </c>
      <c r="L591" s="8">
        <v>0.43000000000000005</v>
      </c>
      <c r="M591">
        <f t="shared" si="9"/>
        <v>5.6999999999999993E-3</v>
      </c>
    </row>
    <row r="592" spans="1:13" x14ac:dyDescent="0.3">
      <c r="A592" s="23" t="s">
        <v>112</v>
      </c>
      <c r="B592" t="s">
        <v>21</v>
      </c>
      <c r="C592" s="38">
        <v>3859</v>
      </c>
      <c r="D592" s="7">
        <v>318333</v>
      </c>
      <c r="E592" s="38">
        <v>4751</v>
      </c>
      <c r="F592" s="39">
        <v>4.6410000000000002E-3</v>
      </c>
      <c r="G592" t="s">
        <v>2</v>
      </c>
      <c r="H592" s="23" t="s">
        <v>90</v>
      </c>
      <c r="I592" s="23">
        <v>2</v>
      </c>
      <c r="J592" s="23">
        <v>11</v>
      </c>
      <c r="K592" s="8">
        <v>0.67</v>
      </c>
      <c r="L592" s="8">
        <v>0.32999999999999996</v>
      </c>
      <c r="M592">
        <f t="shared" si="9"/>
        <v>6.7000000000000002E-3</v>
      </c>
    </row>
    <row r="593" spans="1:13" x14ac:dyDescent="0.3">
      <c r="A593" s="23" t="s">
        <v>112</v>
      </c>
      <c r="B593" t="s">
        <v>21</v>
      </c>
      <c r="C593" s="38">
        <v>1409</v>
      </c>
      <c r="D593" s="7">
        <v>102982</v>
      </c>
      <c r="E593" s="38">
        <v>9088</v>
      </c>
      <c r="F593" s="39">
        <v>6.2459999999999998E-3</v>
      </c>
      <c r="G593" t="s">
        <v>3</v>
      </c>
      <c r="H593" s="23" t="s">
        <v>90</v>
      </c>
      <c r="I593" s="23">
        <v>23</v>
      </c>
      <c r="J593" s="23">
        <v>35</v>
      </c>
      <c r="K593" s="8">
        <v>0.31</v>
      </c>
      <c r="L593" s="8">
        <v>0.69</v>
      </c>
      <c r="M593">
        <f t="shared" si="9"/>
        <v>3.0999999999999999E-3</v>
      </c>
    </row>
    <row r="594" spans="1:13" x14ac:dyDescent="0.3">
      <c r="A594" s="23" t="s">
        <v>112</v>
      </c>
      <c r="B594" t="s">
        <v>23</v>
      </c>
      <c r="C594" s="38">
        <v>425</v>
      </c>
      <c r="D594" s="7">
        <v>15340</v>
      </c>
      <c r="E594" s="38">
        <v>2585</v>
      </c>
      <c r="F594" s="39">
        <v>6.4800000000000003E-4</v>
      </c>
      <c r="G594" t="s">
        <v>0</v>
      </c>
      <c r="H594" s="23" t="s">
        <v>90</v>
      </c>
      <c r="I594" s="23">
        <v>20</v>
      </c>
      <c r="J594" s="23">
        <v>21</v>
      </c>
      <c r="K594" s="8">
        <v>0.46</v>
      </c>
      <c r="L594" s="8">
        <v>0.54</v>
      </c>
      <c r="M594">
        <f t="shared" si="9"/>
        <v>4.5999999999999999E-3</v>
      </c>
    </row>
    <row r="595" spans="1:13" x14ac:dyDescent="0.3">
      <c r="A595" s="23" t="s">
        <v>112</v>
      </c>
      <c r="B595" t="s">
        <v>23</v>
      </c>
      <c r="C595" s="38">
        <v>877</v>
      </c>
      <c r="D595" s="7">
        <v>13957</v>
      </c>
      <c r="E595" s="38">
        <v>1182</v>
      </c>
      <c r="F595" s="39">
        <v>6.718E-3</v>
      </c>
      <c r="G595" t="s">
        <v>1</v>
      </c>
      <c r="H595" s="23" t="s">
        <v>90</v>
      </c>
      <c r="I595" s="23">
        <v>13</v>
      </c>
      <c r="J595" s="23">
        <v>49</v>
      </c>
      <c r="K595" s="8">
        <v>0.81</v>
      </c>
      <c r="L595" s="8">
        <v>0.18999999999999995</v>
      </c>
      <c r="M595">
        <f t="shared" si="9"/>
        <v>8.1000000000000013E-3</v>
      </c>
    </row>
    <row r="596" spans="1:13" x14ac:dyDescent="0.3">
      <c r="A596" s="23" t="s">
        <v>112</v>
      </c>
      <c r="B596" t="s">
        <v>23</v>
      </c>
      <c r="C596" s="38">
        <v>1689</v>
      </c>
      <c r="D596" s="7">
        <v>23302</v>
      </c>
      <c r="E596" s="38">
        <v>3951</v>
      </c>
      <c r="F596" s="39">
        <v>4.7619999999999997E-3</v>
      </c>
      <c r="G596" t="s">
        <v>2</v>
      </c>
      <c r="H596" s="23" t="s">
        <v>90</v>
      </c>
      <c r="I596" s="23">
        <v>21</v>
      </c>
      <c r="J596" s="23">
        <v>19</v>
      </c>
      <c r="K596" s="8">
        <v>0.15</v>
      </c>
      <c r="L596" s="8">
        <v>0.85</v>
      </c>
      <c r="M596">
        <f t="shared" si="9"/>
        <v>1.5E-3</v>
      </c>
    </row>
    <row r="597" spans="1:13" x14ac:dyDescent="0.3">
      <c r="A597" s="23" t="s">
        <v>112</v>
      </c>
      <c r="B597" t="s">
        <v>23</v>
      </c>
      <c r="C597" s="38">
        <v>2141</v>
      </c>
      <c r="D597" s="7">
        <v>21919</v>
      </c>
      <c r="E597" s="38">
        <v>2548</v>
      </c>
      <c r="F597" s="39">
        <v>4.7580000000000001E-3</v>
      </c>
      <c r="G597" t="s">
        <v>3</v>
      </c>
      <c r="H597" s="23" t="s">
        <v>90</v>
      </c>
      <c r="I597" s="23">
        <v>5</v>
      </c>
      <c r="J597" s="23">
        <v>59</v>
      </c>
      <c r="K597" s="8">
        <v>0.87</v>
      </c>
      <c r="L597" s="8">
        <v>0.13</v>
      </c>
      <c r="M597">
        <f t="shared" si="9"/>
        <v>8.6999999999999994E-3</v>
      </c>
    </row>
    <row r="598" spans="1:13" x14ac:dyDescent="0.3">
      <c r="A598" s="23" t="s">
        <v>112</v>
      </c>
      <c r="B598" t="s">
        <v>24</v>
      </c>
      <c r="C598" s="38">
        <v>516</v>
      </c>
      <c r="D598" s="7">
        <v>83503</v>
      </c>
      <c r="E598" s="38">
        <v>882</v>
      </c>
      <c r="F598" s="39">
        <v>2.2399999999999998E-3</v>
      </c>
      <c r="G598" t="s">
        <v>0</v>
      </c>
      <c r="H598" s="23" t="s">
        <v>90</v>
      </c>
      <c r="I598" s="23">
        <v>22</v>
      </c>
      <c r="J598" s="23">
        <v>29</v>
      </c>
      <c r="K598" s="8">
        <v>0.23</v>
      </c>
      <c r="L598" s="8">
        <v>0.77</v>
      </c>
      <c r="M598">
        <f t="shared" si="9"/>
        <v>2.3E-3</v>
      </c>
    </row>
    <row r="599" spans="1:13" x14ac:dyDescent="0.3">
      <c r="A599" s="23" t="s">
        <v>112</v>
      </c>
      <c r="B599" t="s">
        <v>24</v>
      </c>
      <c r="C599" s="38">
        <v>471</v>
      </c>
      <c r="D599" s="7">
        <v>134025</v>
      </c>
      <c r="E599" s="38">
        <v>783</v>
      </c>
      <c r="F599" s="39">
        <v>6.025E-3</v>
      </c>
      <c r="G599" t="s">
        <v>1</v>
      </c>
      <c r="H599" s="23" t="s">
        <v>90</v>
      </c>
      <c r="I599" s="23">
        <v>2</v>
      </c>
      <c r="J599" s="23">
        <v>73</v>
      </c>
      <c r="K599" s="8">
        <v>0.85</v>
      </c>
      <c r="L599" s="8">
        <v>0.15000000000000002</v>
      </c>
      <c r="M599">
        <f t="shared" si="9"/>
        <v>8.5000000000000006E-3</v>
      </c>
    </row>
    <row r="600" spans="1:13" x14ac:dyDescent="0.3">
      <c r="A600" s="23" t="s">
        <v>112</v>
      </c>
      <c r="B600" t="s">
        <v>24</v>
      </c>
      <c r="C600" s="38">
        <v>407</v>
      </c>
      <c r="D600" s="7">
        <v>14324</v>
      </c>
      <c r="E600" s="38">
        <v>975</v>
      </c>
      <c r="F600" s="39">
        <v>6.4790000000000004E-3</v>
      </c>
      <c r="G600" t="s">
        <v>2</v>
      </c>
      <c r="H600" s="23" t="s">
        <v>90</v>
      </c>
      <c r="I600" s="23">
        <v>1</v>
      </c>
      <c r="J600" s="23">
        <v>16</v>
      </c>
      <c r="K600" s="8">
        <v>0.55000000000000004</v>
      </c>
      <c r="L600" s="8">
        <v>0.44999999999999996</v>
      </c>
      <c r="M600">
        <f t="shared" si="9"/>
        <v>5.5000000000000005E-3</v>
      </c>
    </row>
    <row r="601" spans="1:13" x14ac:dyDescent="0.3">
      <c r="A601" s="23" t="s">
        <v>112</v>
      </c>
      <c r="B601" t="s">
        <v>24</v>
      </c>
      <c r="C601" s="38">
        <v>362</v>
      </c>
      <c r="D601" s="7">
        <v>64846</v>
      </c>
      <c r="E601" s="38">
        <v>876</v>
      </c>
      <c r="F601" s="39">
        <v>3.7910000000000001E-3</v>
      </c>
      <c r="G601" t="s">
        <v>3</v>
      </c>
      <c r="H601" s="23" t="s">
        <v>90</v>
      </c>
      <c r="I601" s="23">
        <v>10</v>
      </c>
      <c r="J601" s="23">
        <v>28</v>
      </c>
      <c r="K601" s="8">
        <v>0.44</v>
      </c>
      <c r="L601" s="8">
        <v>0.56000000000000005</v>
      </c>
      <c r="M601">
        <f t="shared" si="9"/>
        <v>4.4000000000000003E-3</v>
      </c>
    </row>
    <row r="602" spans="1:13" x14ac:dyDescent="0.3">
      <c r="A602" s="23" t="s">
        <v>112</v>
      </c>
      <c r="B602" t="s">
        <v>19</v>
      </c>
      <c r="C602" s="38">
        <v>939</v>
      </c>
      <c r="D602" s="7">
        <v>8640</v>
      </c>
      <c r="E602" s="38">
        <v>2390</v>
      </c>
      <c r="F602" s="39">
        <v>4.1209999999999997E-3</v>
      </c>
      <c r="G602" t="s">
        <v>0</v>
      </c>
      <c r="H602" s="23" t="s">
        <v>89</v>
      </c>
      <c r="I602" s="23">
        <v>22</v>
      </c>
      <c r="J602" s="23">
        <v>73</v>
      </c>
      <c r="K602" s="8">
        <v>0.63</v>
      </c>
      <c r="L602" s="8">
        <v>0.37</v>
      </c>
      <c r="M602">
        <f t="shared" si="9"/>
        <v>6.3E-3</v>
      </c>
    </row>
    <row r="603" spans="1:13" x14ac:dyDescent="0.3">
      <c r="A603" s="23" t="s">
        <v>112</v>
      </c>
      <c r="B603" t="s">
        <v>19</v>
      </c>
      <c r="C603" s="38">
        <v>2469</v>
      </c>
      <c r="D603" s="7">
        <v>11683</v>
      </c>
      <c r="E603" s="38">
        <v>2591</v>
      </c>
      <c r="F603" s="39">
        <v>6.7019999999999996E-3</v>
      </c>
      <c r="G603" t="s">
        <v>1</v>
      </c>
      <c r="H603" s="23" t="s">
        <v>89</v>
      </c>
      <c r="I603" s="23">
        <v>14</v>
      </c>
      <c r="J603" s="23">
        <v>17</v>
      </c>
      <c r="K603" s="8">
        <v>0.5</v>
      </c>
      <c r="L603" s="8">
        <v>0.5</v>
      </c>
      <c r="M603">
        <f t="shared" si="9"/>
        <v>5.0000000000000001E-3</v>
      </c>
    </row>
    <row r="604" spans="1:13" x14ac:dyDescent="0.3">
      <c r="A604" s="23" t="s">
        <v>112</v>
      </c>
      <c r="B604" t="s">
        <v>19</v>
      </c>
      <c r="C604" s="38">
        <v>879</v>
      </c>
      <c r="D604" s="7">
        <v>5614</v>
      </c>
      <c r="E604" s="38">
        <v>4107</v>
      </c>
      <c r="F604" s="39">
        <v>1.4829999999999999E-3</v>
      </c>
      <c r="G604" t="s">
        <v>2</v>
      </c>
      <c r="H604" s="23" t="s">
        <v>89</v>
      </c>
      <c r="I604" s="23">
        <v>9</v>
      </c>
      <c r="J604" s="23">
        <v>10</v>
      </c>
      <c r="K604" s="8">
        <v>0.39</v>
      </c>
      <c r="L604" s="8">
        <v>0.61</v>
      </c>
      <c r="M604">
        <f t="shared" si="9"/>
        <v>3.9000000000000003E-3</v>
      </c>
    </row>
    <row r="605" spans="1:13" x14ac:dyDescent="0.3">
      <c r="A605" s="23" t="s">
        <v>112</v>
      </c>
      <c r="B605" t="s">
        <v>19</v>
      </c>
      <c r="C605" s="38">
        <v>2409</v>
      </c>
      <c r="D605" s="7">
        <v>8658</v>
      </c>
      <c r="E605" s="38">
        <v>4307</v>
      </c>
      <c r="F605" s="39">
        <v>2.8210000000000002E-3</v>
      </c>
      <c r="G605" t="s">
        <v>3</v>
      </c>
      <c r="H605" s="23" t="s">
        <v>89</v>
      </c>
      <c r="I605" s="23">
        <v>4</v>
      </c>
      <c r="J605" s="23">
        <v>25</v>
      </c>
      <c r="K605" s="8">
        <v>0.86</v>
      </c>
      <c r="L605" s="8">
        <v>0.14000000000000001</v>
      </c>
      <c r="M605">
        <f t="shared" si="9"/>
        <v>8.6E-3</v>
      </c>
    </row>
    <row r="606" spans="1:13" x14ac:dyDescent="0.3">
      <c r="A606" s="23" t="s">
        <v>112</v>
      </c>
      <c r="B606" t="s">
        <v>20</v>
      </c>
      <c r="C606" s="38">
        <v>1976</v>
      </c>
      <c r="D606" s="7">
        <v>15145</v>
      </c>
      <c r="E606" s="38">
        <v>6090</v>
      </c>
      <c r="F606" s="39">
        <v>3.326E-3</v>
      </c>
      <c r="G606" t="s">
        <v>0</v>
      </c>
      <c r="H606" s="23" t="s">
        <v>89</v>
      </c>
      <c r="I606" s="23">
        <v>10</v>
      </c>
      <c r="J606" s="23">
        <v>49</v>
      </c>
      <c r="K606" s="8">
        <v>0.63</v>
      </c>
      <c r="L606" s="8">
        <v>0.37</v>
      </c>
      <c r="M606">
        <f t="shared" si="9"/>
        <v>6.3E-3</v>
      </c>
    </row>
    <row r="607" spans="1:13" x14ac:dyDescent="0.3">
      <c r="A607" s="23" t="s">
        <v>112</v>
      </c>
      <c r="B607" t="s">
        <v>20</v>
      </c>
      <c r="C607" s="38">
        <v>1135</v>
      </c>
      <c r="D607" s="7">
        <v>12890</v>
      </c>
      <c r="E607" s="38">
        <v>7729</v>
      </c>
      <c r="F607" s="39">
        <v>1.8159999999999999E-3</v>
      </c>
      <c r="G607" t="s">
        <v>1</v>
      </c>
      <c r="H607" s="23" t="s">
        <v>89</v>
      </c>
      <c r="I607" s="23">
        <v>4</v>
      </c>
      <c r="J607" s="23">
        <v>75</v>
      </c>
      <c r="K607" s="8">
        <v>0.69</v>
      </c>
      <c r="L607" s="8">
        <v>0.31000000000000005</v>
      </c>
      <c r="M607">
        <f t="shared" si="9"/>
        <v>6.8999999999999999E-3</v>
      </c>
    </row>
    <row r="608" spans="1:13" x14ac:dyDescent="0.3">
      <c r="A608" s="23" t="s">
        <v>112</v>
      </c>
      <c r="B608" t="s">
        <v>20</v>
      </c>
      <c r="C608" s="38">
        <v>3782</v>
      </c>
      <c r="D608" s="7">
        <v>11262</v>
      </c>
      <c r="E608" s="38">
        <v>2107</v>
      </c>
      <c r="F608" s="39">
        <v>1.266E-3</v>
      </c>
      <c r="G608" t="s">
        <v>2</v>
      </c>
      <c r="H608" s="23" t="s">
        <v>89</v>
      </c>
      <c r="I608" s="23">
        <v>21</v>
      </c>
      <c r="J608" s="23">
        <v>67</v>
      </c>
      <c r="K608" s="8">
        <v>0.76</v>
      </c>
      <c r="L608" s="8">
        <v>0.24</v>
      </c>
      <c r="M608">
        <f t="shared" si="9"/>
        <v>7.6E-3</v>
      </c>
    </row>
    <row r="609" spans="1:13" x14ac:dyDescent="0.3">
      <c r="A609" s="23" t="s">
        <v>112</v>
      </c>
      <c r="B609" t="s">
        <v>20</v>
      </c>
      <c r="C609" s="38">
        <v>2941</v>
      </c>
      <c r="D609" s="7">
        <v>9006</v>
      </c>
      <c r="E609" s="38">
        <v>3746</v>
      </c>
      <c r="F609" s="39">
        <v>7.2560000000000003E-3</v>
      </c>
      <c r="G609" t="s">
        <v>3</v>
      </c>
      <c r="H609" s="23" t="s">
        <v>89</v>
      </c>
      <c r="I609" s="23">
        <v>15</v>
      </c>
      <c r="J609" s="23">
        <v>38</v>
      </c>
      <c r="K609" s="8">
        <v>0.1</v>
      </c>
      <c r="L609" s="8">
        <v>0.9</v>
      </c>
      <c r="M609">
        <f t="shared" si="9"/>
        <v>1E-3</v>
      </c>
    </row>
    <row r="610" spans="1:13" x14ac:dyDescent="0.3">
      <c r="A610" s="23" t="s">
        <v>112</v>
      </c>
      <c r="B610" t="s">
        <v>22</v>
      </c>
      <c r="C610" s="38">
        <v>375</v>
      </c>
      <c r="D610" s="7">
        <v>6113</v>
      </c>
      <c r="E610" s="38">
        <v>899</v>
      </c>
      <c r="F610" s="39">
        <v>7.0910000000000001E-3</v>
      </c>
      <c r="G610" t="s">
        <v>0</v>
      </c>
      <c r="H610" s="23" t="s">
        <v>89</v>
      </c>
      <c r="I610" s="23">
        <v>1</v>
      </c>
      <c r="J610" s="23">
        <v>17</v>
      </c>
      <c r="K610" s="8">
        <v>0.75</v>
      </c>
      <c r="L610" s="8">
        <v>0.25</v>
      </c>
      <c r="M610">
        <f t="shared" si="9"/>
        <v>7.4999999999999997E-3</v>
      </c>
    </row>
    <row r="611" spans="1:13" x14ac:dyDescent="0.3">
      <c r="A611" s="23" t="s">
        <v>112</v>
      </c>
      <c r="B611" t="s">
        <v>22</v>
      </c>
      <c r="C611" s="38">
        <v>376</v>
      </c>
      <c r="D611" s="7">
        <v>7065</v>
      </c>
      <c r="E611" s="38">
        <v>936</v>
      </c>
      <c r="F611" s="39">
        <v>6.0280000000000004E-3</v>
      </c>
      <c r="G611" t="s">
        <v>1</v>
      </c>
      <c r="H611" s="23" t="s">
        <v>89</v>
      </c>
      <c r="I611" s="23">
        <v>3</v>
      </c>
      <c r="J611" s="23">
        <v>27</v>
      </c>
      <c r="K611" s="8">
        <v>0.11</v>
      </c>
      <c r="L611" s="8">
        <v>0.89</v>
      </c>
      <c r="M611">
        <f t="shared" si="9"/>
        <v>1.1000000000000001E-3</v>
      </c>
    </row>
    <row r="612" spans="1:13" x14ac:dyDescent="0.3">
      <c r="A612" s="23" t="s">
        <v>112</v>
      </c>
      <c r="B612" t="s">
        <v>22</v>
      </c>
      <c r="C612" s="38">
        <v>402</v>
      </c>
      <c r="D612" s="7">
        <v>14802</v>
      </c>
      <c r="E612" s="38">
        <v>621</v>
      </c>
      <c r="F612" s="39">
        <v>3.3779999999999999E-3</v>
      </c>
      <c r="G612" t="s">
        <v>2</v>
      </c>
      <c r="H612" s="23" t="s">
        <v>89</v>
      </c>
      <c r="I612" s="23">
        <v>3</v>
      </c>
      <c r="J612" s="23">
        <v>57</v>
      </c>
      <c r="K612" s="8">
        <v>0.82</v>
      </c>
      <c r="L612" s="8">
        <v>0.18000000000000005</v>
      </c>
      <c r="M612">
        <f t="shared" si="9"/>
        <v>8.199999999999999E-3</v>
      </c>
    </row>
    <row r="613" spans="1:13" x14ac:dyDescent="0.3">
      <c r="A613" s="23" t="s">
        <v>112</v>
      </c>
      <c r="B613" t="s">
        <v>22</v>
      </c>
      <c r="C613" s="38">
        <v>403</v>
      </c>
      <c r="D613" s="7">
        <v>15754</v>
      </c>
      <c r="E613" s="38">
        <v>658</v>
      </c>
      <c r="F613" s="39">
        <v>1.379E-3</v>
      </c>
      <c r="G613" t="s">
        <v>3</v>
      </c>
      <c r="H613" s="23" t="s">
        <v>89</v>
      </c>
      <c r="I613" s="23">
        <v>1</v>
      </c>
      <c r="J613" s="23">
        <v>7</v>
      </c>
      <c r="K613" s="8">
        <v>0.65</v>
      </c>
      <c r="L613" s="8">
        <v>0.35</v>
      </c>
      <c r="M613">
        <f t="shared" si="9"/>
        <v>6.5000000000000006E-3</v>
      </c>
    </row>
    <row r="614" spans="1:13" x14ac:dyDescent="0.3">
      <c r="A614" s="23" t="s">
        <v>112</v>
      </c>
      <c r="B614" t="s">
        <v>21</v>
      </c>
      <c r="C614" s="38">
        <v>2769</v>
      </c>
      <c r="D614" s="7">
        <v>178662</v>
      </c>
      <c r="E614" s="38">
        <v>8093</v>
      </c>
      <c r="F614" s="39">
        <v>4.6810000000000003E-3</v>
      </c>
      <c r="G614" t="s">
        <v>0</v>
      </c>
      <c r="H614" s="23" t="s">
        <v>89</v>
      </c>
      <c r="I614" s="23">
        <v>14</v>
      </c>
      <c r="J614" s="23">
        <v>22</v>
      </c>
      <c r="K614" s="8">
        <v>0.5</v>
      </c>
      <c r="L614" s="8">
        <v>0.5</v>
      </c>
      <c r="M614">
        <f t="shared" si="9"/>
        <v>5.0000000000000001E-3</v>
      </c>
    </row>
    <row r="615" spans="1:13" x14ac:dyDescent="0.3">
      <c r="A615" s="23" t="s">
        <v>112</v>
      </c>
      <c r="B615" t="s">
        <v>21</v>
      </c>
      <c r="C615" s="38">
        <v>4720</v>
      </c>
      <c r="D615" s="7">
        <v>173085</v>
      </c>
      <c r="E615" s="38">
        <v>9770</v>
      </c>
      <c r="F615" s="39">
        <v>6.2639999999999996E-3</v>
      </c>
      <c r="G615" t="s">
        <v>1</v>
      </c>
      <c r="H615" s="23" t="s">
        <v>89</v>
      </c>
      <c r="I615" s="23">
        <v>1</v>
      </c>
      <c r="J615" s="23">
        <v>31</v>
      </c>
      <c r="K615" s="8">
        <v>0.31</v>
      </c>
      <c r="L615" s="8">
        <v>0.69</v>
      </c>
      <c r="M615">
        <f t="shared" si="9"/>
        <v>3.0999999999999999E-3</v>
      </c>
    </row>
    <row r="616" spans="1:13" x14ac:dyDescent="0.3">
      <c r="A616" s="23" t="s">
        <v>112</v>
      </c>
      <c r="B616" t="s">
        <v>21</v>
      </c>
      <c r="C616" s="38">
        <v>1228</v>
      </c>
      <c r="D616" s="7">
        <v>75716</v>
      </c>
      <c r="E616" s="38">
        <v>2126</v>
      </c>
      <c r="F616" s="39">
        <v>3.545E-3</v>
      </c>
      <c r="G616" t="s">
        <v>2</v>
      </c>
      <c r="H616" s="23" t="s">
        <v>89</v>
      </c>
      <c r="I616" s="23">
        <v>13</v>
      </c>
      <c r="J616" s="23">
        <v>15</v>
      </c>
      <c r="K616" s="8">
        <v>0.7</v>
      </c>
      <c r="L616" s="8">
        <v>0.30000000000000004</v>
      </c>
      <c r="M616">
        <f t="shared" si="9"/>
        <v>6.9999999999999993E-3</v>
      </c>
    </row>
    <row r="617" spans="1:13" x14ac:dyDescent="0.3">
      <c r="A617" s="23" t="s">
        <v>112</v>
      </c>
      <c r="B617" t="s">
        <v>21</v>
      </c>
      <c r="C617" s="38">
        <v>3179</v>
      </c>
      <c r="D617" s="7">
        <v>70139</v>
      </c>
      <c r="E617" s="38">
        <v>3803</v>
      </c>
      <c r="F617" s="39">
        <v>7.0990000000000003E-3</v>
      </c>
      <c r="G617" t="s">
        <v>3</v>
      </c>
      <c r="H617" s="23" t="s">
        <v>89</v>
      </c>
      <c r="I617" s="23">
        <v>16</v>
      </c>
      <c r="J617" s="23">
        <v>14</v>
      </c>
      <c r="K617" s="8">
        <v>0.41</v>
      </c>
      <c r="L617" s="8">
        <v>0.59000000000000008</v>
      </c>
      <c r="M617">
        <f t="shared" si="9"/>
        <v>4.0999999999999995E-3</v>
      </c>
    </row>
    <row r="618" spans="1:13" x14ac:dyDescent="0.3">
      <c r="A618" s="23" t="s">
        <v>112</v>
      </c>
      <c r="B618" t="s">
        <v>23</v>
      </c>
      <c r="C618" s="38">
        <v>1381</v>
      </c>
      <c r="D618" s="7">
        <v>6019</v>
      </c>
      <c r="E618" s="38">
        <v>1536</v>
      </c>
      <c r="F618" s="39">
        <v>1.562E-3</v>
      </c>
      <c r="G618" t="s">
        <v>0</v>
      </c>
      <c r="H618" s="23" t="s">
        <v>89</v>
      </c>
      <c r="I618" s="23">
        <v>16</v>
      </c>
      <c r="J618" s="23">
        <v>10</v>
      </c>
      <c r="K618" s="8">
        <v>0.78</v>
      </c>
      <c r="L618" s="8">
        <v>0.21999999999999997</v>
      </c>
      <c r="M618">
        <f t="shared" si="9"/>
        <v>7.8000000000000005E-3</v>
      </c>
    </row>
    <row r="619" spans="1:13" x14ac:dyDescent="0.3">
      <c r="A619" s="23" t="s">
        <v>112</v>
      </c>
      <c r="B619" t="s">
        <v>23</v>
      </c>
      <c r="C619" s="38">
        <v>532</v>
      </c>
      <c r="D619" s="7">
        <v>16461</v>
      </c>
      <c r="E619" s="38">
        <v>2320</v>
      </c>
      <c r="F619" s="39">
        <v>4.8079999999999998E-3</v>
      </c>
      <c r="G619" t="s">
        <v>1</v>
      </c>
      <c r="H619" s="23" t="s">
        <v>89</v>
      </c>
      <c r="I619" s="23">
        <v>10</v>
      </c>
      <c r="J619" s="23">
        <v>22</v>
      </c>
      <c r="K619" s="8">
        <v>0.32</v>
      </c>
      <c r="L619" s="8">
        <v>0.67999999999999994</v>
      </c>
      <c r="M619">
        <f t="shared" si="9"/>
        <v>3.2000000000000002E-3</v>
      </c>
    </row>
    <row r="620" spans="1:13" x14ac:dyDescent="0.3">
      <c r="A620" s="23" t="s">
        <v>112</v>
      </c>
      <c r="B620" t="s">
        <v>23</v>
      </c>
      <c r="C620" s="38">
        <v>1592</v>
      </c>
      <c r="D620" s="7">
        <v>8087</v>
      </c>
      <c r="E620" s="38">
        <v>1929</v>
      </c>
      <c r="F620" s="39">
        <v>7.4819999999999999E-3</v>
      </c>
      <c r="G620" t="s">
        <v>2</v>
      </c>
      <c r="H620" s="23" t="s">
        <v>89</v>
      </c>
      <c r="I620" s="23">
        <v>8</v>
      </c>
      <c r="J620" s="23">
        <v>51</v>
      </c>
      <c r="K620" s="8">
        <v>0.15</v>
      </c>
      <c r="L620" s="8">
        <v>0.85</v>
      </c>
      <c r="M620">
        <f t="shared" si="9"/>
        <v>1.5E-3</v>
      </c>
    </row>
    <row r="621" spans="1:13" x14ac:dyDescent="0.3">
      <c r="A621" s="23" t="s">
        <v>112</v>
      </c>
      <c r="B621" t="s">
        <v>23</v>
      </c>
      <c r="C621" s="38">
        <v>743</v>
      </c>
      <c r="D621" s="7">
        <v>18529</v>
      </c>
      <c r="E621" s="38">
        <v>2713</v>
      </c>
      <c r="F621" s="39">
        <v>4.3620000000000004E-3</v>
      </c>
      <c r="G621" t="s">
        <v>3</v>
      </c>
      <c r="H621" s="23" t="s">
        <v>89</v>
      </c>
      <c r="I621" s="23">
        <v>20</v>
      </c>
      <c r="J621" s="23">
        <v>68</v>
      </c>
      <c r="K621" s="8">
        <v>0.12</v>
      </c>
      <c r="L621" s="8">
        <v>0.88</v>
      </c>
      <c r="M621">
        <f t="shared" si="9"/>
        <v>1.1999999999999999E-3</v>
      </c>
    </row>
    <row r="622" spans="1:13" x14ac:dyDescent="0.3">
      <c r="A622" s="23" t="s">
        <v>112</v>
      </c>
      <c r="B622" t="s">
        <v>24</v>
      </c>
      <c r="C622" s="38">
        <v>346</v>
      </c>
      <c r="D622" s="7">
        <v>88223</v>
      </c>
      <c r="E622" s="38">
        <v>775</v>
      </c>
      <c r="F622" s="39">
        <v>6.633E-3</v>
      </c>
      <c r="G622" t="s">
        <v>0</v>
      </c>
      <c r="H622" s="23" t="s">
        <v>89</v>
      </c>
      <c r="I622" s="23">
        <v>22</v>
      </c>
      <c r="J622" s="23">
        <v>59</v>
      </c>
      <c r="K622" s="8">
        <v>0.44</v>
      </c>
      <c r="L622" s="8">
        <v>0.56000000000000005</v>
      </c>
      <c r="M622">
        <f t="shared" si="9"/>
        <v>4.4000000000000003E-3</v>
      </c>
    </row>
    <row r="623" spans="1:13" x14ac:dyDescent="0.3">
      <c r="A623" s="23" t="s">
        <v>112</v>
      </c>
      <c r="B623" t="s">
        <v>24</v>
      </c>
      <c r="C623" s="38">
        <v>102</v>
      </c>
      <c r="D623" s="7">
        <v>78091</v>
      </c>
      <c r="E623" s="38">
        <v>1053</v>
      </c>
      <c r="F623" s="39">
        <v>5.0390000000000001E-3</v>
      </c>
      <c r="G623" t="s">
        <v>1</v>
      </c>
      <c r="H623" s="23" t="s">
        <v>89</v>
      </c>
      <c r="I623" s="23">
        <v>16</v>
      </c>
      <c r="J623" s="23">
        <v>11</v>
      </c>
      <c r="K623" s="8">
        <v>0.24</v>
      </c>
      <c r="L623" s="8">
        <v>0.76</v>
      </c>
      <c r="M623">
        <f t="shared" si="9"/>
        <v>2.3999999999999998E-3</v>
      </c>
    </row>
    <row r="624" spans="1:13" x14ac:dyDescent="0.3">
      <c r="A624" s="23" t="s">
        <v>112</v>
      </c>
      <c r="B624" t="s">
        <v>24</v>
      </c>
      <c r="C624" s="38">
        <v>475</v>
      </c>
      <c r="D624" s="7">
        <v>19650</v>
      </c>
      <c r="E624" s="38">
        <v>101</v>
      </c>
      <c r="F624" s="39">
        <v>7.1110000000000001E-3</v>
      </c>
      <c r="G624" t="s">
        <v>2</v>
      </c>
      <c r="H624" s="23" t="s">
        <v>89</v>
      </c>
      <c r="I624" s="23">
        <v>13</v>
      </c>
      <c r="J624" s="23">
        <v>57</v>
      </c>
      <c r="K624" s="8">
        <v>0.43</v>
      </c>
      <c r="L624" s="8">
        <v>0.57000000000000006</v>
      </c>
      <c r="M624">
        <f t="shared" si="9"/>
        <v>4.3E-3</v>
      </c>
    </row>
    <row r="625" spans="1:13" x14ac:dyDescent="0.3">
      <c r="A625" s="23" t="s">
        <v>112</v>
      </c>
      <c r="B625" t="s">
        <v>24</v>
      </c>
      <c r="C625" s="38">
        <v>230</v>
      </c>
      <c r="D625" s="7">
        <v>9518</v>
      </c>
      <c r="E625" s="38">
        <v>380</v>
      </c>
      <c r="F625" s="39">
        <v>6.8009999999999998E-3</v>
      </c>
      <c r="G625" t="s">
        <v>3</v>
      </c>
      <c r="H625" s="23" t="s">
        <v>89</v>
      </c>
      <c r="I625" s="23">
        <v>13</v>
      </c>
      <c r="J625" s="23">
        <v>57</v>
      </c>
      <c r="K625" s="8">
        <v>0.78</v>
      </c>
      <c r="L625" s="8">
        <v>0.21999999999999997</v>
      </c>
      <c r="M625">
        <f t="shared" si="9"/>
        <v>7.8000000000000005E-3</v>
      </c>
    </row>
    <row r="626" spans="1:13" x14ac:dyDescent="0.3">
      <c r="A626" s="23" t="s">
        <v>112</v>
      </c>
      <c r="B626" t="s">
        <v>19</v>
      </c>
      <c r="C626" s="38">
        <v>481</v>
      </c>
      <c r="D626" s="7">
        <v>5553</v>
      </c>
      <c r="E626" s="38">
        <v>1556</v>
      </c>
      <c r="F626" s="39">
        <v>5.7869999999999996E-3</v>
      </c>
      <c r="G626" t="s">
        <v>0</v>
      </c>
      <c r="H626" s="23" t="s">
        <v>91</v>
      </c>
      <c r="I626" s="23">
        <v>21</v>
      </c>
      <c r="J626" s="23">
        <v>47</v>
      </c>
      <c r="K626" s="8">
        <v>0.53</v>
      </c>
      <c r="L626" s="8">
        <v>0.47</v>
      </c>
      <c r="M626">
        <f t="shared" si="9"/>
        <v>5.3E-3</v>
      </c>
    </row>
    <row r="627" spans="1:13" x14ac:dyDescent="0.3">
      <c r="A627" s="23" t="s">
        <v>112</v>
      </c>
      <c r="B627" t="s">
        <v>19</v>
      </c>
      <c r="C627" s="38">
        <v>1467</v>
      </c>
      <c r="D627" s="7">
        <v>1453</v>
      </c>
      <c r="E627" s="38">
        <v>1177</v>
      </c>
      <c r="F627" s="39">
        <v>2.529E-3</v>
      </c>
      <c r="G627" t="s">
        <v>1</v>
      </c>
      <c r="H627" s="23" t="s">
        <v>91</v>
      </c>
      <c r="I627" s="23">
        <v>7</v>
      </c>
      <c r="J627" s="23">
        <v>43</v>
      </c>
      <c r="K627" s="8">
        <v>0.62</v>
      </c>
      <c r="L627" s="8">
        <v>0.38</v>
      </c>
      <c r="M627">
        <f t="shared" si="9"/>
        <v>6.1999999999999998E-3</v>
      </c>
    </row>
    <row r="628" spans="1:13" x14ac:dyDescent="0.3">
      <c r="A628" s="23" t="s">
        <v>112</v>
      </c>
      <c r="B628" t="s">
        <v>19</v>
      </c>
      <c r="C628" s="38">
        <v>887</v>
      </c>
      <c r="D628" s="7">
        <v>12069</v>
      </c>
      <c r="E628" s="38">
        <v>3532</v>
      </c>
      <c r="F628" s="39">
        <v>1.7229999999999999E-3</v>
      </c>
      <c r="G628" t="s">
        <v>2</v>
      </c>
      <c r="H628" s="23" t="s">
        <v>91</v>
      </c>
      <c r="I628" s="23">
        <v>18</v>
      </c>
      <c r="J628" s="23">
        <v>77</v>
      </c>
      <c r="K628" s="8">
        <v>0.62</v>
      </c>
      <c r="L628" s="8">
        <v>0.38</v>
      </c>
      <c r="M628">
        <f t="shared" si="9"/>
        <v>6.1999999999999998E-3</v>
      </c>
    </row>
    <row r="629" spans="1:13" x14ac:dyDescent="0.3">
      <c r="A629" s="23" t="s">
        <v>112</v>
      </c>
      <c r="B629" t="s">
        <v>19</v>
      </c>
      <c r="C629" s="38">
        <v>1873</v>
      </c>
      <c r="D629" s="7">
        <v>7968</v>
      </c>
      <c r="E629" s="38">
        <v>3153</v>
      </c>
      <c r="F629" s="39">
        <v>1.392E-3</v>
      </c>
      <c r="G629" t="s">
        <v>3</v>
      </c>
      <c r="H629" s="23" t="s">
        <v>91</v>
      </c>
      <c r="I629" s="23">
        <v>16</v>
      </c>
      <c r="J629" s="23">
        <v>58</v>
      </c>
      <c r="K629" s="8">
        <v>0.56000000000000005</v>
      </c>
      <c r="L629" s="8">
        <v>0.43999999999999995</v>
      </c>
      <c r="M629">
        <f t="shared" si="9"/>
        <v>5.6000000000000008E-3</v>
      </c>
    </row>
    <row r="630" spans="1:13" x14ac:dyDescent="0.3">
      <c r="A630" s="23" t="s">
        <v>112</v>
      </c>
      <c r="B630" t="s">
        <v>20</v>
      </c>
      <c r="C630" s="38">
        <v>803</v>
      </c>
      <c r="D630" s="7">
        <v>10790</v>
      </c>
      <c r="E630" s="38">
        <v>3188</v>
      </c>
      <c r="F630" s="39">
        <v>5.5919999999999997E-3</v>
      </c>
      <c r="G630" t="s">
        <v>0</v>
      </c>
      <c r="H630" s="23" t="s">
        <v>91</v>
      </c>
      <c r="I630" s="23">
        <v>22</v>
      </c>
      <c r="J630" s="23">
        <v>22</v>
      </c>
      <c r="K630" s="8">
        <v>0.78</v>
      </c>
      <c r="L630" s="8">
        <v>0.21999999999999997</v>
      </c>
      <c r="M630">
        <f t="shared" si="9"/>
        <v>7.8000000000000005E-3</v>
      </c>
    </row>
    <row r="631" spans="1:13" x14ac:dyDescent="0.3">
      <c r="A631" s="23" t="s">
        <v>112</v>
      </c>
      <c r="B631" t="s">
        <v>20</v>
      </c>
      <c r="C631" s="38">
        <v>1696</v>
      </c>
      <c r="D631" s="7">
        <v>11477</v>
      </c>
      <c r="E631" s="38">
        <v>5015</v>
      </c>
      <c r="F631" s="39">
        <v>4.6210000000000001E-3</v>
      </c>
      <c r="G631" t="s">
        <v>1</v>
      </c>
      <c r="H631" s="23" t="s">
        <v>91</v>
      </c>
      <c r="I631" s="23">
        <v>14</v>
      </c>
      <c r="J631" s="23">
        <v>68</v>
      </c>
      <c r="K631" s="8">
        <v>0.36</v>
      </c>
      <c r="L631" s="8">
        <v>0.64</v>
      </c>
      <c r="M631">
        <f t="shared" si="9"/>
        <v>3.5999999999999999E-3</v>
      </c>
    </row>
    <row r="632" spans="1:13" x14ac:dyDescent="0.3">
      <c r="A632" s="23" t="s">
        <v>112</v>
      </c>
      <c r="B632" t="s">
        <v>20</v>
      </c>
      <c r="C632" s="38">
        <v>2147</v>
      </c>
      <c r="D632" s="7">
        <v>7402</v>
      </c>
      <c r="E632" s="38">
        <v>2673</v>
      </c>
      <c r="F632" s="39">
        <v>6.6730000000000001E-3</v>
      </c>
      <c r="G632" t="s">
        <v>2</v>
      </c>
      <c r="H632" s="23" t="s">
        <v>91</v>
      </c>
      <c r="I632" s="23">
        <v>21</v>
      </c>
      <c r="J632" s="23">
        <v>46</v>
      </c>
      <c r="K632" s="8">
        <v>0.35</v>
      </c>
      <c r="L632" s="8">
        <v>0.65</v>
      </c>
      <c r="M632">
        <f t="shared" si="9"/>
        <v>3.4999999999999996E-3</v>
      </c>
    </row>
    <row r="633" spans="1:13" x14ac:dyDescent="0.3">
      <c r="A633" s="23" t="s">
        <v>112</v>
      </c>
      <c r="B633" t="s">
        <v>20</v>
      </c>
      <c r="C633" s="38">
        <v>3041</v>
      </c>
      <c r="D633" s="7">
        <v>8089</v>
      </c>
      <c r="E633" s="38">
        <v>4500</v>
      </c>
      <c r="F633" s="39">
        <v>5.0229999999999997E-3</v>
      </c>
      <c r="G633" t="s">
        <v>3</v>
      </c>
      <c r="H633" s="23" t="s">
        <v>91</v>
      </c>
      <c r="I633" s="23">
        <v>6</v>
      </c>
      <c r="J633" s="23">
        <v>38</v>
      </c>
      <c r="K633" s="8">
        <v>0.64</v>
      </c>
      <c r="L633" s="8">
        <v>0.36</v>
      </c>
      <c r="M633">
        <f t="shared" si="9"/>
        <v>6.4000000000000003E-3</v>
      </c>
    </row>
    <row r="634" spans="1:13" x14ac:dyDescent="0.3">
      <c r="A634" s="23" t="s">
        <v>112</v>
      </c>
      <c r="B634" t="s">
        <v>22</v>
      </c>
      <c r="C634" s="38">
        <v>100</v>
      </c>
      <c r="D634" s="7">
        <v>15177</v>
      </c>
      <c r="E634" s="38">
        <v>978</v>
      </c>
      <c r="F634" s="39">
        <v>7.2969999999999997E-3</v>
      </c>
      <c r="G634" t="s">
        <v>0</v>
      </c>
      <c r="H634" s="23" t="s">
        <v>91</v>
      </c>
      <c r="I634" s="23">
        <v>12</v>
      </c>
      <c r="J634" s="23">
        <v>3</v>
      </c>
      <c r="K634" s="8">
        <v>0.23</v>
      </c>
      <c r="L634" s="8">
        <v>0.77</v>
      </c>
      <c r="M634">
        <f t="shared" si="9"/>
        <v>2.3E-3</v>
      </c>
    </row>
    <row r="635" spans="1:13" x14ac:dyDescent="0.3">
      <c r="A635" s="23" t="s">
        <v>112</v>
      </c>
      <c r="B635" t="s">
        <v>22</v>
      </c>
      <c r="C635" s="38">
        <v>266</v>
      </c>
      <c r="D635" s="7">
        <v>3093</v>
      </c>
      <c r="E635" s="38">
        <v>591</v>
      </c>
      <c r="F635" s="39">
        <v>6.5069999999999998E-3</v>
      </c>
      <c r="G635" t="s">
        <v>1</v>
      </c>
      <c r="H635" s="23" t="s">
        <v>91</v>
      </c>
      <c r="I635" s="23">
        <v>20</v>
      </c>
      <c r="J635" s="23">
        <v>57</v>
      </c>
      <c r="K635" s="8">
        <v>0.68</v>
      </c>
      <c r="L635" s="8">
        <v>0.31999999999999995</v>
      </c>
      <c r="M635">
        <f t="shared" si="9"/>
        <v>6.8000000000000005E-3</v>
      </c>
    </row>
    <row r="636" spans="1:13" x14ac:dyDescent="0.3">
      <c r="A636" s="23" t="s">
        <v>112</v>
      </c>
      <c r="B636" t="s">
        <v>22</v>
      </c>
      <c r="C636" s="38">
        <v>339</v>
      </c>
      <c r="D636" s="7">
        <v>14000</v>
      </c>
      <c r="E636" s="38">
        <v>621</v>
      </c>
      <c r="F636" s="39">
        <v>1.691E-3</v>
      </c>
      <c r="G636" t="s">
        <v>2</v>
      </c>
      <c r="H636" s="23" t="s">
        <v>91</v>
      </c>
      <c r="I636" s="23">
        <v>16</v>
      </c>
      <c r="J636" s="23">
        <v>17</v>
      </c>
      <c r="K636" s="8">
        <v>0.11</v>
      </c>
      <c r="L636" s="8">
        <v>0.89</v>
      </c>
      <c r="M636">
        <f t="shared" si="9"/>
        <v>1.1000000000000001E-3</v>
      </c>
    </row>
    <row r="637" spans="1:13" x14ac:dyDescent="0.3">
      <c r="A637" s="23" t="s">
        <v>112</v>
      </c>
      <c r="B637" t="s">
        <v>22</v>
      </c>
      <c r="C637" s="38">
        <v>505</v>
      </c>
      <c r="D637" s="7">
        <v>1916</v>
      </c>
      <c r="E637" s="38">
        <v>234</v>
      </c>
      <c r="F637" s="39">
        <v>7.36E-4</v>
      </c>
      <c r="G637" t="s">
        <v>3</v>
      </c>
      <c r="H637" s="23" t="s">
        <v>91</v>
      </c>
      <c r="I637" s="23">
        <v>1</v>
      </c>
      <c r="J637" s="23">
        <v>41</v>
      </c>
      <c r="K637" s="8">
        <v>0.89</v>
      </c>
      <c r="L637" s="8">
        <v>0.10999999999999999</v>
      </c>
      <c r="M637">
        <f t="shared" si="9"/>
        <v>8.8999999999999999E-3</v>
      </c>
    </row>
    <row r="638" spans="1:13" x14ac:dyDescent="0.3">
      <c r="A638" s="23" t="s">
        <v>112</v>
      </c>
      <c r="B638" t="s">
        <v>21</v>
      </c>
      <c r="C638" s="38">
        <v>1211</v>
      </c>
      <c r="D638" s="7">
        <v>133562</v>
      </c>
      <c r="E638" s="38">
        <v>3910</v>
      </c>
      <c r="F638" s="39">
        <v>4.9360000000000003E-3</v>
      </c>
      <c r="G638" t="s">
        <v>0</v>
      </c>
      <c r="H638" s="23" t="s">
        <v>91</v>
      </c>
      <c r="I638" s="23">
        <v>18</v>
      </c>
      <c r="J638" s="23">
        <v>5</v>
      </c>
      <c r="K638" s="8">
        <v>0.1</v>
      </c>
      <c r="L638" s="8">
        <v>0.9</v>
      </c>
      <c r="M638">
        <f t="shared" si="9"/>
        <v>1E-3</v>
      </c>
    </row>
    <row r="639" spans="1:13" x14ac:dyDescent="0.3">
      <c r="A639" s="23" t="s">
        <v>112</v>
      </c>
      <c r="B639" t="s">
        <v>21</v>
      </c>
      <c r="C639" s="38">
        <v>1040</v>
      </c>
      <c r="D639" s="7">
        <v>121648</v>
      </c>
      <c r="E639" s="38">
        <v>1138</v>
      </c>
      <c r="F639" s="39">
        <v>5.6849999999999999E-3</v>
      </c>
      <c r="G639" t="s">
        <v>1</v>
      </c>
      <c r="H639" s="23" t="s">
        <v>91</v>
      </c>
      <c r="I639" s="23">
        <v>6</v>
      </c>
      <c r="J639" s="23">
        <v>28</v>
      </c>
      <c r="K639" s="8">
        <v>0.28999999999999998</v>
      </c>
      <c r="L639" s="8">
        <v>0.71</v>
      </c>
      <c r="M639">
        <f t="shared" si="9"/>
        <v>2.8999999999999998E-3</v>
      </c>
    </row>
    <row r="640" spans="1:13" x14ac:dyDescent="0.3">
      <c r="A640" s="23" t="s">
        <v>112</v>
      </c>
      <c r="B640" t="s">
        <v>21</v>
      </c>
      <c r="C640" s="38">
        <v>1623</v>
      </c>
      <c r="D640" s="7">
        <v>72847</v>
      </c>
      <c r="E640" s="38">
        <v>4189</v>
      </c>
      <c r="F640" s="39">
        <v>9.6199999999999996E-4</v>
      </c>
      <c r="G640" t="s">
        <v>2</v>
      </c>
      <c r="H640" s="23" t="s">
        <v>91</v>
      </c>
      <c r="I640" s="23">
        <v>9</v>
      </c>
      <c r="J640" s="23">
        <v>6</v>
      </c>
      <c r="K640" s="8">
        <v>0.85</v>
      </c>
      <c r="L640" s="8">
        <v>0.15000000000000002</v>
      </c>
      <c r="M640">
        <f t="shared" si="9"/>
        <v>8.5000000000000006E-3</v>
      </c>
    </row>
    <row r="641" spans="1:13" x14ac:dyDescent="0.3">
      <c r="A641" s="23" t="s">
        <v>112</v>
      </c>
      <c r="B641" t="s">
        <v>21</v>
      </c>
      <c r="C641" s="38">
        <v>1451</v>
      </c>
      <c r="D641" s="7">
        <v>60932</v>
      </c>
      <c r="E641" s="38">
        <v>1416</v>
      </c>
      <c r="F641" s="39">
        <v>3.901E-3</v>
      </c>
      <c r="G641" t="s">
        <v>3</v>
      </c>
      <c r="H641" s="23" t="s">
        <v>91</v>
      </c>
      <c r="I641" s="23">
        <v>23</v>
      </c>
      <c r="J641" s="23">
        <v>67</v>
      </c>
      <c r="K641" s="8">
        <v>0.39</v>
      </c>
      <c r="L641" s="8">
        <v>0.61</v>
      </c>
      <c r="M641">
        <f t="shared" si="9"/>
        <v>3.9000000000000003E-3</v>
      </c>
    </row>
    <row r="642" spans="1:13" x14ac:dyDescent="0.3">
      <c r="A642" s="23" t="s">
        <v>112</v>
      </c>
      <c r="B642" t="s">
        <v>23</v>
      </c>
      <c r="C642" s="38">
        <v>1134</v>
      </c>
      <c r="D642" s="7">
        <v>13380</v>
      </c>
      <c r="E642" s="38">
        <v>1350</v>
      </c>
      <c r="F642" s="39">
        <v>6.6870000000000002E-3</v>
      </c>
      <c r="G642" t="s">
        <v>0</v>
      </c>
      <c r="H642" s="23" t="s">
        <v>91</v>
      </c>
      <c r="I642" s="23">
        <v>22</v>
      </c>
      <c r="J642" s="23">
        <v>20</v>
      </c>
      <c r="K642" s="8">
        <v>0.46</v>
      </c>
      <c r="L642" s="8">
        <v>0.54</v>
      </c>
      <c r="M642">
        <f t="shared" si="9"/>
        <v>4.5999999999999999E-3</v>
      </c>
    </row>
    <row r="643" spans="1:13" x14ac:dyDescent="0.3">
      <c r="A643" s="23" t="s">
        <v>112</v>
      </c>
      <c r="B643" t="s">
        <v>23</v>
      </c>
      <c r="C643" s="38">
        <v>593</v>
      </c>
      <c r="D643" s="7">
        <v>17347</v>
      </c>
      <c r="E643" s="38">
        <v>1440</v>
      </c>
      <c r="F643" s="39">
        <v>6.9680000000000002E-3</v>
      </c>
      <c r="G643" t="s">
        <v>1</v>
      </c>
      <c r="H643" s="23" t="s">
        <v>91</v>
      </c>
      <c r="I643" s="23">
        <v>17</v>
      </c>
      <c r="J643" s="23">
        <v>77</v>
      </c>
      <c r="K643" s="8">
        <v>0.69</v>
      </c>
      <c r="L643" s="8">
        <v>0.31000000000000005</v>
      </c>
      <c r="M643">
        <f t="shared" ref="M643:M706" si="10">K643/100</f>
        <v>6.8999999999999999E-3</v>
      </c>
    </row>
    <row r="644" spans="1:13" x14ac:dyDescent="0.3">
      <c r="A644" s="23" t="s">
        <v>112</v>
      </c>
      <c r="B644" t="s">
        <v>23</v>
      </c>
      <c r="C644" s="38">
        <v>870</v>
      </c>
      <c r="D644" s="7">
        <v>1843</v>
      </c>
      <c r="E644" s="38">
        <v>1488</v>
      </c>
      <c r="F644" s="39">
        <v>6.1809999999999999E-3</v>
      </c>
      <c r="G644" t="s">
        <v>2</v>
      </c>
      <c r="H644" s="23" t="s">
        <v>91</v>
      </c>
      <c r="I644" s="23">
        <v>4</v>
      </c>
      <c r="J644" s="23">
        <v>16</v>
      </c>
      <c r="K644" s="8">
        <v>0.75</v>
      </c>
      <c r="L644" s="8">
        <v>0.25</v>
      </c>
      <c r="M644">
        <f t="shared" si="10"/>
        <v>7.4999999999999997E-3</v>
      </c>
    </row>
    <row r="645" spans="1:13" x14ac:dyDescent="0.3">
      <c r="A645" s="23" t="s">
        <v>112</v>
      </c>
      <c r="B645" t="s">
        <v>23</v>
      </c>
      <c r="C645" s="38">
        <v>329</v>
      </c>
      <c r="D645" s="7">
        <v>5809</v>
      </c>
      <c r="E645" s="38">
        <v>1578</v>
      </c>
      <c r="F645" s="39">
        <v>3.7420000000000001E-3</v>
      </c>
      <c r="G645" t="s">
        <v>3</v>
      </c>
      <c r="H645" s="23" t="s">
        <v>91</v>
      </c>
      <c r="I645" s="23">
        <v>16</v>
      </c>
      <c r="J645" s="23">
        <v>11</v>
      </c>
      <c r="K645" s="8">
        <v>0.74</v>
      </c>
      <c r="L645" s="8">
        <v>0.26</v>
      </c>
      <c r="M645">
        <f t="shared" si="10"/>
        <v>7.4000000000000003E-3</v>
      </c>
    </row>
    <row r="646" spans="1:13" x14ac:dyDescent="0.3">
      <c r="A646" s="23" t="s">
        <v>112</v>
      </c>
      <c r="B646" t="s">
        <v>24</v>
      </c>
      <c r="C646" s="38">
        <v>305</v>
      </c>
      <c r="D646" s="7">
        <v>46585</v>
      </c>
      <c r="E646" s="38">
        <v>614</v>
      </c>
      <c r="F646" s="39">
        <v>9.6900000000000003E-4</v>
      </c>
      <c r="G646" t="s">
        <v>0</v>
      </c>
      <c r="H646" s="23" t="s">
        <v>91</v>
      </c>
      <c r="I646" s="23">
        <v>8</v>
      </c>
      <c r="J646" s="23">
        <v>2</v>
      </c>
      <c r="K646" s="8">
        <v>0.28999999999999998</v>
      </c>
      <c r="L646" s="8">
        <v>0.71</v>
      </c>
      <c r="M646">
        <f t="shared" si="10"/>
        <v>2.8999999999999998E-3</v>
      </c>
    </row>
    <row r="647" spans="1:13" x14ac:dyDescent="0.3">
      <c r="A647" s="23" t="s">
        <v>112</v>
      </c>
      <c r="B647" t="s">
        <v>24</v>
      </c>
      <c r="C647" s="38">
        <v>92</v>
      </c>
      <c r="D647" s="7">
        <v>51128</v>
      </c>
      <c r="E647" s="38">
        <v>544</v>
      </c>
      <c r="F647" s="39">
        <v>4.7280000000000004E-3</v>
      </c>
      <c r="G647" t="s">
        <v>1</v>
      </c>
      <c r="H647" s="23" t="s">
        <v>91</v>
      </c>
      <c r="I647" s="23">
        <v>4</v>
      </c>
      <c r="J647" s="23">
        <v>67</v>
      </c>
      <c r="K647" s="8">
        <v>0.81</v>
      </c>
      <c r="L647" s="8">
        <v>0.18999999999999995</v>
      </c>
      <c r="M647">
        <f t="shared" si="10"/>
        <v>8.1000000000000013E-3</v>
      </c>
    </row>
    <row r="648" spans="1:13" x14ac:dyDescent="0.3">
      <c r="A648" s="23" t="s">
        <v>112</v>
      </c>
      <c r="B648" t="s">
        <v>24</v>
      </c>
      <c r="C648" s="38">
        <v>586</v>
      </c>
      <c r="D648" s="7">
        <v>25278</v>
      </c>
      <c r="E648" s="38">
        <v>812</v>
      </c>
      <c r="F648" s="39">
        <v>7.3850000000000001E-3</v>
      </c>
      <c r="G648" t="s">
        <v>2</v>
      </c>
      <c r="H648" s="23" t="s">
        <v>91</v>
      </c>
      <c r="I648" s="23">
        <v>23</v>
      </c>
      <c r="J648" s="23">
        <v>24</v>
      </c>
      <c r="K648" s="8">
        <v>0.5</v>
      </c>
      <c r="L648" s="8">
        <v>0.5</v>
      </c>
      <c r="M648">
        <f t="shared" si="10"/>
        <v>5.0000000000000001E-3</v>
      </c>
    </row>
    <row r="649" spans="1:13" x14ac:dyDescent="0.3">
      <c r="A649" s="23" t="s">
        <v>112</v>
      </c>
      <c r="B649" t="s">
        <v>24</v>
      </c>
      <c r="C649" s="38">
        <v>372</v>
      </c>
      <c r="D649" s="7">
        <v>29821</v>
      </c>
      <c r="E649" s="38">
        <v>742</v>
      </c>
      <c r="F649" s="39">
        <v>1.923E-3</v>
      </c>
      <c r="G649" t="s">
        <v>3</v>
      </c>
      <c r="H649" s="23" t="s">
        <v>91</v>
      </c>
      <c r="I649" s="23">
        <v>14</v>
      </c>
      <c r="J649" s="23">
        <v>15</v>
      </c>
      <c r="K649" s="8">
        <v>0.27</v>
      </c>
      <c r="L649" s="8">
        <v>0.73</v>
      </c>
      <c r="M649">
        <f t="shared" si="10"/>
        <v>2.7000000000000001E-3</v>
      </c>
    </row>
    <row r="650" spans="1:13" x14ac:dyDescent="0.3">
      <c r="A650" s="23" t="s">
        <v>113</v>
      </c>
      <c r="B650" t="s">
        <v>19</v>
      </c>
      <c r="C650" s="38">
        <v>1925</v>
      </c>
      <c r="D650" s="7">
        <v>29122</v>
      </c>
      <c r="E650" s="38">
        <v>4480</v>
      </c>
      <c r="F650" s="39">
        <v>2.8639999999999998E-3</v>
      </c>
      <c r="G650" t="s">
        <v>0</v>
      </c>
      <c r="H650" s="23" t="s">
        <v>90</v>
      </c>
      <c r="I650" s="23">
        <v>16</v>
      </c>
      <c r="J650" s="23">
        <v>60</v>
      </c>
      <c r="K650" s="8">
        <v>0.42</v>
      </c>
      <c r="L650" s="8">
        <v>0.58000000000000007</v>
      </c>
      <c r="M650">
        <f t="shared" si="10"/>
        <v>4.1999999999999997E-3</v>
      </c>
    </row>
    <row r="651" spans="1:13" x14ac:dyDescent="0.3">
      <c r="A651" s="23" t="s">
        <v>113</v>
      </c>
      <c r="B651" t="s">
        <v>19</v>
      </c>
      <c r="C651" s="38">
        <v>1805</v>
      </c>
      <c r="D651" s="7">
        <v>25363</v>
      </c>
      <c r="E651" s="38">
        <v>4107</v>
      </c>
      <c r="F651" s="39">
        <v>9.4700000000000003E-4</v>
      </c>
      <c r="G651" t="s">
        <v>1</v>
      </c>
      <c r="H651" s="23" t="s">
        <v>90</v>
      </c>
      <c r="I651" s="23">
        <v>10</v>
      </c>
      <c r="J651" s="23">
        <v>54</v>
      </c>
      <c r="K651" s="8">
        <v>0.84</v>
      </c>
      <c r="L651" s="8">
        <v>0.16000000000000003</v>
      </c>
      <c r="M651">
        <f t="shared" si="10"/>
        <v>8.3999999999999995E-3</v>
      </c>
    </row>
    <row r="652" spans="1:13" x14ac:dyDescent="0.3">
      <c r="A652" s="23" t="s">
        <v>113</v>
      </c>
      <c r="B652" t="s">
        <v>19</v>
      </c>
      <c r="C652" s="38">
        <v>1587</v>
      </c>
      <c r="D652" s="7">
        <v>60903</v>
      </c>
      <c r="E652" s="38">
        <v>2679</v>
      </c>
      <c r="F652" s="39">
        <v>2.9619999999999998E-3</v>
      </c>
      <c r="G652" t="s">
        <v>2</v>
      </c>
      <c r="H652" s="23" t="s">
        <v>90</v>
      </c>
      <c r="I652" s="23">
        <v>8</v>
      </c>
      <c r="J652" s="23">
        <v>63</v>
      </c>
      <c r="K652" s="8">
        <v>0.24</v>
      </c>
      <c r="L652" s="8">
        <v>0.76</v>
      </c>
      <c r="M652">
        <f t="shared" si="10"/>
        <v>2.3999999999999998E-3</v>
      </c>
    </row>
    <row r="653" spans="1:13" x14ac:dyDescent="0.3">
      <c r="A653" s="23" t="s">
        <v>113</v>
      </c>
      <c r="B653" t="s">
        <v>19</v>
      </c>
      <c r="C653" s="38">
        <v>1467</v>
      </c>
      <c r="D653" s="7">
        <v>57145</v>
      </c>
      <c r="E653" s="38">
        <v>2305</v>
      </c>
      <c r="F653" s="39">
        <v>1.0629999999999999E-3</v>
      </c>
      <c r="G653" t="s">
        <v>3</v>
      </c>
      <c r="H653" s="23" t="s">
        <v>90</v>
      </c>
      <c r="I653" s="23">
        <v>5</v>
      </c>
      <c r="J653" s="23">
        <v>52</v>
      </c>
      <c r="K653" s="8">
        <v>0.28999999999999998</v>
      </c>
      <c r="L653" s="8">
        <v>0.71</v>
      </c>
      <c r="M653">
        <f t="shared" si="10"/>
        <v>2.8999999999999998E-3</v>
      </c>
    </row>
    <row r="654" spans="1:13" x14ac:dyDescent="0.3">
      <c r="A654" s="23" t="s">
        <v>113</v>
      </c>
      <c r="B654" t="s">
        <v>20</v>
      </c>
      <c r="C654" s="38">
        <v>3011</v>
      </c>
      <c r="D654" s="7">
        <v>37308</v>
      </c>
      <c r="E654" s="38">
        <v>7211</v>
      </c>
      <c r="F654" s="39">
        <v>1.33E-3</v>
      </c>
      <c r="G654" t="s">
        <v>0</v>
      </c>
      <c r="H654" s="23" t="s">
        <v>90</v>
      </c>
      <c r="I654" s="23">
        <v>7</v>
      </c>
      <c r="J654" s="23">
        <v>36</v>
      </c>
      <c r="K654" s="8">
        <v>0.69</v>
      </c>
      <c r="L654" s="8">
        <v>0.31000000000000005</v>
      </c>
      <c r="M654">
        <f t="shared" si="10"/>
        <v>6.8999999999999999E-3</v>
      </c>
    </row>
    <row r="655" spans="1:13" x14ac:dyDescent="0.3">
      <c r="A655" s="23" t="s">
        <v>113</v>
      </c>
      <c r="B655" t="s">
        <v>20</v>
      </c>
      <c r="C655" s="38">
        <v>3202</v>
      </c>
      <c r="D655" s="7">
        <v>48887</v>
      </c>
      <c r="E655" s="38">
        <v>4686</v>
      </c>
      <c r="F655" s="39">
        <v>1.4549999999999999E-3</v>
      </c>
      <c r="G655" t="s">
        <v>1</v>
      </c>
      <c r="H655" s="23" t="s">
        <v>90</v>
      </c>
      <c r="I655" s="23">
        <v>19</v>
      </c>
      <c r="J655" s="23">
        <v>21</v>
      </c>
      <c r="K655" s="8">
        <v>0.78</v>
      </c>
      <c r="L655" s="8">
        <v>0.21999999999999997</v>
      </c>
      <c r="M655">
        <f t="shared" si="10"/>
        <v>7.8000000000000005E-3</v>
      </c>
    </row>
    <row r="656" spans="1:13" x14ac:dyDescent="0.3">
      <c r="A656" s="23" t="s">
        <v>113</v>
      </c>
      <c r="B656" t="s">
        <v>20</v>
      </c>
      <c r="C656" s="38">
        <v>1407</v>
      </c>
      <c r="D656" s="7">
        <v>53232</v>
      </c>
      <c r="E656" s="38">
        <v>4534</v>
      </c>
      <c r="F656" s="39">
        <v>3.8609999999999998E-3</v>
      </c>
      <c r="G656" t="s">
        <v>2</v>
      </c>
      <c r="H656" s="23" t="s">
        <v>90</v>
      </c>
      <c r="I656" s="23">
        <v>17</v>
      </c>
      <c r="J656" s="23">
        <v>52</v>
      </c>
      <c r="K656" s="8">
        <v>0.72</v>
      </c>
      <c r="L656" s="8">
        <v>0.28000000000000003</v>
      </c>
      <c r="M656">
        <f t="shared" si="10"/>
        <v>7.1999999999999998E-3</v>
      </c>
    </row>
    <row r="657" spans="1:13" x14ac:dyDescent="0.3">
      <c r="A657" s="23" t="s">
        <v>113</v>
      </c>
      <c r="B657" t="s">
        <v>20</v>
      </c>
      <c r="C657" s="38">
        <v>1598</v>
      </c>
      <c r="D657" s="7">
        <v>64811</v>
      </c>
      <c r="E657" s="38">
        <v>2008</v>
      </c>
      <c r="F657" s="39">
        <v>1.302E-3</v>
      </c>
      <c r="G657" t="s">
        <v>3</v>
      </c>
      <c r="H657" s="23" t="s">
        <v>90</v>
      </c>
      <c r="I657" s="23">
        <v>15</v>
      </c>
      <c r="J657" s="23">
        <v>77</v>
      </c>
      <c r="K657" s="8">
        <v>0.3</v>
      </c>
      <c r="L657" s="8">
        <v>0.7</v>
      </c>
      <c r="M657">
        <f t="shared" si="10"/>
        <v>3.0000000000000001E-3</v>
      </c>
    </row>
    <row r="658" spans="1:13" x14ac:dyDescent="0.3">
      <c r="A658" s="23" t="s">
        <v>113</v>
      </c>
      <c r="B658" t="s">
        <v>22</v>
      </c>
      <c r="C658" s="38">
        <v>1921</v>
      </c>
      <c r="D658" s="7">
        <v>97315</v>
      </c>
      <c r="E658" s="38">
        <v>2892</v>
      </c>
      <c r="F658" s="39">
        <v>3.7200000000000002E-3</v>
      </c>
      <c r="G658" t="s">
        <v>0</v>
      </c>
      <c r="H658" s="23" t="s">
        <v>90</v>
      </c>
      <c r="I658" s="23">
        <v>2</v>
      </c>
      <c r="J658" s="23">
        <v>41</v>
      </c>
      <c r="K658" s="8">
        <v>0.74</v>
      </c>
      <c r="L658" s="8">
        <v>0.26</v>
      </c>
      <c r="M658">
        <f t="shared" si="10"/>
        <v>7.4000000000000003E-3</v>
      </c>
    </row>
    <row r="659" spans="1:13" x14ac:dyDescent="0.3">
      <c r="A659" s="23" t="s">
        <v>113</v>
      </c>
      <c r="B659" t="s">
        <v>22</v>
      </c>
      <c r="C659" s="38">
        <v>2079</v>
      </c>
      <c r="D659" s="7">
        <v>116593</v>
      </c>
      <c r="E659" s="38">
        <v>2346</v>
      </c>
      <c r="F659" s="39">
        <v>2.3930000000000002E-3</v>
      </c>
      <c r="G659" t="s">
        <v>1</v>
      </c>
      <c r="H659" s="23" t="s">
        <v>90</v>
      </c>
      <c r="I659" s="23">
        <v>4</v>
      </c>
      <c r="J659" s="23">
        <v>16</v>
      </c>
      <c r="K659" s="8">
        <v>0.86</v>
      </c>
      <c r="L659" s="8">
        <v>0.14000000000000001</v>
      </c>
      <c r="M659">
        <f t="shared" si="10"/>
        <v>8.6E-3</v>
      </c>
    </row>
    <row r="660" spans="1:13" x14ac:dyDescent="0.3">
      <c r="A660" s="23" t="s">
        <v>113</v>
      </c>
      <c r="B660" t="s">
        <v>22</v>
      </c>
      <c r="C660" s="38">
        <v>160</v>
      </c>
      <c r="D660" s="7">
        <v>158415</v>
      </c>
      <c r="E660" s="38">
        <v>2135</v>
      </c>
      <c r="F660" s="39">
        <v>3.2079999999999999E-3</v>
      </c>
      <c r="G660" t="s">
        <v>2</v>
      </c>
      <c r="H660" s="23" t="s">
        <v>90</v>
      </c>
      <c r="I660" s="23">
        <v>15</v>
      </c>
      <c r="J660" s="23">
        <v>9</v>
      </c>
      <c r="K660" s="8">
        <v>0.4</v>
      </c>
      <c r="L660" s="8">
        <v>0.6</v>
      </c>
      <c r="M660">
        <f t="shared" si="10"/>
        <v>4.0000000000000001E-3</v>
      </c>
    </row>
    <row r="661" spans="1:13" x14ac:dyDescent="0.3">
      <c r="A661" s="23" t="s">
        <v>113</v>
      </c>
      <c r="B661" t="s">
        <v>22</v>
      </c>
      <c r="C661" s="38">
        <v>319</v>
      </c>
      <c r="D661" s="7">
        <v>177693</v>
      </c>
      <c r="E661" s="38">
        <v>1588</v>
      </c>
      <c r="F661" s="39">
        <v>2.7339999999999999E-3</v>
      </c>
      <c r="G661" t="s">
        <v>3</v>
      </c>
      <c r="H661" s="23" t="s">
        <v>90</v>
      </c>
      <c r="I661" s="23">
        <v>9</v>
      </c>
      <c r="J661" s="23">
        <v>67</v>
      </c>
      <c r="K661" s="8">
        <v>0.67</v>
      </c>
      <c r="L661" s="8">
        <v>0.32999999999999996</v>
      </c>
      <c r="M661">
        <f t="shared" si="10"/>
        <v>6.7000000000000002E-3</v>
      </c>
    </row>
    <row r="662" spans="1:13" x14ac:dyDescent="0.3">
      <c r="A662" s="23" t="s">
        <v>113</v>
      </c>
      <c r="B662" t="s">
        <v>21</v>
      </c>
      <c r="C662" s="38">
        <v>4890</v>
      </c>
      <c r="D662" s="7">
        <v>52782</v>
      </c>
      <c r="E662" s="38">
        <v>4310</v>
      </c>
      <c r="F662" s="39">
        <v>3.8939999999999999E-3</v>
      </c>
      <c r="G662" t="s">
        <v>0</v>
      </c>
      <c r="H662" s="23" t="s">
        <v>90</v>
      </c>
      <c r="I662" s="23">
        <v>21</v>
      </c>
      <c r="J662" s="23">
        <v>69</v>
      </c>
      <c r="K662" s="8">
        <v>0.18</v>
      </c>
      <c r="L662" s="8">
        <v>0.82000000000000006</v>
      </c>
      <c r="M662">
        <f t="shared" si="10"/>
        <v>1.8E-3</v>
      </c>
    </row>
    <row r="663" spans="1:13" x14ac:dyDescent="0.3">
      <c r="A663" s="23" t="s">
        <v>113</v>
      </c>
      <c r="B663" t="s">
        <v>21</v>
      </c>
      <c r="C663" s="38">
        <v>4143</v>
      </c>
      <c r="D663" s="7">
        <v>20749</v>
      </c>
      <c r="E663" s="38">
        <v>18696</v>
      </c>
      <c r="F663" s="39">
        <v>7.5900000000000002E-4</v>
      </c>
      <c r="G663" t="s">
        <v>1</v>
      </c>
      <c r="H663" s="23" t="s">
        <v>90</v>
      </c>
      <c r="I663" s="23">
        <v>2</v>
      </c>
      <c r="J663" s="23">
        <v>50</v>
      </c>
      <c r="K663" s="8">
        <v>0.55000000000000004</v>
      </c>
      <c r="L663" s="8">
        <v>0.44999999999999996</v>
      </c>
      <c r="M663">
        <f t="shared" si="10"/>
        <v>5.5000000000000005E-3</v>
      </c>
    </row>
    <row r="664" spans="1:13" x14ac:dyDescent="0.3">
      <c r="A664" s="23" t="s">
        <v>113</v>
      </c>
      <c r="B664" t="s">
        <v>21</v>
      </c>
      <c r="C664" s="38">
        <v>8230</v>
      </c>
      <c r="D664" s="7">
        <v>41102</v>
      </c>
      <c r="E664" s="38">
        <v>6050</v>
      </c>
      <c r="F664" s="39">
        <v>4.457E-3</v>
      </c>
      <c r="G664" t="s">
        <v>2</v>
      </c>
      <c r="H664" s="23" t="s">
        <v>90</v>
      </c>
      <c r="I664" s="23">
        <v>3</v>
      </c>
      <c r="J664" s="23">
        <v>12</v>
      </c>
      <c r="K664" s="8">
        <v>0.72</v>
      </c>
      <c r="L664" s="8">
        <v>0.28000000000000003</v>
      </c>
      <c r="M664">
        <f t="shared" si="10"/>
        <v>7.1999999999999998E-3</v>
      </c>
    </row>
    <row r="665" spans="1:13" x14ac:dyDescent="0.3">
      <c r="A665" s="23" t="s">
        <v>113</v>
      </c>
      <c r="B665" t="s">
        <v>21</v>
      </c>
      <c r="C665" s="38">
        <v>7482</v>
      </c>
      <c r="D665" s="7">
        <v>9069</v>
      </c>
      <c r="E665" s="38">
        <v>20436</v>
      </c>
      <c r="F665" s="39">
        <v>4.45E-3</v>
      </c>
      <c r="G665" t="s">
        <v>3</v>
      </c>
      <c r="H665" s="23" t="s">
        <v>90</v>
      </c>
      <c r="I665" s="23">
        <v>21</v>
      </c>
      <c r="J665" s="23">
        <v>17</v>
      </c>
      <c r="K665" s="8">
        <v>0.73</v>
      </c>
      <c r="L665" s="8">
        <v>0.27</v>
      </c>
      <c r="M665">
        <f t="shared" si="10"/>
        <v>7.3000000000000001E-3</v>
      </c>
    </row>
    <row r="666" spans="1:13" x14ac:dyDescent="0.3">
      <c r="A666" s="23" t="s">
        <v>113</v>
      </c>
      <c r="B666" t="s">
        <v>23</v>
      </c>
      <c r="C666" s="38">
        <v>1290</v>
      </c>
      <c r="D666" s="7">
        <v>10725</v>
      </c>
      <c r="E666" s="38">
        <v>3704</v>
      </c>
      <c r="F666" s="39">
        <v>1.5460000000000001E-3</v>
      </c>
      <c r="G666" t="s">
        <v>0</v>
      </c>
      <c r="H666" s="23" t="s">
        <v>90</v>
      </c>
      <c r="I666" s="23">
        <v>21</v>
      </c>
      <c r="J666" s="23">
        <v>1</v>
      </c>
      <c r="K666" s="8">
        <v>0.49</v>
      </c>
      <c r="L666" s="8">
        <v>0.51</v>
      </c>
      <c r="M666">
        <f t="shared" si="10"/>
        <v>4.8999999999999998E-3</v>
      </c>
    </row>
    <row r="667" spans="1:13" x14ac:dyDescent="0.3">
      <c r="A667" s="23" t="s">
        <v>113</v>
      </c>
      <c r="B667" t="s">
        <v>23</v>
      </c>
      <c r="C667" s="38">
        <v>653</v>
      </c>
      <c r="D667" s="7">
        <v>7527</v>
      </c>
      <c r="E667" s="38">
        <v>2541</v>
      </c>
      <c r="F667" s="39">
        <v>2.7529999999999998E-3</v>
      </c>
      <c r="G667" t="s">
        <v>1</v>
      </c>
      <c r="H667" s="23" t="s">
        <v>90</v>
      </c>
      <c r="I667" s="23">
        <v>11</v>
      </c>
      <c r="J667" s="23">
        <v>61</v>
      </c>
      <c r="K667" s="8">
        <v>0.18</v>
      </c>
      <c r="L667" s="8">
        <v>0.82000000000000006</v>
      </c>
      <c r="M667">
        <f t="shared" si="10"/>
        <v>1.8E-3</v>
      </c>
    </row>
    <row r="668" spans="1:13" x14ac:dyDescent="0.3">
      <c r="A668" s="23" t="s">
        <v>113</v>
      </c>
      <c r="B668" t="s">
        <v>23</v>
      </c>
      <c r="C668" s="38">
        <v>1891</v>
      </c>
      <c r="D668" s="7">
        <v>12535</v>
      </c>
      <c r="E668" s="38">
        <v>2549</v>
      </c>
      <c r="F668" s="39">
        <v>3.2799999999999999E-3</v>
      </c>
      <c r="G668" t="s">
        <v>2</v>
      </c>
      <c r="H668" s="23" t="s">
        <v>90</v>
      </c>
      <c r="I668" s="23">
        <v>22</v>
      </c>
      <c r="J668" s="23">
        <v>47</v>
      </c>
      <c r="K668" s="8">
        <v>0.33</v>
      </c>
      <c r="L668" s="8">
        <v>0.66999999999999993</v>
      </c>
      <c r="M668">
        <f t="shared" si="10"/>
        <v>3.3E-3</v>
      </c>
    </row>
    <row r="669" spans="1:13" x14ac:dyDescent="0.3">
      <c r="A669" s="23" t="s">
        <v>113</v>
      </c>
      <c r="B669" t="s">
        <v>23</v>
      </c>
      <c r="C669" s="38">
        <v>1255</v>
      </c>
      <c r="D669" s="7">
        <v>9337</v>
      </c>
      <c r="E669" s="38">
        <v>1387</v>
      </c>
      <c r="F669" s="39">
        <v>2.4510000000000001E-3</v>
      </c>
      <c r="G669" t="s">
        <v>3</v>
      </c>
      <c r="H669" s="23" t="s">
        <v>90</v>
      </c>
      <c r="I669" s="23">
        <v>18</v>
      </c>
      <c r="J669" s="23">
        <v>40</v>
      </c>
      <c r="K669" s="8">
        <v>0.38</v>
      </c>
      <c r="L669" s="8">
        <v>0.62</v>
      </c>
      <c r="M669">
        <f t="shared" si="10"/>
        <v>3.8E-3</v>
      </c>
    </row>
    <row r="670" spans="1:13" x14ac:dyDescent="0.3">
      <c r="A670" s="23" t="s">
        <v>113</v>
      </c>
      <c r="B670" t="s">
        <v>24</v>
      </c>
      <c r="C670" s="38">
        <v>860</v>
      </c>
      <c r="D670" s="7">
        <v>12675</v>
      </c>
      <c r="E670" s="38">
        <v>1207</v>
      </c>
      <c r="F670" s="39">
        <v>1.3060000000000001E-3</v>
      </c>
      <c r="G670" t="s">
        <v>0</v>
      </c>
      <c r="H670" s="23" t="s">
        <v>90</v>
      </c>
      <c r="I670" s="23">
        <v>19</v>
      </c>
      <c r="J670" s="23">
        <v>37</v>
      </c>
      <c r="K670" s="8">
        <v>0.79</v>
      </c>
      <c r="L670" s="8">
        <v>0.20999999999999996</v>
      </c>
      <c r="M670">
        <f t="shared" si="10"/>
        <v>7.9000000000000008E-3</v>
      </c>
    </row>
    <row r="671" spans="1:13" x14ac:dyDescent="0.3">
      <c r="A671" s="23" t="s">
        <v>113</v>
      </c>
      <c r="B671" t="s">
        <v>24</v>
      </c>
      <c r="C671" s="38">
        <v>885</v>
      </c>
      <c r="D671" s="7">
        <v>10583</v>
      </c>
      <c r="E671" s="38">
        <v>1203</v>
      </c>
      <c r="F671" s="39">
        <v>3.4589999999999998E-3</v>
      </c>
      <c r="G671" t="s">
        <v>1</v>
      </c>
      <c r="H671" s="23" t="s">
        <v>90</v>
      </c>
      <c r="I671" s="23">
        <v>20</v>
      </c>
      <c r="J671" s="23">
        <v>75</v>
      </c>
      <c r="K671" s="8">
        <v>0.4</v>
      </c>
      <c r="L671" s="8">
        <v>0.6</v>
      </c>
      <c r="M671">
        <f t="shared" si="10"/>
        <v>4.0000000000000001E-3</v>
      </c>
    </row>
    <row r="672" spans="1:13" x14ac:dyDescent="0.3">
      <c r="A672" s="23" t="s">
        <v>113</v>
      </c>
      <c r="B672" t="s">
        <v>24</v>
      </c>
      <c r="C672" s="38">
        <v>703</v>
      </c>
      <c r="D672" s="7">
        <v>15636</v>
      </c>
      <c r="E672" s="38">
        <v>1975</v>
      </c>
      <c r="F672" s="39">
        <v>3.173E-3</v>
      </c>
      <c r="G672" t="s">
        <v>2</v>
      </c>
      <c r="H672" s="23" t="s">
        <v>90</v>
      </c>
      <c r="I672" s="23">
        <v>17</v>
      </c>
      <c r="J672" s="23">
        <v>40</v>
      </c>
      <c r="K672" s="8">
        <v>0.73</v>
      </c>
      <c r="L672" s="8">
        <v>0.27</v>
      </c>
      <c r="M672">
        <f t="shared" si="10"/>
        <v>7.3000000000000001E-3</v>
      </c>
    </row>
    <row r="673" spans="1:13" x14ac:dyDescent="0.3">
      <c r="A673" s="23" t="s">
        <v>113</v>
      </c>
      <c r="B673" t="s">
        <v>24</v>
      </c>
      <c r="C673" s="38">
        <v>728</v>
      </c>
      <c r="D673" s="7">
        <v>13544</v>
      </c>
      <c r="E673" s="38">
        <v>1971</v>
      </c>
      <c r="F673" s="39">
        <v>3.8560000000000001E-3</v>
      </c>
      <c r="G673" t="s">
        <v>3</v>
      </c>
      <c r="H673" s="23" t="s">
        <v>90</v>
      </c>
      <c r="I673" s="23">
        <v>6</v>
      </c>
      <c r="J673" s="23">
        <v>73</v>
      </c>
      <c r="K673" s="8">
        <v>0.27</v>
      </c>
      <c r="L673" s="8">
        <v>0.73</v>
      </c>
      <c r="M673">
        <f t="shared" si="10"/>
        <v>2.7000000000000001E-3</v>
      </c>
    </row>
    <row r="674" spans="1:13" x14ac:dyDescent="0.3">
      <c r="A674" s="23" t="s">
        <v>113</v>
      </c>
      <c r="B674" t="s">
        <v>19</v>
      </c>
      <c r="C674" s="38">
        <v>3249</v>
      </c>
      <c r="D674" s="7">
        <v>30068</v>
      </c>
      <c r="E674" s="38">
        <v>3893</v>
      </c>
      <c r="F674" s="39">
        <v>8.7399999999999999E-4</v>
      </c>
      <c r="G674" t="s">
        <v>0</v>
      </c>
      <c r="H674" s="23" t="s">
        <v>89</v>
      </c>
      <c r="I674" s="23">
        <v>3</v>
      </c>
      <c r="J674" s="23">
        <v>58</v>
      </c>
      <c r="K674" s="8">
        <v>0.68</v>
      </c>
      <c r="L674" s="8">
        <v>0.31999999999999995</v>
      </c>
      <c r="M674">
        <f t="shared" si="10"/>
        <v>6.8000000000000005E-3</v>
      </c>
    </row>
    <row r="675" spans="1:13" x14ac:dyDescent="0.3">
      <c r="A675" s="23" t="s">
        <v>113</v>
      </c>
      <c r="B675" t="s">
        <v>19</v>
      </c>
      <c r="C675" s="38">
        <v>2993</v>
      </c>
      <c r="D675" s="7">
        <v>21413</v>
      </c>
      <c r="E675" s="38">
        <v>1104</v>
      </c>
      <c r="F675" s="39">
        <v>3.6709999999999998E-3</v>
      </c>
      <c r="G675" t="s">
        <v>1</v>
      </c>
      <c r="H675" s="23" t="s">
        <v>89</v>
      </c>
      <c r="I675" s="23">
        <v>10</v>
      </c>
      <c r="J675" s="23">
        <v>63</v>
      </c>
      <c r="K675" s="8">
        <v>0.47</v>
      </c>
      <c r="L675" s="8">
        <v>0.53</v>
      </c>
      <c r="M675">
        <f t="shared" si="10"/>
        <v>4.6999999999999993E-3</v>
      </c>
    </row>
    <row r="676" spans="1:13" x14ac:dyDescent="0.3">
      <c r="A676" s="23" t="s">
        <v>113</v>
      </c>
      <c r="B676" t="s">
        <v>19</v>
      </c>
      <c r="C676" s="38">
        <v>1315</v>
      </c>
      <c r="D676" s="7">
        <v>35424</v>
      </c>
      <c r="E676" s="38">
        <v>7512</v>
      </c>
      <c r="F676" s="39">
        <v>9.7799999999999992E-4</v>
      </c>
      <c r="G676" t="s">
        <v>2</v>
      </c>
      <c r="H676" s="23" t="s">
        <v>89</v>
      </c>
      <c r="I676" s="23">
        <v>4</v>
      </c>
      <c r="J676" s="23">
        <v>62</v>
      </c>
      <c r="K676" s="8">
        <v>0.63</v>
      </c>
      <c r="L676" s="8">
        <v>0.37</v>
      </c>
      <c r="M676">
        <f t="shared" si="10"/>
        <v>6.3E-3</v>
      </c>
    </row>
    <row r="677" spans="1:13" x14ac:dyDescent="0.3">
      <c r="A677" s="23" t="s">
        <v>113</v>
      </c>
      <c r="B677" t="s">
        <v>19</v>
      </c>
      <c r="C677" s="38">
        <v>1058</v>
      </c>
      <c r="D677" s="7">
        <v>26770</v>
      </c>
      <c r="E677" s="38">
        <v>4723</v>
      </c>
      <c r="F677" s="39">
        <v>4.2030000000000001E-3</v>
      </c>
      <c r="G677" t="s">
        <v>3</v>
      </c>
      <c r="H677" s="23" t="s">
        <v>89</v>
      </c>
      <c r="I677" s="23">
        <v>1</v>
      </c>
      <c r="J677" s="23">
        <v>54</v>
      </c>
      <c r="K677" s="8">
        <v>0.41</v>
      </c>
      <c r="L677" s="8">
        <v>0.59000000000000008</v>
      </c>
      <c r="M677">
        <f t="shared" si="10"/>
        <v>4.0999999999999995E-3</v>
      </c>
    </row>
    <row r="678" spans="1:13" x14ac:dyDescent="0.3">
      <c r="A678" s="23" t="s">
        <v>113</v>
      </c>
      <c r="B678" t="s">
        <v>20</v>
      </c>
      <c r="C678" s="38">
        <v>1094</v>
      </c>
      <c r="D678" s="7">
        <v>35034</v>
      </c>
      <c r="E678" s="38">
        <v>3695</v>
      </c>
      <c r="F678" s="39">
        <v>4.1970000000000002E-3</v>
      </c>
      <c r="G678" t="s">
        <v>0</v>
      </c>
      <c r="H678" s="23" t="s">
        <v>89</v>
      </c>
      <c r="I678" s="23">
        <v>17</v>
      </c>
      <c r="J678" s="23">
        <v>33</v>
      </c>
      <c r="K678" s="8">
        <v>0.76</v>
      </c>
      <c r="L678" s="8">
        <v>0.24</v>
      </c>
      <c r="M678">
        <f t="shared" si="10"/>
        <v>7.6E-3</v>
      </c>
    </row>
    <row r="679" spans="1:13" x14ac:dyDescent="0.3">
      <c r="A679" s="23" t="s">
        <v>113</v>
      </c>
      <c r="B679" t="s">
        <v>20</v>
      </c>
      <c r="C679" s="38">
        <v>902</v>
      </c>
      <c r="D679" s="7">
        <v>33193</v>
      </c>
      <c r="E679" s="38">
        <v>2240</v>
      </c>
      <c r="F679" s="39">
        <v>1.513E-3</v>
      </c>
      <c r="G679" t="s">
        <v>1</v>
      </c>
      <c r="H679" s="23" t="s">
        <v>89</v>
      </c>
      <c r="I679" s="23">
        <v>21</v>
      </c>
      <c r="J679" s="23">
        <v>15</v>
      </c>
      <c r="K679" s="8">
        <v>0.4</v>
      </c>
      <c r="L679" s="8">
        <v>0.6</v>
      </c>
      <c r="M679">
        <f t="shared" si="10"/>
        <v>4.0000000000000001E-3</v>
      </c>
    </row>
    <row r="680" spans="1:13" x14ac:dyDescent="0.3">
      <c r="A680" s="23" t="s">
        <v>113</v>
      </c>
      <c r="B680" t="s">
        <v>20</v>
      </c>
      <c r="C680" s="38">
        <v>1202</v>
      </c>
      <c r="D680" s="7">
        <v>34089</v>
      </c>
      <c r="E680" s="38">
        <v>1969</v>
      </c>
      <c r="F680" s="39">
        <v>3.156E-3</v>
      </c>
      <c r="G680" t="s">
        <v>2</v>
      </c>
      <c r="H680" s="23" t="s">
        <v>89</v>
      </c>
      <c r="I680" s="23">
        <v>10</v>
      </c>
      <c r="J680" s="23">
        <v>29</v>
      </c>
      <c r="K680" s="8">
        <v>0.27</v>
      </c>
      <c r="L680" s="8">
        <v>0.73</v>
      </c>
      <c r="M680">
        <f t="shared" si="10"/>
        <v>2.7000000000000001E-3</v>
      </c>
    </row>
    <row r="681" spans="1:13" x14ac:dyDescent="0.3">
      <c r="A681" s="23" t="s">
        <v>113</v>
      </c>
      <c r="B681" t="s">
        <v>20</v>
      </c>
      <c r="C681" s="38">
        <v>1010</v>
      </c>
      <c r="D681" s="7">
        <v>32248</v>
      </c>
      <c r="E681" s="38">
        <v>514</v>
      </c>
      <c r="F681" s="39">
        <v>1.8469999999999999E-3</v>
      </c>
      <c r="G681" t="s">
        <v>3</v>
      </c>
      <c r="H681" s="23" t="s">
        <v>89</v>
      </c>
      <c r="I681" s="23">
        <v>17</v>
      </c>
      <c r="J681" s="23">
        <v>56</v>
      </c>
      <c r="K681" s="8">
        <v>0.62</v>
      </c>
      <c r="L681" s="8">
        <v>0.38</v>
      </c>
      <c r="M681">
        <f t="shared" si="10"/>
        <v>6.1999999999999998E-3</v>
      </c>
    </row>
    <row r="682" spans="1:13" x14ac:dyDescent="0.3">
      <c r="A682" s="23" t="s">
        <v>113</v>
      </c>
      <c r="B682" t="s">
        <v>22</v>
      </c>
      <c r="C682" s="38">
        <v>216</v>
      </c>
      <c r="D682" s="7">
        <v>63850</v>
      </c>
      <c r="E682" s="38">
        <v>1342</v>
      </c>
      <c r="F682" s="39">
        <v>2.4559999999999998E-3</v>
      </c>
      <c r="G682" t="s">
        <v>0</v>
      </c>
      <c r="H682" s="23" t="s">
        <v>89</v>
      </c>
      <c r="I682" s="23">
        <v>13</v>
      </c>
      <c r="J682" s="23">
        <v>63</v>
      </c>
      <c r="K682" s="8">
        <v>0.2</v>
      </c>
      <c r="L682" s="8">
        <v>0.8</v>
      </c>
      <c r="M682">
        <f t="shared" si="10"/>
        <v>2E-3</v>
      </c>
    </row>
    <row r="683" spans="1:13" x14ac:dyDescent="0.3">
      <c r="A683" s="23" t="s">
        <v>113</v>
      </c>
      <c r="B683" t="s">
        <v>22</v>
      </c>
      <c r="C683" s="38">
        <v>661</v>
      </c>
      <c r="D683" s="7">
        <v>83249</v>
      </c>
      <c r="E683" s="38">
        <v>1381</v>
      </c>
      <c r="F683" s="39">
        <v>4.5719999999999997E-3</v>
      </c>
      <c r="G683" t="s">
        <v>1</v>
      </c>
      <c r="H683" s="23" t="s">
        <v>89</v>
      </c>
      <c r="I683" s="23">
        <v>16</v>
      </c>
      <c r="J683" s="23">
        <v>66</v>
      </c>
      <c r="K683" s="8">
        <v>0.2</v>
      </c>
      <c r="L683" s="8">
        <v>0.8</v>
      </c>
      <c r="M683">
        <f t="shared" si="10"/>
        <v>2E-3</v>
      </c>
    </row>
    <row r="684" spans="1:13" x14ac:dyDescent="0.3">
      <c r="A684" s="23" t="s">
        <v>113</v>
      </c>
      <c r="B684" t="s">
        <v>22</v>
      </c>
      <c r="C684" s="38">
        <v>812</v>
      </c>
      <c r="D684" s="7">
        <v>97943</v>
      </c>
      <c r="E684" s="38">
        <v>1567</v>
      </c>
      <c r="F684" s="39">
        <v>3.4859999999999999E-3</v>
      </c>
      <c r="G684" t="s">
        <v>2</v>
      </c>
      <c r="H684" s="23" t="s">
        <v>89</v>
      </c>
      <c r="I684" s="23">
        <v>21</v>
      </c>
      <c r="J684" s="23">
        <v>54</v>
      </c>
      <c r="K684" s="8">
        <v>0.69</v>
      </c>
      <c r="L684" s="8">
        <v>0.31000000000000005</v>
      </c>
      <c r="M684">
        <f t="shared" si="10"/>
        <v>6.8999999999999999E-3</v>
      </c>
    </row>
    <row r="685" spans="1:13" x14ac:dyDescent="0.3">
      <c r="A685" s="23" t="s">
        <v>113</v>
      </c>
      <c r="B685" t="s">
        <v>22</v>
      </c>
      <c r="C685" s="38">
        <v>1258</v>
      </c>
      <c r="D685" s="7">
        <v>117342</v>
      </c>
      <c r="E685" s="38">
        <v>1606</v>
      </c>
      <c r="F685" s="39">
        <v>4.7359999999999998E-3</v>
      </c>
      <c r="G685" t="s">
        <v>3</v>
      </c>
      <c r="H685" s="23" t="s">
        <v>89</v>
      </c>
      <c r="I685" s="23">
        <v>13</v>
      </c>
      <c r="J685" s="23">
        <v>5</v>
      </c>
      <c r="K685" s="8">
        <v>0.19</v>
      </c>
      <c r="L685" s="8">
        <v>0.81</v>
      </c>
      <c r="M685">
        <f t="shared" si="10"/>
        <v>1.9E-3</v>
      </c>
    </row>
    <row r="686" spans="1:13" x14ac:dyDescent="0.3">
      <c r="A686" s="23" t="s">
        <v>113</v>
      </c>
      <c r="B686" t="s">
        <v>21</v>
      </c>
      <c r="C686" s="38">
        <v>8532</v>
      </c>
      <c r="D686" s="7">
        <v>29470</v>
      </c>
      <c r="E686" s="38">
        <v>17187</v>
      </c>
      <c r="F686" s="39">
        <v>2.9429999999999999E-3</v>
      </c>
      <c r="G686" t="s">
        <v>0</v>
      </c>
      <c r="H686" s="23" t="s">
        <v>89</v>
      </c>
      <c r="I686" s="23">
        <v>13</v>
      </c>
      <c r="J686" s="23">
        <v>18</v>
      </c>
      <c r="K686" s="8">
        <v>0.33</v>
      </c>
      <c r="L686" s="8">
        <v>0.66999999999999993</v>
      </c>
      <c r="M686">
        <f t="shared" si="10"/>
        <v>3.3E-3</v>
      </c>
    </row>
    <row r="687" spans="1:13" x14ac:dyDescent="0.3">
      <c r="A687" s="23" t="s">
        <v>113</v>
      </c>
      <c r="B687" t="s">
        <v>21</v>
      </c>
      <c r="C687" s="38">
        <v>7363</v>
      </c>
      <c r="D687" s="7">
        <v>33025</v>
      </c>
      <c r="E687" s="38">
        <v>3240</v>
      </c>
      <c r="F687" s="39">
        <v>1.4809999999999999E-3</v>
      </c>
      <c r="G687" t="s">
        <v>1</v>
      </c>
      <c r="H687" s="23" t="s">
        <v>89</v>
      </c>
      <c r="I687" s="23">
        <v>13</v>
      </c>
      <c r="J687" s="23">
        <v>41</v>
      </c>
      <c r="K687" s="8">
        <v>0.67</v>
      </c>
      <c r="L687" s="8">
        <v>0.32999999999999996</v>
      </c>
      <c r="M687">
        <f t="shared" si="10"/>
        <v>6.7000000000000002E-3</v>
      </c>
    </row>
    <row r="688" spans="1:13" x14ac:dyDescent="0.3">
      <c r="A688" s="23" t="s">
        <v>113</v>
      </c>
      <c r="B688" t="s">
        <v>21</v>
      </c>
      <c r="C688" s="38">
        <v>4165</v>
      </c>
      <c r="D688" s="7">
        <v>7726</v>
      </c>
      <c r="E688" s="38">
        <v>19818</v>
      </c>
      <c r="F688" s="39">
        <v>4.5490000000000001E-3</v>
      </c>
      <c r="G688" t="s">
        <v>2</v>
      </c>
      <c r="H688" s="23" t="s">
        <v>89</v>
      </c>
      <c r="I688" s="23">
        <v>4</v>
      </c>
      <c r="J688" s="23">
        <v>8</v>
      </c>
      <c r="K688" s="8">
        <v>0.16</v>
      </c>
      <c r="L688" s="8">
        <v>0.84</v>
      </c>
      <c r="M688">
        <f t="shared" si="10"/>
        <v>1.6000000000000001E-3</v>
      </c>
    </row>
    <row r="689" spans="1:13" x14ac:dyDescent="0.3">
      <c r="A689" s="23" t="s">
        <v>113</v>
      </c>
      <c r="B689" t="s">
        <v>21</v>
      </c>
      <c r="C689" s="38">
        <v>2996</v>
      </c>
      <c r="D689" s="7">
        <v>11281</v>
      </c>
      <c r="E689" s="38">
        <v>5870</v>
      </c>
      <c r="F689" s="39">
        <v>2.7889999999999998E-3</v>
      </c>
      <c r="G689" t="s">
        <v>3</v>
      </c>
      <c r="H689" s="23" t="s">
        <v>89</v>
      </c>
      <c r="I689" s="23">
        <v>21</v>
      </c>
      <c r="J689" s="23">
        <v>56</v>
      </c>
      <c r="K689" s="8">
        <v>0.57999999999999996</v>
      </c>
      <c r="L689" s="8">
        <v>0.42000000000000004</v>
      </c>
      <c r="M689">
        <f t="shared" si="10"/>
        <v>5.7999999999999996E-3</v>
      </c>
    </row>
    <row r="690" spans="1:13" x14ac:dyDescent="0.3">
      <c r="A690" s="23" t="s">
        <v>113</v>
      </c>
      <c r="B690" t="s">
        <v>23</v>
      </c>
      <c r="C690" s="38">
        <v>1362</v>
      </c>
      <c r="D690" s="7">
        <v>5456</v>
      </c>
      <c r="E690" s="38">
        <v>3116</v>
      </c>
      <c r="F690" s="39">
        <v>3.9810000000000002E-3</v>
      </c>
      <c r="G690" t="s">
        <v>0</v>
      </c>
      <c r="H690" s="23" t="s">
        <v>89</v>
      </c>
      <c r="I690" s="23">
        <v>2</v>
      </c>
      <c r="J690" s="23">
        <v>67</v>
      </c>
      <c r="K690" s="8">
        <v>0.12</v>
      </c>
      <c r="L690" s="8">
        <v>0.88</v>
      </c>
      <c r="M690">
        <f t="shared" si="10"/>
        <v>1.1999999999999999E-3</v>
      </c>
    </row>
    <row r="691" spans="1:13" x14ac:dyDescent="0.3">
      <c r="A691" s="23" t="s">
        <v>113</v>
      </c>
      <c r="B691" t="s">
        <v>23</v>
      </c>
      <c r="C691" s="38">
        <v>783</v>
      </c>
      <c r="D691" s="7">
        <v>5550</v>
      </c>
      <c r="E691" s="38">
        <v>1864</v>
      </c>
      <c r="F691" s="39">
        <v>1.696E-3</v>
      </c>
      <c r="G691" t="s">
        <v>1</v>
      </c>
      <c r="H691" s="23" t="s">
        <v>89</v>
      </c>
      <c r="I691" s="23">
        <v>15</v>
      </c>
      <c r="J691" s="23">
        <v>39</v>
      </c>
      <c r="K691" s="8">
        <v>0.25</v>
      </c>
      <c r="L691" s="8">
        <v>0.75</v>
      </c>
      <c r="M691">
        <f t="shared" si="10"/>
        <v>2.5000000000000001E-3</v>
      </c>
    </row>
    <row r="692" spans="1:13" x14ac:dyDescent="0.3">
      <c r="A692" s="23" t="s">
        <v>113</v>
      </c>
      <c r="B692" t="s">
        <v>23</v>
      </c>
      <c r="C692" s="38">
        <v>1321</v>
      </c>
      <c r="D692" s="7">
        <v>7667</v>
      </c>
      <c r="E692" s="38">
        <v>2345</v>
      </c>
      <c r="F692" s="39">
        <v>3.4350000000000001E-3</v>
      </c>
      <c r="G692" t="s">
        <v>2</v>
      </c>
      <c r="H692" s="23" t="s">
        <v>89</v>
      </c>
      <c r="I692" s="23">
        <v>20</v>
      </c>
      <c r="J692" s="23">
        <v>69</v>
      </c>
      <c r="K692" s="8">
        <v>0.72</v>
      </c>
      <c r="L692" s="8">
        <v>0.28000000000000003</v>
      </c>
      <c r="M692">
        <f t="shared" si="10"/>
        <v>7.1999999999999998E-3</v>
      </c>
    </row>
    <row r="693" spans="1:13" x14ac:dyDescent="0.3">
      <c r="A693" s="23" t="s">
        <v>113</v>
      </c>
      <c r="B693" t="s">
        <v>23</v>
      </c>
      <c r="C693" s="38">
        <v>742</v>
      </c>
      <c r="D693" s="7">
        <v>7762</v>
      </c>
      <c r="E693" s="38">
        <v>1093</v>
      </c>
      <c r="F693" s="39">
        <v>4.1469999999999996E-3</v>
      </c>
      <c r="G693" t="s">
        <v>3</v>
      </c>
      <c r="H693" s="23" t="s">
        <v>89</v>
      </c>
      <c r="I693" s="23">
        <v>8</v>
      </c>
      <c r="J693" s="23">
        <v>60</v>
      </c>
      <c r="K693" s="8">
        <v>0.43</v>
      </c>
      <c r="L693" s="8">
        <v>0.57000000000000006</v>
      </c>
      <c r="M693">
        <f t="shared" si="10"/>
        <v>4.3E-3</v>
      </c>
    </row>
    <row r="694" spans="1:13" x14ac:dyDescent="0.3">
      <c r="A694" s="23" t="s">
        <v>113</v>
      </c>
      <c r="B694" t="s">
        <v>24</v>
      </c>
      <c r="C694" s="38">
        <v>975</v>
      </c>
      <c r="D694" s="7">
        <v>10456</v>
      </c>
      <c r="E694" s="38">
        <v>983</v>
      </c>
      <c r="F694" s="39">
        <v>1.0039999999999999E-3</v>
      </c>
      <c r="G694" t="s">
        <v>0</v>
      </c>
      <c r="H694" s="23" t="s">
        <v>89</v>
      </c>
      <c r="I694" s="23">
        <v>2</v>
      </c>
      <c r="J694" s="23">
        <v>28</v>
      </c>
      <c r="K694" s="8">
        <v>0.32</v>
      </c>
      <c r="L694" s="8">
        <v>0.67999999999999994</v>
      </c>
      <c r="M694">
        <f t="shared" si="10"/>
        <v>3.2000000000000002E-3</v>
      </c>
    </row>
    <row r="695" spans="1:13" x14ac:dyDescent="0.3">
      <c r="A695" s="23" t="s">
        <v>113</v>
      </c>
      <c r="B695" t="s">
        <v>24</v>
      </c>
      <c r="C695" s="38">
        <v>792</v>
      </c>
      <c r="D695" s="7">
        <v>8458</v>
      </c>
      <c r="E695" s="38">
        <v>840</v>
      </c>
      <c r="F695" s="39">
        <v>2.9589999999999998E-3</v>
      </c>
      <c r="G695" t="s">
        <v>1</v>
      </c>
      <c r="H695" s="23" t="s">
        <v>89</v>
      </c>
      <c r="I695" s="23">
        <v>13</v>
      </c>
      <c r="J695" s="23">
        <v>53</v>
      </c>
      <c r="K695" s="8">
        <v>0.85</v>
      </c>
      <c r="L695" s="8">
        <v>0.15000000000000002</v>
      </c>
      <c r="M695">
        <f t="shared" si="10"/>
        <v>8.5000000000000006E-3</v>
      </c>
    </row>
    <row r="696" spans="1:13" x14ac:dyDescent="0.3">
      <c r="A696" s="23" t="s">
        <v>113</v>
      </c>
      <c r="B696" t="s">
        <v>24</v>
      </c>
      <c r="C696" s="38">
        <v>255</v>
      </c>
      <c r="D696" s="7">
        <v>8816</v>
      </c>
      <c r="E696" s="38">
        <v>1254</v>
      </c>
      <c r="F696" s="39">
        <v>3.7590000000000002E-3</v>
      </c>
      <c r="G696" t="s">
        <v>2</v>
      </c>
      <c r="H696" s="23" t="s">
        <v>89</v>
      </c>
      <c r="I696" s="23">
        <v>19</v>
      </c>
      <c r="J696" s="23">
        <v>15</v>
      </c>
      <c r="K696" s="8">
        <v>0.35</v>
      </c>
      <c r="L696" s="8">
        <v>0.65</v>
      </c>
      <c r="M696">
        <f t="shared" si="10"/>
        <v>3.4999999999999996E-3</v>
      </c>
    </row>
    <row r="697" spans="1:13" x14ac:dyDescent="0.3">
      <c r="A697" s="23" t="s">
        <v>113</v>
      </c>
      <c r="B697" t="s">
        <v>24</v>
      </c>
      <c r="C697" s="38">
        <v>71</v>
      </c>
      <c r="D697" s="7">
        <v>6818</v>
      </c>
      <c r="E697" s="38">
        <v>1111</v>
      </c>
      <c r="F697" s="39">
        <v>2.8240000000000001E-3</v>
      </c>
      <c r="G697" t="s">
        <v>3</v>
      </c>
      <c r="H697" s="23" t="s">
        <v>89</v>
      </c>
      <c r="I697" s="23">
        <v>13</v>
      </c>
      <c r="J697" s="23">
        <v>58</v>
      </c>
      <c r="K697" s="8">
        <v>0.73</v>
      </c>
      <c r="L697" s="8">
        <v>0.27</v>
      </c>
      <c r="M697">
        <f t="shared" si="10"/>
        <v>7.3000000000000001E-3</v>
      </c>
    </row>
    <row r="698" spans="1:13" x14ac:dyDescent="0.3">
      <c r="A698" s="23" t="s">
        <v>113</v>
      </c>
      <c r="B698" t="s">
        <v>19</v>
      </c>
      <c r="C698" s="38">
        <v>1933</v>
      </c>
      <c r="D698" s="7">
        <v>19843</v>
      </c>
      <c r="E698" s="38">
        <v>4647</v>
      </c>
      <c r="F698" s="39">
        <v>9.9599999999999992E-4</v>
      </c>
      <c r="G698" t="s">
        <v>0</v>
      </c>
      <c r="H698" s="23" t="s">
        <v>91</v>
      </c>
      <c r="I698" s="23">
        <v>2</v>
      </c>
      <c r="J698" s="23">
        <v>59</v>
      </c>
      <c r="K698" s="8">
        <v>0.23</v>
      </c>
      <c r="L698" s="8">
        <v>0.77</v>
      </c>
      <c r="M698">
        <f t="shared" si="10"/>
        <v>2.3E-3</v>
      </c>
    </row>
    <row r="699" spans="1:13" x14ac:dyDescent="0.3">
      <c r="A699" s="23" t="s">
        <v>113</v>
      </c>
      <c r="B699" t="s">
        <v>19</v>
      </c>
      <c r="C699" s="38">
        <v>2610</v>
      </c>
      <c r="D699" s="7">
        <v>22546</v>
      </c>
      <c r="E699" s="38">
        <v>4386</v>
      </c>
      <c r="F699" s="39">
        <v>4.2659999999999998E-3</v>
      </c>
      <c r="G699" t="s">
        <v>1</v>
      </c>
      <c r="H699" s="23" t="s">
        <v>91</v>
      </c>
      <c r="I699" s="23">
        <v>12</v>
      </c>
      <c r="J699" s="23">
        <v>43</v>
      </c>
      <c r="K699" s="8">
        <v>0.47</v>
      </c>
      <c r="L699" s="8">
        <v>0.53</v>
      </c>
      <c r="M699">
        <f t="shared" si="10"/>
        <v>4.6999999999999993E-3</v>
      </c>
    </row>
    <row r="700" spans="1:13" x14ac:dyDescent="0.3">
      <c r="A700" s="23" t="s">
        <v>113</v>
      </c>
      <c r="B700" t="s">
        <v>19</v>
      </c>
      <c r="C700" s="38">
        <v>420</v>
      </c>
      <c r="D700" s="7">
        <v>21885</v>
      </c>
      <c r="E700" s="38">
        <v>1674</v>
      </c>
      <c r="F700" s="39">
        <v>9.3099999999999997E-4</v>
      </c>
      <c r="G700" t="s">
        <v>2</v>
      </c>
      <c r="H700" s="23" t="s">
        <v>91</v>
      </c>
      <c r="I700" s="23">
        <v>20</v>
      </c>
      <c r="J700" s="23">
        <v>59</v>
      </c>
      <c r="K700" s="8">
        <v>0.73</v>
      </c>
      <c r="L700" s="8">
        <v>0.27</v>
      </c>
      <c r="M700">
        <f t="shared" si="10"/>
        <v>7.3000000000000001E-3</v>
      </c>
    </row>
    <row r="701" spans="1:13" x14ac:dyDescent="0.3">
      <c r="A701" s="23" t="s">
        <v>113</v>
      </c>
      <c r="B701" t="s">
        <v>19</v>
      </c>
      <c r="C701" s="38">
        <v>1096</v>
      </c>
      <c r="D701" s="7">
        <v>24588</v>
      </c>
      <c r="E701" s="38">
        <v>1413</v>
      </c>
      <c r="F701" s="39">
        <v>3.2650000000000001E-3</v>
      </c>
      <c r="G701" t="s">
        <v>3</v>
      </c>
      <c r="H701" s="23" t="s">
        <v>91</v>
      </c>
      <c r="I701" s="23">
        <v>18</v>
      </c>
      <c r="J701" s="23">
        <v>49</v>
      </c>
      <c r="K701" s="8">
        <v>0.4</v>
      </c>
      <c r="L701" s="8">
        <v>0.6</v>
      </c>
      <c r="M701">
        <f t="shared" si="10"/>
        <v>4.0000000000000001E-3</v>
      </c>
    </row>
    <row r="702" spans="1:13" x14ac:dyDescent="0.3">
      <c r="A702" s="23" t="s">
        <v>113</v>
      </c>
      <c r="B702" t="s">
        <v>20</v>
      </c>
      <c r="C702" s="38">
        <v>711</v>
      </c>
      <c r="D702" s="7">
        <v>36211</v>
      </c>
      <c r="E702" s="38">
        <v>2454</v>
      </c>
      <c r="F702" s="39">
        <v>3.1749999999999999E-3</v>
      </c>
      <c r="G702" t="s">
        <v>0</v>
      </c>
      <c r="H702" s="23" t="s">
        <v>91</v>
      </c>
      <c r="I702" s="23">
        <v>14</v>
      </c>
      <c r="J702" s="23">
        <v>65</v>
      </c>
      <c r="K702" s="8">
        <v>0.53</v>
      </c>
      <c r="L702" s="8">
        <v>0.47</v>
      </c>
      <c r="M702">
        <f t="shared" si="10"/>
        <v>5.3E-3</v>
      </c>
    </row>
    <row r="703" spans="1:13" x14ac:dyDescent="0.3">
      <c r="A703" s="23" t="s">
        <v>113</v>
      </c>
      <c r="B703" t="s">
        <v>20</v>
      </c>
      <c r="C703" s="38">
        <v>445</v>
      </c>
      <c r="D703" s="7">
        <v>1480</v>
      </c>
      <c r="E703" s="38">
        <v>1558</v>
      </c>
      <c r="F703" s="39">
        <v>2.8149999999999998E-3</v>
      </c>
      <c r="G703" t="s">
        <v>1</v>
      </c>
      <c r="H703" s="23" t="s">
        <v>91</v>
      </c>
      <c r="I703" s="23">
        <v>14</v>
      </c>
      <c r="J703" s="23">
        <v>2</v>
      </c>
      <c r="K703" s="8">
        <v>0.69</v>
      </c>
      <c r="L703" s="8">
        <v>0.31000000000000005</v>
      </c>
      <c r="M703">
        <f t="shared" si="10"/>
        <v>6.8999999999999999E-3</v>
      </c>
    </row>
    <row r="704" spans="1:13" x14ac:dyDescent="0.3">
      <c r="A704" s="23" t="s">
        <v>113</v>
      </c>
      <c r="B704" t="s">
        <v>20</v>
      </c>
      <c r="C704" s="38">
        <v>1198</v>
      </c>
      <c r="D704" s="7">
        <v>51115</v>
      </c>
      <c r="E704" s="38">
        <v>1729</v>
      </c>
      <c r="F704" s="39">
        <v>1.5120000000000001E-3</v>
      </c>
      <c r="G704" t="s">
        <v>2</v>
      </c>
      <c r="H704" s="23" t="s">
        <v>91</v>
      </c>
      <c r="I704" s="23">
        <v>17</v>
      </c>
      <c r="J704" s="23">
        <v>10</v>
      </c>
      <c r="K704" s="8">
        <v>0.77</v>
      </c>
      <c r="L704" s="8">
        <v>0.22999999999999998</v>
      </c>
      <c r="M704">
        <f t="shared" si="10"/>
        <v>7.7000000000000002E-3</v>
      </c>
    </row>
    <row r="705" spans="1:13" x14ac:dyDescent="0.3">
      <c r="A705" s="23" t="s">
        <v>113</v>
      </c>
      <c r="B705" t="s">
        <v>20</v>
      </c>
      <c r="C705" s="38">
        <v>932</v>
      </c>
      <c r="D705" s="7">
        <v>16384</v>
      </c>
      <c r="E705" s="38">
        <v>833</v>
      </c>
      <c r="F705" s="39">
        <v>4.4419999999999998E-3</v>
      </c>
      <c r="G705" t="s">
        <v>3</v>
      </c>
      <c r="H705" s="23" t="s">
        <v>91</v>
      </c>
      <c r="I705" s="23">
        <v>1</v>
      </c>
      <c r="J705" s="23">
        <v>25</v>
      </c>
      <c r="K705" s="8">
        <v>0.63</v>
      </c>
      <c r="L705" s="8">
        <v>0.37</v>
      </c>
      <c r="M705">
        <f t="shared" si="10"/>
        <v>6.3E-3</v>
      </c>
    </row>
    <row r="706" spans="1:13" x14ac:dyDescent="0.3">
      <c r="A706" s="23" t="s">
        <v>113</v>
      </c>
      <c r="B706" t="s">
        <v>22</v>
      </c>
      <c r="C706" s="38">
        <v>368</v>
      </c>
      <c r="D706" s="7">
        <v>39128</v>
      </c>
      <c r="E706" s="38">
        <v>919</v>
      </c>
      <c r="F706" s="39">
        <v>4.2469999999999999E-3</v>
      </c>
      <c r="G706" t="s">
        <v>0</v>
      </c>
      <c r="H706" s="23" t="s">
        <v>91</v>
      </c>
      <c r="I706" s="23">
        <v>20</v>
      </c>
      <c r="J706" s="23">
        <v>1</v>
      </c>
      <c r="K706" s="8">
        <v>0.78</v>
      </c>
      <c r="L706" s="8">
        <v>0.21999999999999997</v>
      </c>
      <c r="M706">
        <f t="shared" si="10"/>
        <v>7.8000000000000005E-3</v>
      </c>
    </row>
    <row r="707" spans="1:13" x14ac:dyDescent="0.3">
      <c r="A707" s="23" t="s">
        <v>113</v>
      </c>
      <c r="B707" t="s">
        <v>22</v>
      </c>
      <c r="C707" s="38">
        <v>501</v>
      </c>
      <c r="D707" s="7">
        <v>92776</v>
      </c>
      <c r="E707" s="38">
        <v>1479</v>
      </c>
      <c r="F707" s="39">
        <v>2.6970000000000002E-3</v>
      </c>
      <c r="G707" t="s">
        <v>1</v>
      </c>
      <c r="H707" s="23" t="s">
        <v>91</v>
      </c>
      <c r="I707" s="23">
        <v>8</v>
      </c>
      <c r="J707" s="23">
        <v>44</v>
      </c>
      <c r="K707" s="8">
        <v>0.37</v>
      </c>
      <c r="L707" s="8">
        <v>0.63</v>
      </c>
      <c r="M707">
        <f t="shared" ref="M707:M770" si="11">K707/100</f>
        <v>3.7000000000000002E-3</v>
      </c>
    </row>
    <row r="708" spans="1:13" x14ac:dyDescent="0.3">
      <c r="A708" s="23" t="s">
        <v>113</v>
      </c>
      <c r="B708" t="s">
        <v>22</v>
      </c>
      <c r="C708" s="38">
        <v>651</v>
      </c>
      <c r="D708" s="7">
        <v>48866</v>
      </c>
      <c r="E708" s="38">
        <v>825</v>
      </c>
      <c r="F708" s="39">
        <v>3.235E-3</v>
      </c>
      <c r="G708" t="s">
        <v>2</v>
      </c>
      <c r="H708" s="23" t="s">
        <v>91</v>
      </c>
      <c r="I708" s="23">
        <v>9</v>
      </c>
      <c r="J708" s="23">
        <v>70</v>
      </c>
      <c r="K708" s="8">
        <v>0.22</v>
      </c>
      <c r="L708" s="8">
        <v>0.78</v>
      </c>
      <c r="M708">
        <f t="shared" si="11"/>
        <v>2.2000000000000001E-3</v>
      </c>
    </row>
    <row r="709" spans="1:13" x14ac:dyDescent="0.3">
      <c r="A709" s="23" t="s">
        <v>113</v>
      </c>
      <c r="B709" t="s">
        <v>22</v>
      </c>
      <c r="C709" s="38">
        <v>783</v>
      </c>
      <c r="D709" s="7">
        <v>102515</v>
      </c>
      <c r="E709" s="38">
        <v>1385</v>
      </c>
      <c r="F709" s="39">
        <v>2.1930000000000001E-3</v>
      </c>
      <c r="G709" t="s">
        <v>3</v>
      </c>
      <c r="H709" s="23" t="s">
        <v>91</v>
      </c>
      <c r="I709" s="23">
        <v>16</v>
      </c>
      <c r="J709" s="23">
        <v>77</v>
      </c>
      <c r="K709" s="8">
        <v>0.22</v>
      </c>
      <c r="L709" s="8">
        <v>0.78</v>
      </c>
      <c r="M709">
        <f t="shared" si="11"/>
        <v>2.2000000000000001E-3</v>
      </c>
    </row>
    <row r="710" spans="1:13" x14ac:dyDescent="0.3">
      <c r="A710" s="23" t="s">
        <v>113</v>
      </c>
      <c r="B710" t="s">
        <v>21</v>
      </c>
      <c r="C710" s="38">
        <v>2890</v>
      </c>
      <c r="D710" s="7">
        <v>9699</v>
      </c>
      <c r="E710" s="38">
        <v>6154</v>
      </c>
      <c r="F710" s="39">
        <v>1.799E-3</v>
      </c>
      <c r="G710" t="s">
        <v>0</v>
      </c>
      <c r="H710" s="23" t="s">
        <v>91</v>
      </c>
      <c r="I710" s="23">
        <v>12</v>
      </c>
      <c r="J710" s="23">
        <v>15</v>
      </c>
      <c r="K710" s="8">
        <v>0.11</v>
      </c>
      <c r="L710" s="8">
        <v>0.89</v>
      </c>
      <c r="M710">
        <f t="shared" si="11"/>
        <v>1.1000000000000001E-3</v>
      </c>
    </row>
    <row r="711" spans="1:13" x14ac:dyDescent="0.3">
      <c r="A711" s="23" t="s">
        <v>113</v>
      </c>
      <c r="B711" t="s">
        <v>21</v>
      </c>
      <c r="C711" s="38">
        <v>1739</v>
      </c>
      <c r="D711" s="7">
        <v>5348</v>
      </c>
      <c r="E711" s="38">
        <v>8499</v>
      </c>
      <c r="F711" s="39">
        <v>1.75E-3</v>
      </c>
      <c r="G711" t="s">
        <v>1</v>
      </c>
      <c r="H711" s="23" t="s">
        <v>91</v>
      </c>
      <c r="I711" s="23">
        <v>20</v>
      </c>
      <c r="J711" s="23">
        <v>45</v>
      </c>
      <c r="K711" s="8">
        <v>0.17</v>
      </c>
      <c r="L711" s="8">
        <v>0.83</v>
      </c>
      <c r="M711">
        <f t="shared" si="11"/>
        <v>1.7000000000000001E-3</v>
      </c>
    </row>
    <row r="712" spans="1:13" x14ac:dyDescent="0.3">
      <c r="A712" s="23" t="s">
        <v>113</v>
      </c>
      <c r="B712" t="s">
        <v>21</v>
      </c>
      <c r="C712" s="38">
        <v>3426</v>
      </c>
      <c r="D712" s="7">
        <v>26508</v>
      </c>
      <c r="E712" s="38">
        <v>1833</v>
      </c>
      <c r="F712" s="39">
        <v>4.2729999999999999E-3</v>
      </c>
      <c r="G712" t="s">
        <v>2</v>
      </c>
      <c r="H712" s="23" t="s">
        <v>91</v>
      </c>
      <c r="I712" s="23">
        <v>12</v>
      </c>
      <c r="J712" s="23">
        <v>52</v>
      </c>
      <c r="K712" s="8">
        <v>0.27</v>
      </c>
      <c r="L712" s="8">
        <v>0.73</v>
      </c>
      <c r="M712">
        <f t="shared" si="11"/>
        <v>2.7000000000000001E-3</v>
      </c>
    </row>
    <row r="713" spans="1:13" x14ac:dyDescent="0.3">
      <c r="A713" s="23" t="s">
        <v>113</v>
      </c>
      <c r="B713" t="s">
        <v>21</v>
      </c>
      <c r="C713" s="38">
        <v>2275</v>
      </c>
      <c r="D713" s="7">
        <v>22157</v>
      </c>
      <c r="E713" s="38">
        <v>4178</v>
      </c>
      <c r="F713" s="39">
        <v>3.6380000000000002E-3</v>
      </c>
      <c r="G713" t="s">
        <v>3</v>
      </c>
      <c r="H713" s="23" t="s">
        <v>91</v>
      </c>
      <c r="I713" s="23">
        <v>23</v>
      </c>
      <c r="J713" s="23">
        <v>56</v>
      </c>
      <c r="K713" s="8">
        <v>0.1</v>
      </c>
      <c r="L713" s="8">
        <v>0.9</v>
      </c>
      <c r="M713">
        <f t="shared" si="11"/>
        <v>1E-3</v>
      </c>
    </row>
    <row r="714" spans="1:13" x14ac:dyDescent="0.3">
      <c r="A714" s="23" t="s">
        <v>113</v>
      </c>
      <c r="B714" t="s">
        <v>23</v>
      </c>
      <c r="C714" s="38">
        <v>991</v>
      </c>
      <c r="D714" s="7">
        <v>3885</v>
      </c>
      <c r="E714" s="38">
        <v>1932</v>
      </c>
      <c r="F714" s="39">
        <v>1.4580000000000001E-3</v>
      </c>
      <c r="G714" t="s">
        <v>0</v>
      </c>
      <c r="H714" s="23" t="s">
        <v>91</v>
      </c>
      <c r="I714" s="23">
        <v>15</v>
      </c>
      <c r="J714" s="23">
        <v>33</v>
      </c>
      <c r="K714" s="8">
        <v>0.43</v>
      </c>
      <c r="L714" s="8">
        <v>0.57000000000000006</v>
      </c>
      <c r="M714">
        <f t="shared" si="11"/>
        <v>4.3E-3</v>
      </c>
    </row>
    <row r="715" spans="1:13" x14ac:dyDescent="0.3">
      <c r="A715" s="23" t="s">
        <v>113</v>
      </c>
      <c r="B715" t="s">
        <v>23</v>
      </c>
      <c r="C715" s="38">
        <v>536</v>
      </c>
      <c r="D715" s="7">
        <v>3543</v>
      </c>
      <c r="E715" s="38">
        <v>1452</v>
      </c>
      <c r="F715" s="39">
        <v>3.6549999999999998E-3</v>
      </c>
      <c r="G715" t="s">
        <v>1</v>
      </c>
      <c r="H715" s="23" t="s">
        <v>91</v>
      </c>
      <c r="I715" s="23">
        <v>5</v>
      </c>
      <c r="J715" s="23">
        <v>77</v>
      </c>
      <c r="K715" s="8">
        <v>0.64</v>
      </c>
      <c r="L715" s="8">
        <v>0.36</v>
      </c>
      <c r="M715">
        <f t="shared" si="11"/>
        <v>6.4000000000000003E-3</v>
      </c>
    </row>
    <row r="716" spans="1:13" x14ac:dyDescent="0.3">
      <c r="A716" s="23" t="s">
        <v>113</v>
      </c>
      <c r="B716" t="s">
        <v>23</v>
      </c>
      <c r="C716" s="38">
        <v>917</v>
      </c>
      <c r="D716" s="7">
        <v>6789</v>
      </c>
      <c r="E716" s="38">
        <v>1456</v>
      </c>
      <c r="F716" s="39">
        <v>2.7889999999999998E-3</v>
      </c>
      <c r="G716" t="s">
        <v>2</v>
      </c>
      <c r="H716" s="23" t="s">
        <v>91</v>
      </c>
      <c r="I716" s="23">
        <v>5</v>
      </c>
      <c r="J716" s="23">
        <v>5</v>
      </c>
      <c r="K716" s="8">
        <v>0.27</v>
      </c>
      <c r="L716" s="8">
        <v>0.73</v>
      </c>
      <c r="M716">
        <f t="shared" si="11"/>
        <v>2.7000000000000001E-3</v>
      </c>
    </row>
    <row r="717" spans="1:13" x14ac:dyDescent="0.3">
      <c r="A717" s="23" t="s">
        <v>113</v>
      </c>
      <c r="B717" t="s">
        <v>23</v>
      </c>
      <c r="C717" s="38">
        <v>462</v>
      </c>
      <c r="D717" s="7">
        <v>6447</v>
      </c>
      <c r="E717" s="38">
        <v>975</v>
      </c>
      <c r="F717" s="39">
        <v>3.8579999999999999E-3</v>
      </c>
      <c r="G717" t="s">
        <v>3</v>
      </c>
      <c r="H717" s="23" t="s">
        <v>91</v>
      </c>
      <c r="I717" s="23">
        <v>9</v>
      </c>
      <c r="J717" s="23">
        <v>40</v>
      </c>
      <c r="K717" s="8">
        <v>0.56999999999999995</v>
      </c>
      <c r="L717" s="8">
        <v>0.43000000000000005</v>
      </c>
      <c r="M717">
        <f t="shared" si="11"/>
        <v>5.6999999999999993E-3</v>
      </c>
    </row>
    <row r="718" spans="1:13" x14ac:dyDescent="0.3">
      <c r="A718" s="23" t="s">
        <v>113</v>
      </c>
      <c r="B718" t="s">
        <v>24</v>
      </c>
      <c r="C718" s="38">
        <v>801</v>
      </c>
      <c r="D718" s="7">
        <v>6230</v>
      </c>
      <c r="E718" s="38">
        <v>42</v>
      </c>
      <c r="F718" s="39">
        <v>4.3699999999999998E-3</v>
      </c>
      <c r="G718" t="s">
        <v>0</v>
      </c>
      <c r="H718" s="23" t="s">
        <v>91</v>
      </c>
      <c r="I718" s="23">
        <v>17</v>
      </c>
      <c r="J718" s="23">
        <v>66</v>
      </c>
      <c r="K718" s="8">
        <v>0.2</v>
      </c>
      <c r="L718" s="8">
        <v>0.8</v>
      </c>
      <c r="M718">
        <f t="shared" si="11"/>
        <v>2E-3</v>
      </c>
    </row>
    <row r="719" spans="1:13" x14ac:dyDescent="0.3">
      <c r="A719" s="23" t="s">
        <v>113</v>
      </c>
      <c r="B719" t="s">
        <v>24</v>
      </c>
      <c r="C719" s="38">
        <v>440</v>
      </c>
      <c r="D719" s="7">
        <v>6931</v>
      </c>
      <c r="E719" s="38">
        <v>1223</v>
      </c>
      <c r="F719" s="39">
        <v>4.6699999999999997E-3</v>
      </c>
      <c r="G719" t="s">
        <v>1</v>
      </c>
      <c r="H719" s="23" t="s">
        <v>91</v>
      </c>
      <c r="I719" s="23">
        <v>17</v>
      </c>
      <c r="J719" s="23">
        <v>73</v>
      </c>
      <c r="K719" s="8">
        <v>0.88</v>
      </c>
      <c r="L719" s="8">
        <v>0.12</v>
      </c>
      <c r="M719">
        <f t="shared" si="11"/>
        <v>8.8000000000000005E-3</v>
      </c>
    </row>
    <row r="720" spans="1:13" x14ac:dyDescent="0.3">
      <c r="A720" s="23" t="s">
        <v>113</v>
      </c>
      <c r="B720" t="s">
        <v>24</v>
      </c>
      <c r="C720" s="38">
        <v>786</v>
      </c>
      <c r="D720" s="7">
        <v>6572</v>
      </c>
      <c r="E720" s="38">
        <v>1230</v>
      </c>
      <c r="F720" s="39">
        <v>4.1549999999999998E-3</v>
      </c>
      <c r="G720" t="s">
        <v>2</v>
      </c>
      <c r="H720" s="23" t="s">
        <v>91</v>
      </c>
      <c r="I720" s="23">
        <v>20</v>
      </c>
      <c r="J720" s="23">
        <v>4</v>
      </c>
      <c r="K720" s="8">
        <v>0.43</v>
      </c>
      <c r="L720" s="8">
        <v>0.57000000000000006</v>
      </c>
      <c r="M720">
        <f t="shared" si="11"/>
        <v>4.3E-3</v>
      </c>
    </row>
    <row r="721" spans="1:13" x14ac:dyDescent="0.3">
      <c r="A721" s="23" t="s">
        <v>113</v>
      </c>
      <c r="B721" t="s">
        <v>24</v>
      </c>
      <c r="C721" s="38">
        <v>425</v>
      </c>
      <c r="D721" s="7">
        <v>7274</v>
      </c>
      <c r="E721" s="38">
        <v>2411</v>
      </c>
      <c r="F721" s="39">
        <v>4.7710000000000001E-3</v>
      </c>
      <c r="G721" t="s">
        <v>3</v>
      </c>
      <c r="H721" s="23" t="s">
        <v>91</v>
      </c>
      <c r="I721" s="23">
        <v>10</v>
      </c>
      <c r="J721" s="23">
        <v>75</v>
      </c>
      <c r="K721" s="8">
        <v>0.28000000000000003</v>
      </c>
      <c r="L721" s="8">
        <v>0.72</v>
      </c>
      <c r="M721">
        <f t="shared" si="11"/>
        <v>2.8000000000000004E-3</v>
      </c>
    </row>
    <row r="722" spans="1:13" x14ac:dyDescent="0.3">
      <c r="A722" s="23" t="s">
        <v>114</v>
      </c>
      <c r="B722" t="s">
        <v>19</v>
      </c>
      <c r="C722" s="38">
        <v>1877</v>
      </c>
      <c r="D722" s="7">
        <v>13272</v>
      </c>
      <c r="E722" s="38">
        <v>3314</v>
      </c>
      <c r="F722" s="39">
        <v>3.5200000000000001E-3</v>
      </c>
      <c r="G722" t="s">
        <v>0</v>
      </c>
      <c r="H722" s="23" t="s">
        <v>90</v>
      </c>
      <c r="I722" s="23">
        <v>10</v>
      </c>
      <c r="J722" s="23">
        <v>33</v>
      </c>
      <c r="K722" s="8">
        <v>0.49</v>
      </c>
      <c r="L722" s="8">
        <v>0.51</v>
      </c>
      <c r="M722">
        <f t="shared" si="11"/>
        <v>4.8999999999999998E-3</v>
      </c>
    </row>
    <row r="723" spans="1:13" x14ac:dyDescent="0.3">
      <c r="A723" s="23" t="s">
        <v>114</v>
      </c>
      <c r="B723" t="s">
        <v>19</v>
      </c>
      <c r="C723" s="38">
        <v>1544</v>
      </c>
      <c r="D723" s="7">
        <v>12263</v>
      </c>
      <c r="E723" s="38">
        <v>1801</v>
      </c>
      <c r="F723" s="39">
        <v>3.8E-3</v>
      </c>
      <c r="G723" t="s">
        <v>1</v>
      </c>
      <c r="H723" s="23" t="s">
        <v>90</v>
      </c>
      <c r="I723" s="23">
        <v>1</v>
      </c>
      <c r="J723" s="23">
        <v>40</v>
      </c>
      <c r="K723" s="8">
        <v>0.88</v>
      </c>
      <c r="L723" s="8">
        <v>0.12</v>
      </c>
      <c r="M723">
        <f t="shared" si="11"/>
        <v>8.8000000000000005E-3</v>
      </c>
    </row>
    <row r="724" spans="1:13" x14ac:dyDescent="0.3">
      <c r="A724" s="23" t="s">
        <v>114</v>
      </c>
      <c r="B724" t="s">
        <v>19</v>
      </c>
      <c r="C724" s="38">
        <v>1304</v>
      </c>
      <c r="D724" s="7">
        <v>14929</v>
      </c>
      <c r="E724" s="38">
        <v>3897</v>
      </c>
      <c r="F724" s="39">
        <v>6.0639999999999999E-3</v>
      </c>
      <c r="G724" t="s">
        <v>2</v>
      </c>
      <c r="H724" s="23" t="s">
        <v>90</v>
      </c>
      <c r="I724" s="23">
        <v>12</v>
      </c>
      <c r="J724" s="23">
        <v>29</v>
      </c>
      <c r="K724" s="8">
        <v>0.16</v>
      </c>
      <c r="L724" s="8">
        <v>0.84</v>
      </c>
      <c r="M724">
        <f t="shared" si="11"/>
        <v>1.6000000000000001E-3</v>
      </c>
    </row>
    <row r="725" spans="1:13" x14ac:dyDescent="0.3">
      <c r="A725" s="23" t="s">
        <v>114</v>
      </c>
      <c r="B725" t="s">
        <v>19</v>
      </c>
      <c r="C725" s="38">
        <v>971</v>
      </c>
      <c r="D725" s="7">
        <v>13920</v>
      </c>
      <c r="E725" s="38">
        <v>2384</v>
      </c>
      <c r="F725" s="39">
        <v>4.065E-3</v>
      </c>
      <c r="G725" t="s">
        <v>3</v>
      </c>
      <c r="H725" s="23" t="s">
        <v>90</v>
      </c>
      <c r="I725" s="23">
        <v>11</v>
      </c>
      <c r="J725" s="23">
        <v>45</v>
      </c>
      <c r="K725" s="8">
        <v>0.76</v>
      </c>
      <c r="L725" s="8">
        <v>0.24</v>
      </c>
      <c r="M725">
        <f t="shared" si="11"/>
        <v>7.6E-3</v>
      </c>
    </row>
    <row r="726" spans="1:13" x14ac:dyDescent="0.3">
      <c r="A726" s="23" t="s">
        <v>114</v>
      </c>
      <c r="B726" t="s">
        <v>20</v>
      </c>
      <c r="C726" s="38">
        <v>3995</v>
      </c>
      <c r="D726" s="7">
        <v>143487</v>
      </c>
      <c r="E726" s="38">
        <v>13357</v>
      </c>
      <c r="F726" s="39">
        <v>3.0730000000000002E-3</v>
      </c>
      <c r="G726" t="s">
        <v>0</v>
      </c>
      <c r="H726" s="23" t="s">
        <v>90</v>
      </c>
      <c r="I726" s="23">
        <v>10</v>
      </c>
      <c r="J726" s="23">
        <v>49</v>
      </c>
      <c r="K726" s="8">
        <v>0.6</v>
      </c>
      <c r="L726" s="8">
        <v>0.4</v>
      </c>
      <c r="M726">
        <f t="shared" si="11"/>
        <v>6.0000000000000001E-3</v>
      </c>
    </row>
    <row r="727" spans="1:13" x14ac:dyDescent="0.3">
      <c r="A727" s="23" t="s">
        <v>114</v>
      </c>
      <c r="B727" t="s">
        <v>20</v>
      </c>
      <c r="C727" s="38">
        <v>4604</v>
      </c>
      <c r="D727" s="7">
        <v>128970</v>
      </c>
      <c r="E727" s="38">
        <v>3701</v>
      </c>
      <c r="F727" s="39">
        <v>7.7800000000000005E-4</v>
      </c>
      <c r="G727" t="s">
        <v>1</v>
      </c>
      <c r="H727" s="23" t="s">
        <v>90</v>
      </c>
      <c r="I727" s="23">
        <v>13</v>
      </c>
      <c r="J727" s="23">
        <v>1</v>
      </c>
      <c r="K727" s="8">
        <v>0.12</v>
      </c>
      <c r="L727" s="8">
        <v>0.88</v>
      </c>
      <c r="M727">
        <f t="shared" si="11"/>
        <v>1.1999999999999999E-3</v>
      </c>
    </row>
    <row r="728" spans="1:13" x14ac:dyDescent="0.3">
      <c r="A728" s="23" t="s">
        <v>114</v>
      </c>
      <c r="B728" t="s">
        <v>20</v>
      </c>
      <c r="C728" s="38">
        <v>7027</v>
      </c>
      <c r="D728" s="7">
        <v>174770</v>
      </c>
      <c r="E728" s="38">
        <v>19561</v>
      </c>
      <c r="F728" s="39">
        <v>5.4440000000000001E-3</v>
      </c>
      <c r="G728" t="s">
        <v>2</v>
      </c>
      <c r="H728" s="23" t="s">
        <v>90</v>
      </c>
      <c r="I728" s="23">
        <v>12</v>
      </c>
      <c r="J728" s="23">
        <v>39</v>
      </c>
      <c r="K728" s="8">
        <v>0.24</v>
      </c>
      <c r="L728" s="8">
        <v>0.76</v>
      </c>
      <c r="M728">
        <f t="shared" si="11"/>
        <v>2.3999999999999998E-3</v>
      </c>
    </row>
    <row r="729" spans="1:13" x14ac:dyDescent="0.3">
      <c r="A729" s="23" t="s">
        <v>114</v>
      </c>
      <c r="B729" t="s">
        <v>20</v>
      </c>
      <c r="C729" s="38">
        <v>7635</v>
      </c>
      <c r="D729" s="7">
        <v>160253</v>
      </c>
      <c r="E729" s="38">
        <v>9905</v>
      </c>
      <c r="F729" s="39">
        <v>6.136E-3</v>
      </c>
      <c r="G729" t="s">
        <v>3</v>
      </c>
      <c r="H729" s="23" t="s">
        <v>90</v>
      </c>
      <c r="I729" s="23">
        <v>5</v>
      </c>
      <c r="J729" s="23">
        <v>43</v>
      </c>
      <c r="K729" s="8">
        <v>0.48</v>
      </c>
      <c r="L729" s="8">
        <v>0.52</v>
      </c>
      <c r="M729">
        <f t="shared" si="11"/>
        <v>4.7999999999999996E-3</v>
      </c>
    </row>
    <row r="730" spans="1:13" x14ac:dyDescent="0.3">
      <c r="A730" s="23" t="s">
        <v>114</v>
      </c>
      <c r="B730" t="s">
        <v>22</v>
      </c>
      <c r="C730" s="38">
        <v>564</v>
      </c>
      <c r="D730" s="7">
        <v>27157</v>
      </c>
      <c r="E730" s="38">
        <v>1898</v>
      </c>
      <c r="F730" s="39">
        <v>5.7780000000000001E-3</v>
      </c>
      <c r="G730" t="s">
        <v>0</v>
      </c>
      <c r="H730" s="23" t="s">
        <v>90</v>
      </c>
      <c r="I730" s="23">
        <v>16</v>
      </c>
      <c r="J730" s="23">
        <v>26</v>
      </c>
      <c r="K730" s="8">
        <v>0.52</v>
      </c>
      <c r="L730" s="8">
        <v>0.48</v>
      </c>
      <c r="M730">
        <f t="shared" si="11"/>
        <v>5.1999999999999998E-3</v>
      </c>
    </row>
    <row r="731" spans="1:13" x14ac:dyDescent="0.3">
      <c r="A731" s="23" t="s">
        <v>114</v>
      </c>
      <c r="B731" t="s">
        <v>22</v>
      </c>
      <c r="C731" s="38">
        <v>807</v>
      </c>
      <c r="D731" s="7">
        <v>27369</v>
      </c>
      <c r="E731" s="38">
        <v>1371</v>
      </c>
      <c r="F731" s="39">
        <v>1.392E-3</v>
      </c>
      <c r="G731" t="s">
        <v>1</v>
      </c>
      <c r="H731" s="23" t="s">
        <v>90</v>
      </c>
      <c r="I731" s="23">
        <v>9</v>
      </c>
      <c r="J731" s="23">
        <v>16</v>
      </c>
      <c r="K731" s="8">
        <v>0.47</v>
      </c>
      <c r="L731" s="8">
        <v>0.53</v>
      </c>
      <c r="M731">
        <f t="shared" si="11"/>
        <v>4.6999999999999993E-3</v>
      </c>
    </row>
    <row r="732" spans="1:13" x14ac:dyDescent="0.3">
      <c r="A732" s="23" t="s">
        <v>114</v>
      </c>
      <c r="B732" t="s">
        <v>22</v>
      </c>
      <c r="C732" s="38">
        <v>467</v>
      </c>
      <c r="D732" s="7">
        <v>17674</v>
      </c>
      <c r="E732" s="38">
        <v>1178</v>
      </c>
      <c r="F732" s="39">
        <v>2.6510000000000001E-3</v>
      </c>
      <c r="G732" t="s">
        <v>2</v>
      </c>
      <c r="H732" s="23" t="s">
        <v>90</v>
      </c>
      <c r="I732" s="23">
        <v>13</v>
      </c>
      <c r="J732" s="23">
        <v>39</v>
      </c>
      <c r="K732" s="8">
        <v>0.17</v>
      </c>
      <c r="L732" s="8">
        <v>0.83</v>
      </c>
      <c r="M732">
        <f t="shared" si="11"/>
        <v>1.7000000000000001E-3</v>
      </c>
    </row>
    <row r="733" spans="1:13" x14ac:dyDescent="0.3">
      <c r="A733" s="23" t="s">
        <v>114</v>
      </c>
      <c r="B733" t="s">
        <v>22</v>
      </c>
      <c r="C733" s="38">
        <v>710</v>
      </c>
      <c r="D733" s="7">
        <v>17887</v>
      </c>
      <c r="E733" s="38">
        <v>651</v>
      </c>
      <c r="F733" s="39">
        <v>5.7520000000000002E-3</v>
      </c>
      <c r="G733" t="s">
        <v>3</v>
      </c>
      <c r="H733" s="23" t="s">
        <v>90</v>
      </c>
      <c r="I733" s="23">
        <v>1</v>
      </c>
      <c r="J733" s="23">
        <v>13</v>
      </c>
      <c r="K733" s="8">
        <v>0.73</v>
      </c>
      <c r="L733" s="8">
        <v>0.27</v>
      </c>
      <c r="M733">
        <f t="shared" si="11"/>
        <v>7.3000000000000001E-3</v>
      </c>
    </row>
    <row r="734" spans="1:13" x14ac:dyDescent="0.3">
      <c r="A734" s="23" t="s">
        <v>114</v>
      </c>
      <c r="B734" t="s">
        <v>21</v>
      </c>
      <c r="C734" s="38">
        <v>2528</v>
      </c>
      <c r="D734" s="7">
        <v>66692</v>
      </c>
      <c r="E734" s="38">
        <v>6415</v>
      </c>
      <c r="F734" s="39">
        <v>4.1159999999999999E-3</v>
      </c>
      <c r="G734" t="s">
        <v>0</v>
      </c>
      <c r="H734" s="23" t="s">
        <v>90</v>
      </c>
      <c r="I734" s="23">
        <v>4</v>
      </c>
      <c r="J734" s="23">
        <v>60</v>
      </c>
      <c r="K734" s="8">
        <v>0.36</v>
      </c>
      <c r="L734" s="8">
        <v>0.64</v>
      </c>
      <c r="M734">
        <f t="shared" si="11"/>
        <v>3.5999999999999999E-3</v>
      </c>
    </row>
    <row r="735" spans="1:13" x14ac:dyDescent="0.3">
      <c r="A735" s="23" t="s">
        <v>114</v>
      </c>
      <c r="B735" t="s">
        <v>21</v>
      </c>
      <c r="C735" s="38">
        <v>4391</v>
      </c>
      <c r="D735" s="7">
        <v>148068</v>
      </c>
      <c r="E735" s="38">
        <v>9945</v>
      </c>
      <c r="F735" s="39">
        <v>2.3900000000000002E-3</v>
      </c>
      <c r="G735" t="s">
        <v>1</v>
      </c>
      <c r="H735" s="23" t="s">
        <v>90</v>
      </c>
      <c r="I735" s="23">
        <v>1</v>
      </c>
      <c r="J735" s="23">
        <v>18</v>
      </c>
      <c r="K735" s="8">
        <v>0.39</v>
      </c>
      <c r="L735" s="8">
        <v>0.61</v>
      </c>
      <c r="M735">
        <f t="shared" si="11"/>
        <v>3.9000000000000003E-3</v>
      </c>
    </row>
    <row r="736" spans="1:13" x14ac:dyDescent="0.3">
      <c r="A736" s="23" t="s">
        <v>114</v>
      </c>
      <c r="B736" t="s">
        <v>21</v>
      </c>
      <c r="C736" s="38">
        <v>2502</v>
      </c>
      <c r="D736" s="7">
        <v>262109</v>
      </c>
      <c r="E736" s="38">
        <v>3841</v>
      </c>
      <c r="F736" s="39">
        <v>6.1749999999999999E-3</v>
      </c>
      <c r="G736" t="s">
        <v>2</v>
      </c>
      <c r="H736" s="23" t="s">
        <v>90</v>
      </c>
      <c r="I736" s="23">
        <v>18</v>
      </c>
      <c r="J736" s="23">
        <v>65</v>
      </c>
      <c r="K736" s="8">
        <v>0.52</v>
      </c>
      <c r="L736" s="8">
        <v>0.48</v>
      </c>
      <c r="M736">
        <f t="shared" si="11"/>
        <v>5.1999999999999998E-3</v>
      </c>
    </row>
    <row r="737" spans="1:13" x14ac:dyDescent="0.3">
      <c r="A737" s="23" t="s">
        <v>114</v>
      </c>
      <c r="B737" t="s">
        <v>21</v>
      </c>
      <c r="C737" s="38">
        <v>4364</v>
      </c>
      <c r="D737" s="7">
        <v>343485</v>
      </c>
      <c r="E737" s="38">
        <v>7371</v>
      </c>
      <c r="F737" s="39">
        <v>1.4599999999999999E-3</v>
      </c>
      <c r="G737" t="s">
        <v>3</v>
      </c>
      <c r="H737" s="23" t="s">
        <v>90</v>
      </c>
      <c r="I737" s="23">
        <v>23</v>
      </c>
      <c r="J737" s="23">
        <v>60</v>
      </c>
      <c r="K737" s="8">
        <v>0.69</v>
      </c>
      <c r="L737" s="8">
        <v>0.31000000000000005</v>
      </c>
      <c r="M737">
        <f t="shared" si="11"/>
        <v>6.8999999999999999E-3</v>
      </c>
    </row>
    <row r="738" spans="1:13" x14ac:dyDescent="0.3">
      <c r="A738" s="23" t="s">
        <v>114</v>
      </c>
      <c r="B738" t="s">
        <v>23</v>
      </c>
      <c r="C738" s="38">
        <v>968</v>
      </c>
      <c r="D738" s="7">
        <v>27181</v>
      </c>
      <c r="E738" s="38">
        <v>2893</v>
      </c>
      <c r="F738" s="39">
        <v>4.1110000000000001E-3</v>
      </c>
      <c r="G738" t="s">
        <v>0</v>
      </c>
      <c r="H738" s="23" t="s">
        <v>90</v>
      </c>
      <c r="I738" s="23">
        <v>8</v>
      </c>
      <c r="J738" s="23">
        <v>10</v>
      </c>
      <c r="K738" s="8">
        <v>0.82</v>
      </c>
      <c r="L738" s="8">
        <v>0.18000000000000005</v>
      </c>
      <c r="M738">
        <f t="shared" si="11"/>
        <v>8.199999999999999E-3</v>
      </c>
    </row>
    <row r="739" spans="1:13" x14ac:dyDescent="0.3">
      <c r="A739" s="23" t="s">
        <v>114</v>
      </c>
      <c r="B739" t="s">
        <v>23</v>
      </c>
      <c r="C739" s="38">
        <v>1386</v>
      </c>
      <c r="D739" s="7">
        <v>9164</v>
      </c>
      <c r="E739" s="38">
        <v>3221</v>
      </c>
      <c r="F739" s="39">
        <v>2.0939999999999999E-3</v>
      </c>
      <c r="G739" t="s">
        <v>1</v>
      </c>
      <c r="H739" s="23" t="s">
        <v>90</v>
      </c>
      <c r="I739" s="23">
        <v>9</v>
      </c>
      <c r="J739" s="23">
        <v>27</v>
      </c>
      <c r="K739" s="8">
        <v>0.81</v>
      </c>
      <c r="L739" s="8">
        <v>0.18999999999999995</v>
      </c>
      <c r="M739">
        <f t="shared" si="11"/>
        <v>8.1000000000000013E-3</v>
      </c>
    </row>
    <row r="740" spans="1:13" x14ac:dyDescent="0.3">
      <c r="A740" s="23" t="s">
        <v>114</v>
      </c>
      <c r="B740" t="s">
        <v>23</v>
      </c>
      <c r="C740" s="38">
        <v>1385</v>
      </c>
      <c r="D740" s="7">
        <v>33349</v>
      </c>
      <c r="E740" s="38">
        <v>2322</v>
      </c>
      <c r="F740" s="39">
        <v>2.898E-3</v>
      </c>
      <c r="G740" t="s">
        <v>2</v>
      </c>
      <c r="H740" s="23" t="s">
        <v>90</v>
      </c>
      <c r="I740" s="23">
        <v>17</v>
      </c>
      <c r="J740" s="23">
        <v>19</v>
      </c>
      <c r="K740" s="8">
        <v>0.85</v>
      </c>
      <c r="L740" s="8">
        <v>0.15000000000000002</v>
      </c>
      <c r="M740">
        <f t="shared" si="11"/>
        <v>8.5000000000000006E-3</v>
      </c>
    </row>
    <row r="741" spans="1:13" x14ac:dyDescent="0.3">
      <c r="A741" s="23" t="s">
        <v>114</v>
      </c>
      <c r="B741" t="s">
        <v>23</v>
      </c>
      <c r="C741" s="38">
        <v>1803</v>
      </c>
      <c r="D741" s="7">
        <v>15333</v>
      </c>
      <c r="E741" s="38">
        <v>2650</v>
      </c>
      <c r="F741" s="39">
        <v>5.9239999999999996E-3</v>
      </c>
      <c r="G741" t="s">
        <v>3</v>
      </c>
      <c r="H741" s="23" t="s">
        <v>90</v>
      </c>
      <c r="I741" s="23">
        <v>11</v>
      </c>
      <c r="J741" s="23">
        <v>50</v>
      </c>
      <c r="K741" s="8">
        <v>0.73</v>
      </c>
      <c r="L741" s="8">
        <v>0.27</v>
      </c>
      <c r="M741">
        <f t="shared" si="11"/>
        <v>7.3000000000000001E-3</v>
      </c>
    </row>
    <row r="742" spans="1:13" x14ac:dyDescent="0.3">
      <c r="A742" s="23" t="s">
        <v>114</v>
      </c>
      <c r="B742" t="s">
        <v>24</v>
      </c>
      <c r="C742" s="38">
        <v>743</v>
      </c>
      <c r="D742" s="7">
        <v>102145</v>
      </c>
      <c r="E742" s="38">
        <v>420</v>
      </c>
      <c r="F742" s="39">
        <v>3.2009999999999999E-3</v>
      </c>
      <c r="G742" t="s">
        <v>0</v>
      </c>
      <c r="H742" s="23" t="s">
        <v>90</v>
      </c>
      <c r="I742" s="23">
        <v>15</v>
      </c>
      <c r="J742" s="23">
        <v>6</v>
      </c>
      <c r="K742" s="8">
        <v>0.72</v>
      </c>
      <c r="L742" s="8">
        <v>0.28000000000000003</v>
      </c>
      <c r="M742">
        <f t="shared" si="11"/>
        <v>7.1999999999999998E-3</v>
      </c>
    </row>
    <row r="743" spans="1:13" x14ac:dyDescent="0.3">
      <c r="A743" s="23" t="s">
        <v>114</v>
      </c>
      <c r="B743" t="s">
        <v>24</v>
      </c>
      <c r="C743" s="38">
        <v>749</v>
      </c>
      <c r="D743" s="7">
        <v>113080</v>
      </c>
      <c r="E743" s="38">
        <v>1432</v>
      </c>
      <c r="F743" s="39">
        <v>4.7920000000000003E-3</v>
      </c>
      <c r="G743" t="s">
        <v>1</v>
      </c>
      <c r="H743" s="23" t="s">
        <v>90</v>
      </c>
      <c r="I743" s="23">
        <v>22</v>
      </c>
      <c r="J743" s="23">
        <v>38</v>
      </c>
      <c r="K743" s="8">
        <v>0.34</v>
      </c>
      <c r="L743" s="8">
        <v>0.65999999999999992</v>
      </c>
      <c r="M743">
        <f t="shared" si="11"/>
        <v>3.4000000000000002E-3</v>
      </c>
    </row>
    <row r="744" spans="1:13" x14ac:dyDescent="0.3">
      <c r="A744" s="23" t="s">
        <v>114</v>
      </c>
      <c r="B744" t="s">
        <v>24</v>
      </c>
      <c r="C744" s="38">
        <v>200</v>
      </c>
      <c r="D744" s="7">
        <v>60799</v>
      </c>
      <c r="E744" s="38">
        <v>467</v>
      </c>
      <c r="F744" s="39">
        <v>5.6119999999999998E-3</v>
      </c>
      <c r="G744" t="s">
        <v>2</v>
      </c>
      <c r="H744" s="23" t="s">
        <v>90</v>
      </c>
      <c r="I744" s="23">
        <v>6</v>
      </c>
      <c r="J744" s="23">
        <v>47</v>
      </c>
      <c r="K744" s="8">
        <v>0.21</v>
      </c>
      <c r="L744" s="8">
        <v>0.79</v>
      </c>
      <c r="M744">
        <f t="shared" si="11"/>
        <v>2.0999999999999999E-3</v>
      </c>
    </row>
    <row r="745" spans="1:13" x14ac:dyDescent="0.3">
      <c r="A745" s="23" t="s">
        <v>114</v>
      </c>
      <c r="B745" t="s">
        <v>24</v>
      </c>
      <c r="C745" s="38">
        <v>206</v>
      </c>
      <c r="D745" s="7">
        <v>71734</v>
      </c>
      <c r="E745" s="38">
        <v>1479</v>
      </c>
      <c r="F745" s="39">
        <v>4.8900000000000002E-3</v>
      </c>
      <c r="G745" t="s">
        <v>3</v>
      </c>
      <c r="H745" s="23" t="s">
        <v>90</v>
      </c>
      <c r="I745" s="23">
        <v>22</v>
      </c>
      <c r="J745" s="23">
        <v>12</v>
      </c>
      <c r="K745" s="8">
        <v>0.68</v>
      </c>
      <c r="L745" s="8">
        <v>0.31999999999999995</v>
      </c>
      <c r="M745">
        <f t="shared" si="11"/>
        <v>6.8000000000000005E-3</v>
      </c>
    </row>
    <row r="746" spans="1:13" x14ac:dyDescent="0.3">
      <c r="A746" s="23" t="s">
        <v>114</v>
      </c>
      <c r="B746" t="s">
        <v>19</v>
      </c>
      <c r="C746" s="38">
        <v>2199</v>
      </c>
      <c r="D746" s="7">
        <v>8381</v>
      </c>
      <c r="E746" s="38">
        <v>4286</v>
      </c>
      <c r="F746" s="39">
        <v>5.1229999999999999E-3</v>
      </c>
      <c r="G746" t="s">
        <v>0</v>
      </c>
      <c r="H746" s="23" t="s">
        <v>89</v>
      </c>
      <c r="I746" s="23">
        <v>7</v>
      </c>
      <c r="J746" s="23">
        <v>14</v>
      </c>
      <c r="K746" s="8">
        <v>0.24</v>
      </c>
      <c r="L746" s="8">
        <v>0.76</v>
      </c>
      <c r="M746">
        <f t="shared" si="11"/>
        <v>2.3999999999999998E-3</v>
      </c>
    </row>
    <row r="747" spans="1:13" x14ac:dyDescent="0.3">
      <c r="A747" s="23" t="s">
        <v>114</v>
      </c>
      <c r="B747" t="s">
        <v>19</v>
      </c>
      <c r="C747" s="38">
        <v>3164</v>
      </c>
      <c r="D747" s="7">
        <v>14185</v>
      </c>
      <c r="E747" s="38">
        <v>3952</v>
      </c>
      <c r="F747" s="39">
        <v>4.7730000000000003E-3</v>
      </c>
      <c r="G747" t="s">
        <v>1</v>
      </c>
      <c r="H747" s="23" t="s">
        <v>89</v>
      </c>
      <c r="I747" s="23">
        <v>23</v>
      </c>
      <c r="J747" s="23">
        <v>18</v>
      </c>
      <c r="K747" s="8">
        <v>0.53</v>
      </c>
      <c r="L747" s="8">
        <v>0.47</v>
      </c>
      <c r="M747">
        <f t="shared" si="11"/>
        <v>5.3E-3</v>
      </c>
    </row>
    <row r="748" spans="1:13" x14ac:dyDescent="0.3">
      <c r="A748" s="23" t="s">
        <v>114</v>
      </c>
      <c r="B748" t="s">
        <v>19</v>
      </c>
      <c r="C748" s="38">
        <v>452</v>
      </c>
      <c r="D748" s="7">
        <v>3730</v>
      </c>
      <c r="E748" s="38">
        <v>3281</v>
      </c>
      <c r="F748" s="39">
        <v>3.9129999999999998E-3</v>
      </c>
      <c r="G748" t="s">
        <v>2</v>
      </c>
      <c r="H748" s="23" t="s">
        <v>89</v>
      </c>
      <c r="I748" s="23">
        <v>5</v>
      </c>
      <c r="J748" s="23">
        <v>35</v>
      </c>
      <c r="K748" s="8">
        <v>0.47</v>
      </c>
      <c r="L748" s="8">
        <v>0.53</v>
      </c>
      <c r="M748">
        <f t="shared" si="11"/>
        <v>4.6999999999999993E-3</v>
      </c>
    </row>
    <row r="749" spans="1:13" x14ac:dyDescent="0.3">
      <c r="A749" s="23" t="s">
        <v>114</v>
      </c>
      <c r="B749" t="s">
        <v>19</v>
      </c>
      <c r="C749" s="38">
        <v>1417</v>
      </c>
      <c r="D749" s="7">
        <v>9535</v>
      </c>
      <c r="E749" s="38">
        <v>2947</v>
      </c>
      <c r="F749" s="39">
        <v>5.1970000000000002E-3</v>
      </c>
      <c r="G749" t="s">
        <v>3</v>
      </c>
      <c r="H749" s="23" t="s">
        <v>89</v>
      </c>
      <c r="I749" s="23">
        <v>12</v>
      </c>
      <c r="J749" s="23">
        <v>42</v>
      </c>
      <c r="K749" s="8">
        <v>0.55000000000000004</v>
      </c>
      <c r="L749" s="8">
        <v>0.44999999999999996</v>
      </c>
      <c r="M749">
        <f t="shared" si="11"/>
        <v>5.5000000000000005E-3</v>
      </c>
    </row>
    <row r="750" spans="1:13" x14ac:dyDescent="0.3">
      <c r="A750" s="23" t="s">
        <v>114</v>
      </c>
      <c r="B750" t="s">
        <v>20</v>
      </c>
      <c r="C750" s="38">
        <v>3190</v>
      </c>
      <c r="D750" s="7">
        <v>33171</v>
      </c>
      <c r="E750" s="38">
        <v>7520</v>
      </c>
      <c r="F750" s="39">
        <v>2.3839999999999998E-3</v>
      </c>
      <c r="G750" t="s">
        <v>0</v>
      </c>
      <c r="H750" s="23" t="s">
        <v>89</v>
      </c>
      <c r="I750" s="23">
        <v>4</v>
      </c>
      <c r="J750" s="23">
        <v>51</v>
      </c>
      <c r="K750" s="8">
        <v>0.25</v>
      </c>
      <c r="L750" s="8">
        <v>0.75</v>
      </c>
      <c r="M750">
        <f t="shared" si="11"/>
        <v>2.5000000000000001E-3</v>
      </c>
    </row>
    <row r="751" spans="1:13" x14ac:dyDescent="0.3">
      <c r="A751" s="23" t="s">
        <v>114</v>
      </c>
      <c r="B751" t="s">
        <v>20</v>
      </c>
      <c r="C751" s="38">
        <v>4514</v>
      </c>
      <c r="D751" s="7">
        <v>79087</v>
      </c>
      <c r="E751" s="38">
        <v>5494</v>
      </c>
      <c r="F751" s="39">
        <v>4.4039999999999999E-3</v>
      </c>
      <c r="G751" t="s">
        <v>1</v>
      </c>
      <c r="H751" s="23" t="s">
        <v>89</v>
      </c>
      <c r="I751" s="23">
        <v>21</v>
      </c>
      <c r="J751" s="23">
        <v>30</v>
      </c>
      <c r="K751" s="8">
        <v>0.81</v>
      </c>
      <c r="L751" s="8">
        <v>0.18999999999999995</v>
      </c>
      <c r="M751">
        <f t="shared" si="11"/>
        <v>8.1000000000000013E-3</v>
      </c>
    </row>
    <row r="752" spans="1:13" x14ac:dyDescent="0.3">
      <c r="A752" s="23" t="s">
        <v>114</v>
      </c>
      <c r="B752" t="s">
        <v>20</v>
      </c>
      <c r="C752" s="38">
        <v>796</v>
      </c>
      <c r="D752" s="7">
        <v>121036</v>
      </c>
      <c r="E752" s="38">
        <v>5128</v>
      </c>
      <c r="F752" s="39">
        <v>3.4559999999999999E-3</v>
      </c>
      <c r="G752" t="s">
        <v>2</v>
      </c>
      <c r="H752" s="23" t="s">
        <v>89</v>
      </c>
      <c r="I752" s="23">
        <v>2</v>
      </c>
      <c r="J752" s="23">
        <v>21</v>
      </c>
      <c r="K752" s="8">
        <v>0.64</v>
      </c>
      <c r="L752" s="8">
        <v>0.36</v>
      </c>
      <c r="M752">
        <f t="shared" si="11"/>
        <v>6.4000000000000003E-3</v>
      </c>
    </row>
    <row r="753" spans="1:13" x14ac:dyDescent="0.3">
      <c r="A753" s="23" t="s">
        <v>114</v>
      </c>
      <c r="B753" t="s">
        <v>20</v>
      </c>
      <c r="C753" s="38">
        <v>2120</v>
      </c>
      <c r="D753" s="7">
        <v>166952</v>
      </c>
      <c r="E753" s="38">
        <v>3102</v>
      </c>
      <c r="F753" s="39">
        <v>3.3409999999999998E-3</v>
      </c>
      <c r="G753" t="s">
        <v>3</v>
      </c>
      <c r="H753" s="23" t="s">
        <v>89</v>
      </c>
      <c r="I753" s="23">
        <v>4</v>
      </c>
      <c r="J753" s="23">
        <v>5</v>
      </c>
      <c r="K753" s="8">
        <v>0.53</v>
      </c>
      <c r="L753" s="8">
        <v>0.47</v>
      </c>
      <c r="M753">
        <f t="shared" si="11"/>
        <v>5.3E-3</v>
      </c>
    </row>
    <row r="754" spans="1:13" x14ac:dyDescent="0.3">
      <c r="A754" s="23" t="s">
        <v>114</v>
      </c>
      <c r="B754" t="s">
        <v>22</v>
      </c>
      <c r="C754" s="38">
        <v>528</v>
      </c>
      <c r="D754" s="7">
        <v>20425</v>
      </c>
      <c r="E754" s="38">
        <v>884</v>
      </c>
      <c r="F754" s="39">
        <v>3.9560000000000003E-3</v>
      </c>
      <c r="G754" t="s">
        <v>0</v>
      </c>
      <c r="H754" s="23" t="s">
        <v>89</v>
      </c>
      <c r="I754" s="23">
        <v>14</v>
      </c>
      <c r="J754" s="23">
        <v>67</v>
      </c>
      <c r="K754" s="8">
        <v>0.22</v>
      </c>
      <c r="L754" s="8">
        <v>0.78</v>
      </c>
      <c r="M754">
        <f t="shared" si="11"/>
        <v>2.2000000000000001E-3</v>
      </c>
    </row>
    <row r="755" spans="1:13" x14ac:dyDescent="0.3">
      <c r="A755" s="23" t="s">
        <v>114</v>
      </c>
      <c r="B755" t="s">
        <v>22</v>
      </c>
      <c r="C755" s="38">
        <v>323</v>
      </c>
      <c r="D755" s="7">
        <v>15564</v>
      </c>
      <c r="E755" s="38">
        <v>1591</v>
      </c>
      <c r="F755" s="39">
        <v>2.3019999999999998E-3</v>
      </c>
      <c r="G755" t="s">
        <v>1</v>
      </c>
      <c r="H755" s="23" t="s">
        <v>89</v>
      </c>
      <c r="I755" s="23">
        <v>16</v>
      </c>
      <c r="J755" s="23">
        <v>48</v>
      </c>
      <c r="K755" s="8">
        <v>0.86</v>
      </c>
      <c r="L755" s="8">
        <v>0.14000000000000001</v>
      </c>
      <c r="M755">
        <f t="shared" si="11"/>
        <v>8.6E-3</v>
      </c>
    </row>
    <row r="756" spans="1:13" x14ac:dyDescent="0.3">
      <c r="A756" s="23" t="s">
        <v>114</v>
      </c>
      <c r="B756" t="s">
        <v>22</v>
      </c>
      <c r="C756" s="38">
        <v>517</v>
      </c>
      <c r="D756" s="7">
        <v>14113</v>
      </c>
      <c r="E756" s="38">
        <v>91</v>
      </c>
      <c r="F756" s="39">
        <v>5.829E-3</v>
      </c>
      <c r="G756" t="s">
        <v>2</v>
      </c>
      <c r="H756" s="23" t="s">
        <v>89</v>
      </c>
      <c r="I756" s="23">
        <v>17</v>
      </c>
      <c r="J756" s="23">
        <v>8</v>
      </c>
      <c r="K756" s="8">
        <v>0.75</v>
      </c>
      <c r="L756" s="8">
        <v>0.25</v>
      </c>
      <c r="M756">
        <f t="shared" si="11"/>
        <v>7.4999999999999997E-3</v>
      </c>
    </row>
    <row r="757" spans="1:13" x14ac:dyDescent="0.3">
      <c r="A757" s="23" t="s">
        <v>114</v>
      </c>
      <c r="B757" t="s">
        <v>22</v>
      </c>
      <c r="C757" s="38">
        <v>312</v>
      </c>
      <c r="D757" s="7">
        <v>9252</v>
      </c>
      <c r="E757" s="38">
        <v>798</v>
      </c>
      <c r="F757" s="39">
        <v>5.0179999999999999E-3</v>
      </c>
      <c r="G757" t="s">
        <v>3</v>
      </c>
      <c r="H757" s="23" t="s">
        <v>89</v>
      </c>
      <c r="I757" s="23">
        <v>15</v>
      </c>
      <c r="J757" s="23">
        <v>7</v>
      </c>
      <c r="K757" s="8">
        <v>0.53</v>
      </c>
      <c r="L757" s="8">
        <v>0.47</v>
      </c>
      <c r="M757">
        <f t="shared" si="11"/>
        <v>5.3E-3</v>
      </c>
    </row>
    <row r="758" spans="1:13" x14ac:dyDescent="0.3">
      <c r="A758" s="23" t="s">
        <v>114</v>
      </c>
      <c r="B758" t="s">
        <v>21</v>
      </c>
      <c r="C758" s="38">
        <v>2915</v>
      </c>
      <c r="D758" s="7">
        <v>96024</v>
      </c>
      <c r="E758" s="38">
        <v>7454</v>
      </c>
      <c r="F758" s="39">
        <v>3.2820000000000002E-3</v>
      </c>
      <c r="G758" t="s">
        <v>0</v>
      </c>
      <c r="H758" s="23" t="s">
        <v>89</v>
      </c>
      <c r="I758" s="23">
        <v>20</v>
      </c>
      <c r="J758" s="23">
        <v>54</v>
      </c>
      <c r="K758" s="8">
        <v>0.27</v>
      </c>
      <c r="L758" s="8">
        <v>0.73</v>
      </c>
      <c r="M758">
        <f t="shared" si="11"/>
        <v>2.7000000000000001E-3</v>
      </c>
    </row>
    <row r="759" spans="1:13" x14ac:dyDescent="0.3">
      <c r="A759" s="23" t="s">
        <v>114</v>
      </c>
      <c r="B759" t="s">
        <v>21</v>
      </c>
      <c r="C759" s="38">
        <v>4767</v>
      </c>
      <c r="D759" s="7">
        <v>164860</v>
      </c>
      <c r="E759" s="38">
        <v>3646</v>
      </c>
      <c r="F759" s="39">
        <v>1.549E-3</v>
      </c>
      <c r="G759" t="s">
        <v>1</v>
      </c>
      <c r="H759" s="23" t="s">
        <v>89</v>
      </c>
      <c r="I759" s="23">
        <v>14</v>
      </c>
      <c r="J759" s="23">
        <v>54</v>
      </c>
      <c r="K759" s="8">
        <v>0.67</v>
      </c>
      <c r="L759" s="8">
        <v>0.32999999999999996</v>
      </c>
      <c r="M759">
        <f t="shared" si="11"/>
        <v>6.7000000000000002E-3</v>
      </c>
    </row>
    <row r="760" spans="1:13" x14ac:dyDescent="0.3">
      <c r="A760" s="23" t="s">
        <v>114</v>
      </c>
      <c r="B760" t="s">
        <v>21</v>
      </c>
      <c r="C760" s="38">
        <v>1656</v>
      </c>
      <c r="D760" s="7">
        <v>105390</v>
      </c>
      <c r="E760" s="38">
        <v>9201</v>
      </c>
      <c r="F760" s="39">
        <v>7.2800000000000002E-4</v>
      </c>
      <c r="G760" t="s">
        <v>2</v>
      </c>
      <c r="H760" s="23" t="s">
        <v>89</v>
      </c>
      <c r="I760" s="23">
        <v>6</v>
      </c>
      <c r="J760" s="23">
        <v>37</v>
      </c>
      <c r="K760" s="8">
        <v>0.62</v>
      </c>
      <c r="L760" s="8">
        <v>0.38</v>
      </c>
      <c r="M760">
        <f t="shared" si="11"/>
        <v>6.1999999999999998E-3</v>
      </c>
    </row>
    <row r="761" spans="1:13" x14ac:dyDescent="0.3">
      <c r="A761" s="23" t="s">
        <v>114</v>
      </c>
      <c r="B761" t="s">
        <v>21</v>
      </c>
      <c r="C761" s="38">
        <v>3508</v>
      </c>
      <c r="D761" s="7">
        <v>174226</v>
      </c>
      <c r="E761" s="38">
        <v>5394</v>
      </c>
      <c r="F761" s="39">
        <v>4.2319999999999997E-3</v>
      </c>
      <c r="G761" t="s">
        <v>3</v>
      </c>
      <c r="H761" s="23" t="s">
        <v>89</v>
      </c>
      <c r="I761" s="23">
        <v>4</v>
      </c>
      <c r="J761" s="23">
        <v>73</v>
      </c>
      <c r="K761" s="8">
        <v>0.24</v>
      </c>
      <c r="L761" s="8">
        <v>0.76</v>
      </c>
      <c r="M761">
        <f t="shared" si="11"/>
        <v>2.3999999999999998E-3</v>
      </c>
    </row>
    <row r="762" spans="1:13" x14ac:dyDescent="0.3">
      <c r="A762" s="23" t="s">
        <v>114</v>
      </c>
      <c r="B762" t="s">
        <v>23</v>
      </c>
      <c r="C762" s="38">
        <v>579</v>
      </c>
      <c r="D762" s="7">
        <v>2516</v>
      </c>
      <c r="E762" s="38">
        <v>1693</v>
      </c>
      <c r="F762" s="39">
        <v>2.3830000000000001E-3</v>
      </c>
      <c r="G762" t="s">
        <v>0</v>
      </c>
      <c r="H762" s="23" t="s">
        <v>89</v>
      </c>
      <c r="I762" s="23">
        <v>4</v>
      </c>
      <c r="J762" s="23">
        <v>57</v>
      </c>
      <c r="K762" s="8">
        <v>0.16</v>
      </c>
      <c r="L762" s="8">
        <v>0.84</v>
      </c>
      <c r="M762">
        <f t="shared" si="11"/>
        <v>1.6000000000000001E-3</v>
      </c>
    </row>
    <row r="763" spans="1:13" x14ac:dyDescent="0.3">
      <c r="A763" s="23" t="s">
        <v>114</v>
      </c>
      <c r="B763" t="s">
        <v>23</v>
      </c>
      <c r="C763" s="38">
        <v>224</v>
      </c>
      <c r="D763" s="7">
        <v>15016</v>
      </c>
      <c r="E763" s="38">
        <v>2457</v>
      </c>
      <c r="F763" s="39">
        <v>3.8570000000000002E-3</v>
      </c>
      <c r="G763" t="s">
        <v>1</v>
      </c>
      <c r="H763" s="23" t="s">
        <v>89</v>
      </c>
      <c r="I763" s="23">
        <v>22</v>
      </c>
      <c r="J763" s="23">
        <v>58</v>
      </c>
      <c r="K763" s="8">
        <v>0.6</v>
      </c>
      <c r="L763" s="8">
        <v>0.4</v>
      </c>
      <c r="M763">
        <f t="shared" si="11"/>
        <v>6.0000000000000001E-3</v>
      </c>
    </row>
    <row r="764" spans="1:13" x14ac:dyDescent="0.3">
      <c r="A764" s="23" t="s">
        <v>114</v>
      </c>
      <c r="B764" t="s">
        <v>23</v>
      </c>
      <c r="C764" s="38">
        <v>2070</v>
      </c>
      <c r="D764" s="7">
        <v>12994</v>
      </c>
      <c r="E764" s="38">
        <v>2133</v>
      </c>
      <c r="F764" s="39">
        <v>4.705E-3</v>
      </c>
      <c r="G764" t="s">
        <v>2</v>
      </c>
      <c r="H764" s="23" t="s">
        <v>89</v>
      </c>
      <c r="I764" s="23">
        <v>18</v>
      </c>
      <c r="J764" s="23">
        <v>51</v>
      </c>
      <c r="K764" s="8">
        <v>0.72</v>
      </c>
      <c r="L764" s="8">
        <v>0.28000000000000003</v>
      </c>
      <c r="M764">
        <f t="shared" si="11"/>
        <v>7.1999999999999998E-3</v>
      </c>
    </row>
    <row r="765" spans="1:13" x14ac:dyDescent="0.3">
      <c r="A765" s="23" t="s">
        <v>114</v>
      </c>
      <c r="B765" t="s">
        <v>23</v>
      </c>
      <c r="C765" s="38">
        <v>1715</v>
      </c>
      <c r="D765" s="7">
        <v>25494</v>
      </c>
      <c r="E765" s="38">
        <v>2896</v>
      </c>
      <c r="F765" s="39">
        <v>3.4810000000000002E-3</v>
      </c>
      <c r="G765" t="s">
        <v>3</v>
      </c>
      <c r="H765" s="23" t="s">
        <v>89</v>
      </c>
      <c r="I765" s="23">
        <v>7</v>
      </c>
      <c r="J765" s="23">
        <v>64</v>
      </c>
      <c r="K765" s="8">
        <v>0.71</v>
      </c>
      <c r="L765" s="8">
        <v>0.29000000000000004</v>
      </c>
      <c r="M765">
        <f t="shared" si="11"/>
        <v>7.0999999999999995E-3</v>
      </c>
    </row>
    <row r="766" spans="1:13" x14ac:dyDescent="0.3">
      <c r="A766" s="23" t="s">
        <v>114</v>
      </c>
      <c r="B766" t="s">
        <v>24</v>
      </c>
      <c r="C766" s="38">
        <v>293</v>
      </c>
      <c r="D766" s="7">
        <v>25184</v>
      </c>
      <c r="E766" s="38">
        <v>874</v>
      </c>
      <c r="F766" s="39">
        <v>3.839E-3</v>
      </c>
      <c r="G766" t="s">
        <v>0</v>
      </c>
      <c r="H766" s="23" t="s">
        <v>89</v>
      </c>
      <c r="I766" s="23">
        <v>21</v>
      </c>
      <c r="J766" s="23">
        <v>60</v>
      </c>
      <c r="K766" s="8">
        <v>0.52</v>
      </c>
      <c r="L766" s="8">
        <v>0.48</v>
      </c>
      <c r="M766">
        <f t="shared" si="11"/>
        <v>5.1999999999999998E-3</v>
      </c>
    </row>
    <row r="767" spans="1:13" x14ac:dyDescent="0.3">
      <c r="A767" s="23" t="s">
        <v>114</v>
      </c>
      <c r="B767" t="s">
        <v>24</v>
      </c>
      <c r="C767" s="38">
        <v>128</v>
      </c>
      <c r="D767" s="7">
        <v>41647</v>
      </c>
      <c r="E767" s="38">
        <v>704</v>
      </c>
      <c r="F767" s="39">
        <v>4.5589999999999997E-3</v>
      </c>
      <c r="G767" t="s">
        <v>1</v>
      </c>
      <c r="H767" s="23" t="s">
        <v>89</v>
      </c>
      <c r="I767" s="23">
        <v>22</v>
      </c>
      <c r="J767" s="23">
        <v>61</v>
      </c>
      <c r="K767" s="8">
        <v>0.71</v>
      </c>
      <c r="L767" s="8">
        <v>0.29000000000000004</v>
      </c>
      <c r="M767">
        <f t="shared" si="11"/>
        <v>7.0999999999999995E-3</v>
      </c>
    </row>
    <row r="768" spans="1:13" x14ac:dyDescent="0.3">
      <c r="A768" s="23" t="s">
        <v>114</v>
      </c>
      <c r="B768" t="s">
        <v>24</v>
      </c>
      <c r="C768" s="38">
        <v>494</v>
      </c>
      <c r="D768" s="7">
        <v>72915</v>
      </c>
      <c r="E768" s="38">
        <v>543</v>
      </c>
      <c r="F768" s="39">
        <v>3.614E-3</v>
      </c>
      <c r="G768" t="s">
        <v>2</v>
      </c>
      <c r="H768" s="23" t="s">
        <v>89</v>
      </c>
      <c r="I768" s="23">
        <v>2</v>
      </c>
      <c r="J768" s="23">
        <v>25</v>
      </c>
      <c r="K768" s="8">
        <v>0.75</v>
      </c>
      <c r="L768" s="8">
        <v>0.25</v>
      </c>
      <c r="M768">
        <f t="shared" si="11"/>
        <v>7.4999999999999997E-3</v>
      </c>
    </row>
    <row r="769" spans="1:13" x14ac:dyDescent="0.3">
      <c r="A769" s="23" t="s">
        <v>114</v>
      </c>
      <c r="B769" t="s">
        <v>24</v>
      </c>
      <c r="C769" s="38">
        <v>329</v>
      </c>
      <c r="D769" s="7">
        <v>89378</v>
      </c>
      <c r="E769" s="38">
        <v>372</v>
      </c>
      <c r="F769" s="39">
        <v>1.4339999999999999E-3</v>
      </c>
      <c r="G769" t="s">
        <v>3</v>
      </c>
      <c r="H769" s="23" t="s">
        <v>89</v>
      </c>
      <c r="I769" s="23">
        <v>10</v>
      </c>
      <c r="J769" s="23">
        <v>52</v>
      </c>
      <c r="K769" s="8">
        <v>0.11</v>
      </c>
      <c r="L769" s="8">
        <v>0.89</v>
      </c>
      <c r="M769">
        <f t="shared" si="11"/>
        <v>1.1000000000000001E-3</v>
      </c>
    </row>
    <row r="770" spans="1:13" x14ac:dyDescent="0.3">
      <c r="A770" s="23" t="s">
        <v>114</v>
      </c>
      <c r="B770" t="s">
        <v>19</v>
      </c>
      <c r="C770" s="38">
        <v>453</v>
      </c>
      <c r="D770" s="7">
        <v>6893</v>
      </c>
      <c r="E770" s="38">
        <v>2797</v>
      </c>
      <c r="F770" s="39">
        <v>3.5890000000000002E-3</v>
      </c>
      <c r="G770" t="s">
        <v>0</v>
      </c>
      <c r="H770" s="23" t="s">
        <v>91</v>
      </c>
      <c r="I770" s="23">
        <v>11</v>
      </c>
      <c r="J770" s="23">
        <v>73</v>
      </c>
      <c r="K770" s="8">
        <v>0.5</v>
      </c>
      <c r="L770" s="8">
        <v>0.5</v>
      </c>
      <c r="M770">
        <f t="shared" si="11"/>
        <v>5.0000000000000001E-3</v>
      </c>
    </row>
    <row r="771" spans="1:13" x14ac:dyDescent="0.3">
      <c r="A771" s="23" t="s">
        <v>114</v>
      </c>
      <c r="B771" t="s">
        <v>19</v>
      </c>
      <c r="C771" s="38">
        <v>1492</v>
      </c>
      <c r="D771" s="7">
        <v>4988</v>
      </c>
      <c r="E771" s="38">
        <v>2420</v>
      </c>
      <c r="F771" s="39">
        <v>2.0590000000000001E-3</v>
      </c>
      <c r="G771" t="s">
        <v>1</v>
      </c>
      <c r="H771" s="23" t="s">
        <v>91</v>
      </c>
      <c r="I771" s="23">
        <v>9</v>
      </c>
      <c r="J771" s="23">
        <v>58</v>
      </c>
      <c r="K771" s="8">
        <v>0.18</v>
      </c>
      <c r="L771" s="8">
        <v>0.82000000000000006</v>
      </c>
      <c r="M771">
        <f t="shared" ref="M771:M834" si="12">K771/100</f>
        <v>1.8E-3</v>
      </c>
    </row>
    <row r="772" spans="1:13" x14ac:dyDescent="0.3">
      <c r="A772" s="23" t="s">
        <v>114</v>
      </c>
      <c r="B772" t="s">
        <v>19</v>
      </c>
      <c r="C772" s="38">
        <v>1050</v>
      </c>
      <c r="D772" s="7">
        <v>9017</v>
      </c>
      <c r="E772" s="38">
        <v>2666</v>
      </c>
      <c r="F772" s="39">
        <v>4.267E-3</v>
      </c>
      <c r="G772" t="s">
        <v>2</v>
      </c>
      <c r="H772" s="23" t="s">
        <v>91</v>
      </c>
      <c r="I772" s="23">
        <v>20</v>
      </c>
      <c r="J772" s="23">
        <v>22</v>
      </c>
      <c r="K772" s="8">
        <v>0.28000000000000003</v>
      </c>
      <c r="L772" s="8">
        <v>0.72</v>
      </c>
      <c r="M772">
        <f t="shared" si="12"/>
        <v>2.8000000000000004E-3</v>
      </c>
    </row>
    <row r="773" spans="1:13" x14ac:dyDescent="0.3">
      <c r="A773" s="23" t="s">
        <v>114</v>
      </c>
      <c r="B773" t="s">
        <v>19</v>
      </c>
      <c r="C773" s="38">
        <v>2089</v>
      </c>
      <c r="D773" s="7">
        <v>7112</v>
      </c>
      <c r="E773" s="38">
        <v>2288</v>
      </c>
      <c r="F773" s="39">
        <v>5.5449999999999996E-3</v>
      </c>
      <c r="G773" t="s">
        <v>3</v>
      </c>
      <c r="H773" s="23" t="s">
        <v>91</v>
      </c>
      <c r="I773" s="23">
        <v>22</v>
      </c>
      <c r="J773" s="23">
        <v>57</v>
      </c>
      <c r="K773" s="8">
        <v>0.86</v>
      </c>
      <c r="L773" s="8">
        <v>0.14000000000000001</v>
      </c>
      <c r="M773">
        <f t="shared" si="12"/>
        <v>8.6E-3</v>
      </c>
    </row>
    <row r="774" spans="1:13" x14ac:dyDescent="0.3">
      <c r="A774" s="23" t="s">
        <v>114</v>
      </c>
      <c r="B774" t="s">
        <v>20</v>
      </c>
      <c r="C774" s="38">
        <v>1693</v>
      </c>
      <c r="D774" s="7">
        <v>100393</v>
      </c>
      <c r="E774" s="38">
        <v>3620</v>
      </c>
      <c r="F774" s="39">
        <v>1.186E-3</v>
      </c>
      <c r="G774" t="s">
        <v>0</v>
      </c>
      <c r="H774" s="23" t="s">
        <v>91</v>
      </c>
      <c r="I774" s="23">
        <v>22</v>
      </c>
      <c r="J774" s="23">
        <v>61</v>
      </c>
      <c r="K774" s="8">
        <v>0.65</v>
      </c>
      <c r="L774" s="8">
        <v>0.35</v>
      </c>
      <c r="M774">
        <f t="shared" si="12"/>
        <v>6.5000000000000006E-3</v>
      </c>
    </row>
    <row r="775" spans="1:13" x14ac:dyDescent="0.3">
      <c r="A775" s="23" t="s">
        <v>114</v>
      </c>
      <c r="B775" t="s">
        <v>20</v>
      </c>
      <c r="C775" s="38">
        <v>2818</v>
      </c>
      <c r="D775" s="7">
        <v>113174</v>
      </c>
      <c r="E775" s="38">
        <v>1682</v>
      </c>
      <c r="F775" s="39">
        <v>2.745E-3</v>
      </c>
      <c r="G775" t="s">
        <v>1</v>
      </c>
      <c r="H775" s="23" t="s">
        <v>91</v>
      </c>
      <c r="I775" s="23">
        <v>20</v>
      </c>
      <c r="J775" s="23">
        <v>36</v>
      </c>
      <c r="K775" s="8">
        <v>0.6</v>
      </c>
      <c r="L775" s="8">
        <v>0.4</v>
      </c>
      <c r="M775">
        <f t="shared" si="12"/>
        <v>6.0000000000000001E-3</v>
      </c>
    </row>
    <row r="776" spans="1:13" x14ac:dyDescent="0.3">
      <c r="A776" s="23" t="s">
        <v>114</v>
      </c>
      <c r="B776" t="s">
        <v>20</v>
      </c>
      <c r="C776" s="38">
        <v>1333</v>
      </c>
      <c r="D776" s="7">
        <v>43267</v>
      </c>
      <c r="E776" s="38">
        <v>6622</v>
      </c>
      <c r="F776" s="39">
        <v>5.3480000000000003E-3</v>
      </c>
      <c r="G776" t="s">
        <v>2</v>
      </c>
      <c r="H776" s="23" t="s">
        <v>91</v>
      </c>
      <c r="I776" s="23">
        <v>8</v>
      </c>
      <c r="J776" s="23">
        <v>53</v>
      </c>
      <c r="K776" s="8">
        <v>0.3</v>
      </c>
      <c r="L776" s="8">
        <v>0.7</v>
      </c>
      <c r="M776">
        <f t="shared" si="12"/>
        <v>3.0000000000000001E-3</v>
      </c>
    </row>
    <row r="777" spans="1:13" x14ac:dyDescent="0.3">
      <c r="A777" s="23" t="s">
        <v>114</v>
      </c>
      <c r="B777" t="s">
        <v>20</v>
      </c>
      <c r="C777" s="38">
        <v>2458</v>
      </c>
      <c r="D777" s="7">
        <v>56048</v>
      </c>
      <c r="E777" s="38">
        <v>4684</v>
      </c>
      <c r="F777" s="39">
        <v>3.581E-3</v>
      </c>
      <c r="G777" t="s">
        <v>3</v>
      </c>
      <c r="H777" s="23" t="s">
        <v>91</v>
      </c>
      <c r="I777" s="23">
        <v>9</v>
      </c>
      <c r="J777" s="23">
        <v>60</v>
      </c>
      <c r="K777" s="8">
        <v>0.74</v>
      </c>
      <c r="L777" s="8">
        <v>0.26</v>
      </c>
      <c r="M777">
        <f t="shared" si="12"/>
        <v>7.4000000000000003E-3</v>
      </c>
    </row>
    <row r="778" spans="1:13" x14ac:dyDescent="0.3">
      <c r="A778" s="23" t="s">
        <v>114</v>
      </c>
      <c r="B778" t="s">
        <v>22</v>
      </c>
      <c r="C778" s="38">
        <v>165</v>
      </c>
      <c r="D778" s="7">
        <v>11693</v>
      </c>
      <c r="E778" s="38">
        <v>307</v>
      </c>
      <c r="F778" s="39">
        <v>2.1900000000000001E-3</v>
      </c>
      <c r="G778" t="s">
        <v>0</v>
      </c>
      <c r="H778" s="23" t="s">
        <v>91</v>
      </c>
      <c r="I778" s="23">
        <v>20</v>
      </c>
      <c r="J778" s="23">
        <v>12</v>
      </c>
      <c r="K778" s="8">
        <v>0.42</v>
      </c>
      <c r="L778" s="8">
        <v>0.58000000000000007</v>
      </c>
      <c r="M778">
        <f t="shared" si="12"/>
        <v>4.1999999999999997E-3</v>
      </c>
    </row>
    <row r="779" spans="1:13" x14ac:dyDescent="0.3">
      <c r="A779" s="23" t="s">
        <v>114</v>
      </c>
      <c r="B779" t="s">
        <v>22</v>
      </c>
      <c r="C779" s="38">
        <v>630</v>
      </c>
      <c r="D779" s="7">
        <v>281</v>
      </c>
      <c r="E779" s="38">
        <v>640</v>
      </c>
      <c r="F779" s="39">
        <v>5.8640000000000003E-3</v>
      </c>
      <c r="G779" t="s">
        <v>1</v>
      </c>
      <c r="H779" s="23" t="s">
        <v>91</v>
      </c>
      <c r="I779" s="23">
        <v>1</v>
      </c>
      <c r="J779" s="23">
        <v>72</v>
      </c>
      <c r="K779" s="8">
        <v>0.83</v>
      </c>
      <c r="L779" s="8">
        <v>0.17000000000000004</v>
      </c>
      <c r="M779">
        <f t="shared" si="12"/>
        <v>8.3000000000000001E-3</v>
      </c>
    </row>
    <row r="780" spans="1:13" x14ac:dyDescent="0.3">
      <c r="A780" s="23" t="s">
        <v>114</v>
      </c>
      <c r="B780" t="s">
        <v>22</v>
      </c>
      <c r="C780" s="38">
        <v>24</v>
      </c>
      <c r="D780" s="7">
        <v>22918</v>
      </c>
      <c r="E780" s="38">
        <v>669</v>
      </c>
      <c r="F780" s="39">
        <v>3.8890000000000001E-3</v>
      </c>
      <c r="G780" t="s">
        <v>2</v>
      </c>
      <c r="H780" s="23" t="s">
        <v>91</v>
      </c>
      <c r="I780" s="23">
        <v>19</v>
      </c>
      <c r="J780" s="23">
        <v>67</v>
      </c>
      <c r="K780" s="8">
        <v>0.72</v>
      </c>
      <c r="L780" s="8">
        <v>0.28000000000000003</v>
      </c>
      <c r="M780">
        <f t="shared" si="12"/>
        <v>7.1999999999999998E-3</v>
      </c>
    </row>
    <row r="781" spans="1:13" x14ac:dyDescent="0.3">
      <c r="A781" s="23" t="s">
        <v>114</v>
      </c>
      <c r="B781" t="s">
        <v>22</v>
      </c>
      <c r="C781" s="38">
        <v>489</v>
      </c>
      <c r="D781" s="7">
        <v>11506</v>
      </c>
      <c r="E781" s="38">
        <v>1002</v>
      </c>
      <c r="F781" s="39">
        <v>2.0309999999999998E-3</v>
      </c>
      <c r="G781" t="s">
        <v>3</v>
      </c>
      <c r="H781" s="23" t="s">
        <v>91</v>
      </c>
      <c r="I781" s="23">
        <v>15</v>
      </c>
      <c r="J781" s="23">
        <v>22</v>
      </c>
      <c r="K781" s="8">
        <v>0.89</v>
      </c>
      <c r="L781" s="8">
        <v>0.10999999999999999</v>
      </c>
      <c r="M781">
        <f t="shared" si="12"/>
        <v>8.8999999999999999E-3</v>
      </c>
    </row>
    <row r="782" spans="1:13" x14ac:dyDescent="0.3">
      <c r="A782" s="23" t="s">
        <v>114</v>
      </c>
      <c r="B782" t="s">
        <v>21</v>
      </c>
      <c r="C782" s="38">
        <v>1472</v>
      </c>
      <c r="D782" s="7">
        <v>135834</v>
      </c>
      <c r="E782" s="38">
        <v>997</v>
      </c>
      <c r="F782" s="39">
        <v>2.8660000000000001E-3</v>
      </c>
      <c r="G782" t="s">
        <v>0</v>
      </c>
      <c r="H782" s="23" t="s">
        <v>91</v>
      </c>
      <c r="I782" s="23">
        <v>1</v>
      </c>
      <c r="J782" s="23">
        <v>9</v>
      </c>
      <c r="K782" s="8">
        <v>0.4</v>
      </c>
      <c r="L782" s="8">
        <v>0.6</v>
      </c>
      <c r="M782">
        <f t="shared" si="12"/>
        <v>4.0000000000000001E-3</v>
      </c>
    </row>
    <row r="783" spans="1:13" x14ac:dyDescent="0.3">
      <c r="A783" s="23" t="s">
        <v>114</v>
      </c>
      <c r="B783" t="s">
        <v>21</v>
      </c>
      <c r="C783" s="38">
        <v>1771</v>
      </c>
      <c r="D783" s="7">
        <v>69595</v>
      </c>
      <c r="E783" s="38">
        <v>201</v>
      </c>
      <c r="F783" s="39">
        <v>2.679E-3</v>
      </c>
      <c r="G783" t="s">
        <v>1</v>
      </c>
      <c r="H783" s="23" t="s">
        <v>91</v>
      </c>
      <c r="I783" s="23">
        <v>4</v>
      </c>
      <c r="J783" s="23">
        <v>34</v>
      </c>
      <c r="K783" s="8">
        <v>0.66</v>
      </c>
      <c r="L783" s="8">
        <v>0.33999999999999997</v>
      </c>
      <c r="M783">
        <f t="shared" si="12"/>
        <v>6.6E-3</v>
      </c>
    </row>
    <row r="784" spans="1:13" x14ac:dyDescent="0.3">
      <c r="A784" s="23" t="s">
        <v>114</v>
      </c>
      <c r="B784" t="s">
        <v>21</v>
      </c>
      <c r="C784" s="38">
        <v>1105</v>
      </c>
      <c r="D784" s="7">
        <v>141667</v>
      </c>
      <c r="E784" s="38">
        <v>5551</v>
      </c>
      <c r="F784" s="39">
        <v>8.8199999999999997E-4</v>
      </c>
      <c r="G784" t="s">
        <v>2</v>
      </c>
      <c r="H784" s="23" t="s">
        <v>91</v>
      </c>
      <c r="I784" s="23">
        <v>2</v>
      </c>
      <c r="J784" s="23">
        <v>11</v>
      </c>
      <c r="K784" s="8">
        <v>0.18</v>
      </c>
      <c r="L784" s="8">
        <v>0.82000000000000006</v>
      </c>
      <c r="M784">
        <f t="shared" si="12"/>
        <v>1.8E-3</v>
      </c>
    </row>
    <row r="785" spans="1:13" x14ac:dyDescent="0.3">
      <c r="A785" s="23" t="s">
        <v>114</v>
      </c>
      <c r="B785" t="s">
        <v>21</v>
      </c>
      <c r="C785" s="38">
        <v>1403</v>
      </c>
      <c r="D785" s="7">
        <v>75428</v>
      </c>
      <c r="E785" s="38">
        <v>4756</v>
      </c>
      <c r="F785" s="39">
        <v>1.2290000000000001E-3</v>
      </c>
      <c r="G785" t="s">
        <v>3</v>
      </c>
      <c r="H785" s="23" t="s">
        <v>91</v>
      </c>
      <c r="I785" s="23">
        <v>23</v>
      </c>
      <c r="J785" s="23">
        <v>35</v>
      </c>
      <c r="K785" s="8">
        <v>0.7</v>
      </c>
      <c r="L785" s="8">
        <v>0.30000000000000004</v>
      </c>
      <c r="M785">
        <f t="shared" si="12"/>
        <v>6.9999999999999993E-3</v>
      </c>
    </row>
    <row r="786" spans="1:13" x14ac:dyDescent="0.3">
      <c r="A786" s="23" t="s">
        <v>114</v>
      </c>
      <c r="B786" t="s">
        <v>23</v>
      </c>
      <c r="C786" s="38">
        <v>799</v>
      </c>
      <c r="D786" s="7">
        <v>11692</v>
      </c>
      <c r="E786" s="38">
        <v>1971</v>
      </c>
      <c r="F786" s="39">
        <v>6.0289999999999996E-3</v>
      </c>
      <c r="G786" t="s">
        <v>0</v>
      </c>
      <c r="H786" s="23" t="s">
        <v>91</v>
      </c>
      <c r="I786" s="23">
        <v>20</v>
      </c>
      <c r="J786" s="23">
        <v>21</v>
      </c>
      <c r="K786" s="8">
        <v>0.51</v>
      </c>
      <c r="L786" s="8">
        <v>0.49</v>
      </c>
      <c r="M786">
        <f t="shared" si="12"/>
        <v>5.1000000000000004E-3</v>
      </c>
    </row>
    <row r="787" spans="1:13" x14ac:dyDescent="0.3">
      <c r="A787" s="23" t="s">
        <v>114</v>
      </c>
      <c r="B787" t="s">
        <v>23</v>
      </c>
      <c r="C787" s="38">
        <v>430</v>
      </c>
      <c r="D787" s="7">
        <v>7057</v>
      </c>
      <c r="E787" s="38">
        <v>1078</v>
      </c>
      <c r="F787" s="39">
        <v>4.8139999999999997E-3</v>
      </c>
      <c r="G787" t="s">
        <v>1</v>
      </c>
      <c r="H787" s="23" t="s">
        <v>91</v>
      </c>
      <c r="I787" s="23">
        <v>13</v>
      </c>
      <c r="J787" s="23">
        <v>49</v>
      </c>
      <c r="K787" s="8">
        <v>0.55000000000000004</v>
      </c>
      <c r="L787" s="8">
        <v>0.44999999999999996</v>
      </c>
      <c r="M787">
        <f t="shared" si="12"/>
        <v>5.5000000000000005E-3</v>
      </c>
    </row>
    <row r="788" spans="1:13" x14ac:dyDescent="0.3">
      <c r="A788" s="23" t="s">
        <v>114</v>
      </c>
      <c r="B788" t="s">
        <v>23</v>
      </c>
      <c r="C788" s="38">
        <v>1150</v>
      </c>
      <c r="D788" s="7">
        <v>14839</v>
      </c>
      <c r="E788" s="38">
        <v>2084</v>
      </c>
      <c r="F788" s="39">
        <v>3.0219999999999999E-3</v>
      </c>
      <c r="G788" t="s">
        <v>2</v>
      </c>
      <c r="H788" s="23" t="s">
        <v>91</v>
      </c>
      <c r="I788" s="23">
        <v>21</v>
      </c>
      <c r="J788" s="23">
        <v>19</v>
      </c>
      <c r="K788" s="8">
        <v>0.18</v>
      </c>
      <c r="L788" s="8">
        <v>0.82000000000000006</v>
      </c>
      <c r="M788">
        <f t="shared" si="12"/>
        <v>1.8E-3</v>
      </c>
    </row>
    <row r="789" spans="1:13" x14ac:dyDescent="0.3">
      <c r="A789" s="23" t="s">
        <v>114</v>
      </c>
      <c r="B789" t="s">
        <v>23</v>
      </c>
      <c r="C789" s="38">
        <v>782</v>
      </c>
      <c r="D789" s="7">
        <v>10204</v>
      </c>
      <c r="E789" s="38">
        <v>1191</v>
      </c>
      <c r="F789" s="39">
        <v>1.8010000000000001E-3</v>
      </c>
      <c r="G789" t="s">
        <v>3</v>
      </c>
      <c r="H789" s="23" t="s">
        <v>91</v>
      </c>
      <c r="I789" s="23">
        <v>5</v>
      </c>
      <c r="J789" s="23">
        <v>59</v>
      </c>
      <c r="K789" s="8">
        <v>0.44</v>
      </c>
      <c r="L789" s="8">
        <v>0.56000000000000005</v>
      </c>
      <c r="M789">
        <f t="shared" si="12"/>
        <v>4.4000000000000003E-3</v>
      </c>
    </row>
    <row r="790" spans="1:13" x14ac:dyDescent="0.3">
      <c r="A790" s="23" t="s">
        <v>114</v>
      </c>
      <c r="B790" t="s">
        <v>24</v>
      </c>
      <c r="C790" s="38">
        <v>218</v>
      </c>
      <c r="D790" s="7">
        <v>33295</v>
      </c>
      <c r="E790" s="38">
        <v>360</v>
      </c>
      <c r="F790" s="39">
        <v>2.0349999999999999E-3</v>
      </c>
      <c r="G790" t="s">
        <v>0</v>
      </c>
      <c r="H790" s="23" t="s">
        <v>91</v>
      </c>
      <c r="I790" s="23">
        <v>22</v>
      </c>
      <c r="J790" s="23">
        <v>29</v>
      </c>
      <c r="K790" s="8">
        <v>0.48</v>
      </c>
      <c r="L790" s="8">
        <v>0.52</v>
      </c>
      <c r="M790">
        <f t="shared" si="12"/>
        <v>4.7999999999999996E-3</v>
      </c>
    </row>
    <row r="791" spans="1:13" x14ac:dyDescent="0.3">
      <c r="A791" s="23" t="s">
        <v>114</v>
      </c>
      <c r="B791" t="s">
        <v>24</v>
      </c>
      <c r="C791" s="38">
        <v>329</v>
      </c>
      <c r="D791" s="7">
        <v>46938</v>
      </c>
      <c r="E791" s="38">
        <v>1152</v>
      </c>
      <c r="F791" s="39">
        <v>3.4489999999999998E-3</v>
      </c>
      <c r="G791" t="s">
        <v>1</v>
      </c>
      <c r="H791" s="23" t="s">
        <v>91</v>
      </c>
      <c r="I791" s="23">
        <v>2</v>
      </c>
      <c r="J791" s="23">
        <v>73</v>
      </c>
      <c r="K791" s="8">
        <v>0.42</v>
      </c>
      <c r="L791" s="8">
        <v>0.58000000000000007</v>
      </c>
      <c r="M791">
        <f t="shared" si="12"/>
        <v>4.1999999999999997E-3</v>
      </c>
    </row>
    <row r="792" spans="1:13" x14ac:dyDescent="0.3">
      <c r="A792" s="23" t="s">
        <v>114</v>
      </c>
      <c r="B792" t="s">
        <v>24</v>
      </c>
      <c r="C792" s="38">
        <v>403</v>
      </c>
      <c r="D792" s="7">
        <v>42618</v>
      </c>
      <c r="E792" s="38">
        <v>313</v>
      </c>
      <c r="F792" s="39">
        <v>4.1580000000000002E-3</v>
      </c>
      <c r="G792" t="s">
        <v>2</v>
      </c>
      <c r="H792" s="23" t="s">
        <v>91</v>
      </c>
      <c r="I792" s="23">
        <v>1</v>
      </c>
      <c r="J792" s="23">
        <v>16</v>
      </c>
      <c r="K792" s="8">
        <v>0.76</v>
      </c>
      <c r="L792" s="8">
        <v>0.24</v>
      </c>
      <c r="M792">
        <f t="shared" si="12"/>
        <v>7.6E-3</v>
      </c>
    </row>
    <row r="793" spans="1:13" x14ac:dyDescent="0.3">
      <c r="A793" s="23" t="s">
        <v>114</v>
      </c>
      <c r="B793" t="s">
        <v>24</v>
      </c>
      <c r="C793" s="38">
        <v>514</v>
      </c>
      <c r="D793" s="7">
        <v>56260</v>
      </c>
      <c r="E793" s="38">
        <v>1105</v>
      </c>
      <c r="F793" s="39">
        <v>1.5070000000000001E-3</v>
      </c>
      <c r="G793" t="s">
        <v>3</v>
      </c>
      <c r="H793" s="23" t="s">
        <v>91</v>
      </c>
      <c r="I793" s="23">
        <v>10</v>
      </c>
      <c r="J793" s="23">
        <v>28</v>
      </c>
      <c r="K793" s="8">
        <v>0.42</v>
      </c>
      <c r="L793" s="8">
        <v>0.58000000000000007</v>
      </c>
      <c r="M793">
        <f t="shared" si="12"/>
        <v>4.1999999999999997E-3</v>
      </c>
    </row>
    <row r="794" spans="1:13" x14ac:dyDescent="0.3">
      <c r="A794" s="23" t="s">
        <v>115</v>
      </c>
      <c r="B794" t="s">
        <v>19</v>
      </c>
      <c r="C794" s="38">
        <v>830</v>
      </c>
      <c r="D794" s="7">
        <v>23219</v>
      </c>
      <c r="E794" s="38">
        <v>2427</v>
      </c>
      <c r="F794" s="39">
        <v>6.0140000000000002E-3</v>
      </c>
      <c r="G794" t="s">
        <v>0</v>
      </c>
      <c r="H794" s="23" t="s">
        <v>90</v>
      </c>
      <c r="I794" s="23">
        <v>22</v>
      </c>
      <c r="J794" s="23">
        <v>73</v>
      </c>
      <c r="K794" s="8">
        <v>0.68</v>
      </c>
      <c r="L794" s="8">
        <v>0.31999999999999995</v>
      </c>
      <c r="M794">
        <f t="shared" si="12"/>
        <v>6.8000000000000005E-3</v>
      </c>
    </row>
    <row r="795" spans="1:13" x14ac:dyDescent="0.3">
      <c r="A795" s="23" t="s">
        <v>115</v>
      </c>
      <c r="B795" t="s">
        <v>19</v>
      </c>
      <c r="C795" s="38">
        <v>578</v>
      </c>
      <c r="D795" s="7">
        <v>23854</v>
      </c>
      <c r="E795" s="38">
        <v>3215</v>
      </c>
      <c r="F795" s="39">
        <v>5.8409999999999998E-3</v>
      </c>
      <c r="G795" t="s">
        <v>1</v>
      </c>
      <c r="H795" s="23" t="s">
        <v>90</v>
      </c>
      <c r="I795" s="23">
        <v>14</v>
      </c>
      <c r="J795" s="23">
        <v>17</v>
      </c>
      <c r="K795" s="8">
        <v>0.51</v>
      </c>
      <c r="L795" s="8">
        <v>0.49</v>
      </c>
      <c r="M795">
        <f t="shared" si="12"/>
        <v>5.1000000000000004E-3</v>
      </c>
    </row>
    <row r="796" spans="1:13" x14ac:dyDescent="0.3">
      <c r="A796" s="23" t="s">
        <v>115</v>
      </c>
      <c r="B796" t="s">
        <v>19</v>
      </c>
      <c r="C796" s="38">
        <v>1933</v>
      </c>
      <c r="D796" s="7">
        <v>30531</v>
      </c>
      <c r="E796" s="38">
        <v>1809</v>
      </c>
      <c r="F796" s="39">
        <v>2.1689999999999999E-3</v>
      </c>
      <c r="G796" t="s">
        <v>2</v>
      </c>
      <c r="H796" s="23" t="s">
        <v>90</v>
      </c>
      <c r="I796" s="23">
        <v>9</v>
      </c>
      <c r="J796" s="23">
        <v>10</v>
      </c>
      <c r="K796" s="8">
        <v>0.75</v>
      </c>
      <c r="L796" s="8">
        <v>0.25</v>
      </c>
      <c r="M796">
        <f t="shared" si="12"/>
        <v>7.4999999999999997E-3</v>
      </c>
    </row>
    <row r="797" spans="1:13" x14ac:dyDescent="0.3">
      <c r="A797" s="23" t="s">
        <v>115</v>
      </c>
      <c r="B797" t="s">
        <v>19</v>
      </c>
      <c r="C797" s="38">
        <v>1681</v>
      </c>
      <c r="D797" s="7">
        <v>31166</v>
      </c>
      <c r="E797" s="38">
        <v>2598</v>
      </c>
      <c r="F797" s="39">
        <v>2.0730000000000002E-3</v>
      </c>
      <c r="G797" t="s">
        <v>3</v>
      </c>
      <c r="H797" s="23" t="s">
        <v>90</v>
      </c>
      <c r="I797" s="23">
        <v>4</v>
      </c>
      <c r="J797" s="23">
        <v>25</v>
      </c>
      <c r="K797" s="8">
        <v>0.56999999999999995</v>
      </c>
      <c r="L797" s="8">
        <v>0.43000000000000005</v>
      </c>
      <c r="M797">
        <f t="shared" si="12"/>
        <v>5.6999999999999993E-3</v>
      </c>
    </row>
    <row r="798" spans="1:13" x14ac:dyDescent="0.3">
      <c r="A798" s="23" t="s">
        <v>115</v>
      </c>
      <c r="B798" t="s">
        <v>20</v>
      </c>
      <c r="C798" s="38">
        <v>2707</v>
      </c>
      <c r="D798" s="7">
        <v>67885</v>
      </c>
      <c r="E798" s="38">
        <v>2238</v>
      </c>
      <c r="F798" s="39">
        <v>2.1770000000000001E-3</v>
      </c>
      <c r="G798" t="s">
        <v>0</v>
      </c>
      <c r="H798" s="23" t="s">
        <v>90</v>
      </c>
      <c r="I798" s="23">
        <v>10</v>
      </c>
      <c r="J798" s="23">
        <v>49</v>
      </c>
      <c r="K798" s="8">
        <v>0.48</v>
      </c>
      <c r="L798" s="8">
        <v>0.52</v>
      </c>
      <c r="M798">
        <f t="shared" si="12"/>
        <v>4.7999999999999996E-3</v>
      </c>
    </row>
    <row r="799" spans="1:13" x14ac:dyDescent="0.3">
      <c r="A799" s="23" t="s">
        <v>115</v>
      </c>
      <c r="B799" t="s">
        <v>20</v>
      </c>
      <c r="C799" s="38">
        <v>1253</v>
      </c>
      <c r="D799" s="7">
        <v>77334</v>
      </c>
      <c r="E799" s="38">
        <v>5792</v>
      </c>
      <c r="F799" s="39">
        <v>7.9100000000000004E-4</v>
      </c>
      <c r="G799" t="s">
        <v>1</v>
      </c>
      <c r="H799" s="23" t="s">
        <v>90</v>
      </c>
      <c r="I799" s="23">
        <v>4</v>
      </c>
      <c r="J799" s="23">
        <v>75</v>
      </c>
      <c r="K799" s="8">
        <v>0.14000000000000001</v>
      </c>
      <c r="L799" s="8">
        <v>0.86</v>
      </c>
      <c r="M799">
        <f t="shared" si="12"/>
        <v>1.4000000000000002E-3</v>
      </c>
    </row>
    <row r="800" spans="1:13" x14ac:dyDescent="0.3">
      <c r="A800" s="23" t="s">
        <v>115</v>
      </c>
      <c r="B800" t="s">
        <v>20</v>
      </c>
      <c r="C800" s="38">
        <v>3076</v>
      </c>
      <c r="D800" s="7">
        <v>43114</v>
      </c>
      <c r="E800" s="38">
        <v>2868</v>
      </c>
      <c r="F800" s="39">
        <v>6.0749999999999997E-3</v>
      </c>
      <c r="G800" t="s">
        <v>2</v>
      </c>
      <c r="H800" s="23" t="s">
        <v>90</v>
      </c>
      <c r="I800" s="23">
        <v>21</v>
      </c>
      <c r="J800" s="23">
        <v>67</v>
      </c>
      <c r="K800" s="8">
        <v>0.64</v>
      </c>
      <c r="L800" s="8">
        <v>0.36</v>
      </c>
      <c r="M800">
        <f t="shared" si="12"/>
        <v>6.4000000000000003E-3</v>
      </c>
    </row>
    <row r="801" spans="1:13" x14ac:dyDescent="0.3">
      <c r="A801" s="23" t="s">
        <v>115</v>
      </c>
      <c r="B801" t="s">
        <v>20</v>
      </c>
      <c r="C801" s="38">
        <v>1622</v>
      </c>
      <c r="D801" s="7">
        <v>52563</v>
      </c>
      <c r="E801" s="38">
        <v>6423</v>
      </c>
      <c r="F801" s="39">
        <v>5.2440000000000004E-3</v>
      </c>
      <c r="G801" t="s">
        <v>3</v>
      </c>
      <c r="H801" s="23" t="s">
        <v>90</v>
      </c>
      <c r="I801" s="23">
        <v>15</v>
      </c>
      <c r="J801" s="23">
        <v>38</v>
      </c>
      <c r="K801" s="8">
        <v>0.2</v>
      </c>
      <c r="L801" s="8">
        <v>0.8</v>
      </c>
      <c r="M801">
        <f t="shared" si="12"/>
        <v>2E-3</v>
      </c>
    </row>
    <row r="802" spans="1:13" x14ac:dyDescent="0.3">
      <c r="A802" s="23" t="s">
        <v>115</v>
      </c>
      <c r="B802" t="s">
        <v>22</v>
      </c>
      <c r="C802" s="38">
        <v>241</v>
      </c>
      <c r="D802" s="7">
        <v>62487</v>
      </c>
      <c r="E802" s="38">
        <v>770</v>
      </c>
      <c r="F802" s="39">
        <v>3.3899999999999998E-3</v>
      </c>
      <c r="G802" t="s">
        <v>0</v>
      </c>
      <c r="H802" s="23" t="s">
        <v>90</v>
      </c>
      <c r="I802" s="23">
        <v>1</v>
      </c>
      <c r="J802" s="23">
        <v>17</v>
      </c>
      <c r="K802" s="8">
        <v>0.78</v>
      </c>
      <c r="L802" s="8">
        <v>0.21999999999999997</v>
      </c>
      <c r="M802">
        <f t="shared" si="12"/>
        <v>7.8000000000000005E-3</v>
      </c>
    </row>
    <row r="803" spans="1:13" x14ac:dyDescent="0.3">
      <c r="A803" s="23" t="s">
        <v>115</v>
      </c>
      <c r="B803" t="s">
        <v>22</v>
      </c>
      <c r="C803" s="38">
        <v>988</v>
      </c>
      <c r="D803" s="7">
        <v>63018</v>
      </c>
      <c r="E803" s="38">
        <v>2067</v>
      </c>
      <c r="F803" s="39">
        <v>1.335E-3</v>
      </c>
      <c r="G803" t="s">
        <v>1</v>
      </c>
      <c r="H803" s="23" t="s">
        <v>90</v>
      </c>
      <c r="I803" s="23">
        <v>3</v>
      </c>
      <c r="J803" s="23">
        <v>27</v>
      </c>
      <c r="K803" s="8">
        <v>0.83</v>
      </c>
      <c r="L803" s="8">
        <v>0.17000000000000004</v>
      </c>
      <c r="M803">
        <f t="shared" si="12"/>
        <v>8.3000000000000001E-3</v>
      </c>
    </row>
    <row r="804" spans="1:13" x14ac:dyDescent="0.3">
      <c r="A804" s="23" t="s">
        <v>115</v>
      </c>
      <c r="B804" t="s">
        <v>22</v>
      </c>
      <c r="C804" s="38">
        <v>491</v>
      </c>
      <c r="D804" s="7">
        <v>111232</v>
      </c>
      <c r="E804" s="38">
        <v>893</v>
      </c>
      <c r="F804" s="39">
        <v>9.9799999999999997E-4</v>
      </c>
      <c r="G804" t="s">
        <v>2</v>
      </c>
      <c r="H804" s="23" t="s">
        <v>90</v>
      </c>
      <c r="I804" s="23">
        <v>3</v>
      </c>
      <c r="J804" s="23">
        <v>57</v>
      </c>
      <c r="K804" s="8">
        <v>0.51</v>
      </c>
      <c r="L804" s="8">
        <v>0.49</v>
      </c>
      <c r="M804">
        <f t="shared" si="12"/>
        <v>5.1000000000000004E-3</v>
      </c>
    </row>
    <row r="805" spans="1:13" x14ac:dyDescent="0.3">
      <c r="A805" s="23" t="s">
        <v>115</v>
      </c>
      <c r="B805" t="s">
        <v>22</v>
      </c>
      <c r="C805" s="38">
        <v>1238</v>
      </c>
      <c r="D805" s="7">
        <v>111763</v>
      </c>
      <c r="E805" s="38">
        <v>2189</v>
      </c>
      <c r="F805" s="39">
        <v>2.6090000000000002E-3</v>
      </c>
      <c r="G805" t="s">
        <v>3</v>
      </c>
      <c r="H805" s="23" t="s">
        <v>90</v>
      </c>
      <c r="I805" s="23">
        <v>1</v>
      </c>
      <c r="J805" s="23">
        <v>7</v>
      </c>
      <c r="K805" s="8">
        <v>0.68</v>
      </c>
      <c r="L805" s="8">
        <v>0.31999999999999995</v>
      </c>
      <c r="M805">
        <f t="shared" si="12"/>
        <v>6.8000000000000005E-3</v>
      </c>
    </row>
    <row r="806" spans="1:13" x14ac:dyDescent="0.3">
      <c r="A806" s="23" t="s">
        <v>115</v>
      </c>
      <c r="B806" t="s">
        <v>21</v>
      </c>
      <c r="C806" s="38">
        <v>2175</v>
      </c>
      <c r="D806" s="7">
        <v>184805</v>
      </c>
      <c r="E806" s="38">
        <v>3728</v>
      </c>
      <c r="F806" s="39">
        <v>6.0590000000000001E-3</v>
      </c>
      <c r="G806" t="s">
        <v>0</v>
      </c>
      <c r="H806" s="23" t="s">
        <v>90</v>
      </c>
      <c r="I806" s="23">
        <v>14</v>
      </c>
      <c r="J806" s="23">
        <v>22</v>
      </c>
      <c r="K806" s="8">
        <v>0.42</v>
      </c>
      <c r="L806" s="8">
        <v>0.58000000000000007</v>
      </c>
      <c r="M806">
        <f t="shared" si="12"/>
        <v>4.1999999999999997E-3</v>
      </c>
    </row>
    <row r="807" spans="1:13" x14ac:dyDescent="0.3">
      <c r="A807" s="23" t="s">
        <v>115</v>
      </c>
      <c r="B807" t="s">
        <v>21</v>
      </c>
      <c r="C807" s="38">
        <v>901</v>
      </c>
      <c r="D807" s="7">
        <v>224352</v>
      </c>
      <c r="E807" s="38">
        <v>5205</v>
      </c>
      <c r="F807" s="39">
        <v>4.2090000000000001E-3</v>
      </c>
      <c r="G807" t="s">
        <v>1</v>
      </c>
      <c r="H807" s="23" t="s">
        <v>90</v>
      </c>
      <c r="I807" s="23">
        <v>1</v>
      </c>
      <c r="J807" s="23">
        <v>31</v>
      </c>
      <c r="K807" s="8">
        <v>0.37</v>
      </c>
      <c r="L807" s="8">
        <v>0.63</v>
      </c>
      <c r="M807">
        <f t="shared" si="12"/>
        <v>3.7000000000000002E-3</v>
      </c>
    </row>
    <row r="808" spans="1:13" x14ac:dyDescent="0.3">
      <c r="A808" s="23" t="s">
        <v>115</v>
      </c>
      <c r="B808" t="s">
        <v>21</v>
      </c>
      <c r="C808" s="38">
        <v>2816</v>
      </c>
      <c r="D808" s="7">
        <v>14917</v>
      </c>
      <c r="E808" s="38">
        <v>2229</v>
      </c>
      <c r="F808" s="39">
        <v>3.2919999999999998E-3</v>
      </c>
      <c r="G808" t="s">
        <v>2</v>
      </c>
      <c r="H808" s="23" t="s">
        <v>90</v>
      </c>
      <c r="I808" s="23">
        <v>13</v>
      </c>
      <c r="J808" s="23">
        <v>15</v>
      </c>
      <c r="K808" s="8">
        <v>0.63</v>
      </c>
      <c r="L808" s="8">
        <v>0.37</v>
      </c>
      <c r="M808">
        <f t="shared" si="12"/>
        <v>6.3E-3</v>
      </c>
    </row>
    <row r="809" spans="1:13" x14ac:dyDescent="0.3">
      <c r="A809" s="23" t="s">
        <v>115</v>
      </c>
      <c r="B809" t="s">
        <v>21</v>
      </c>
      <c r="C809" s="38">
        <v>1541</v>
      </c>
      <c r="D809" s="7">
        <v>54464</v>
      </c>
      <c r="E809" s="38">
        <v>3706</v>
      </c>
      <c r="F809" s="39">
        <v>2.4139999999999999E-3</v>
      </c>
      <c r="G809" t="s">
        <v>3</v>
      </c>
      <c r="H809" s="23" t="s">
        <v>90</v>
      </c>
      <c r="I809" s="23">
        <v>16</v>
      </c>
      <c r="J809" s="23">
        <v>14</v>
      </c>
      <c r="K809" s="8">
        <v>0.65</v>
      </c>
      <c r="L809" s="8">
        <v>0.35</v>
      </c>
      <c r="M809">
        <f t="shared" si="12"/>
        <v>6.5000000000000006E-3</v>
      </c>
    </row>
    <row r="810" spans="1:13" x14ac:dyDescent="0.3">
      <c r="A810" s="23" t="s">
        <v>115</v>
      </c>
      <c r="B810" t="s">
        <v>23</v>
      </c>
      <c r="C810" s="38">
        <v>2004</v>
      </c>
      <c r="D810" s="7">
        <v>56106</v>
      </c>
      <c r="E810" s="38">
        <v>2254</v>
      </c>
      <c r="F810" s="39">
        <v>5.9769999999999997E-3</v>
      </c>
      <c r="G810" t="s">
        <v>0</v>
      </c>
      <c r="H810" s="23" t="s">
        <v>90</v>
      </c>
      <c r="I810" s="23">
        <v>16</v>
      </c>
      <c r="J810" s="23">
        <v>10</v>
      </c>
      <c r="K810" s="8">
        <v>0.88</v>
      </c>
      <c r="L810" s="8">
        <v>0.12</v>
      </c>
      <c r="M810">
        <f t="shared" si="12"/>
        <v>8.8000000000000005E-3</v>
      </c>
    </row>
    <row r="811" spans="1:13" x14ac:dyDescent="0.3">
      <c r="A811" s="23" t="s">
        <v>115</v>
      </c>
      <c r="B811" t="s">
        <v>23</v>
      </c>
      <c r="C811" s="38">
        <v>1433</v>
      </c>
      <c r="D811" s="7">
        <v>59895</v>
      </c>
      <c r="E811" s="38">
        <v>5336</v>
      </c>
      <c r="F811" s="39">
        <v>4.8279999999999998E-3</v>
      </c>
      <c r="G811" t="s">
        <v>1</v>
      </c>
      <c r="H811" s="23" t="s">
        <v>90</v>
      </c>
      <c r="I811" s="23">
        <v>10</v>
      </c>
      <c r="J811" s="23">
        <v>22</v>
      </c>
      <c r="K811" s="8">
        <v>0.86</v>
      </c>
      <c r="L811" s="8">
        <v>0.14000000000000001</v>
      </c>
      <c r="M811">
        <f t="shared" si="12"/>
        <v>8.6E-3</v>
      </c>
    </row>
    <row r="812" spans="1:13" x14ac:dyDescent="0.3">
      <c r="A812" s="23" t="s">
        <v>115</v>
      </c>
      <c r="B812" t="s">
        <v>23</v>
      </c>
      <c r="C812" s="38">
        <v>1557</v>
      </c>
      <c r="D812" s="7">
        <v>60482</v>
      </c>
      <c r="E812" s="38">
        <v>646</v>
      </c>
      <c r="F812" s="39">
        <v>4.0169999999999997E-3</v>
      </c>
      <c r="G812" t="s">
        <v>2</v>
      </c>
      <c r="H812" s="23" t="s">
        <v>90</v>
      </c>
      <c r="I812" s="23">
        <v>8</v>
      </c>
      <c r="J812" s="23">
        <v>51</v>
      </c>
      <c r="K812" s="8">
        <v>0.71</v>
      </c>
      <c r="L812" s="8">
        <v>0.29000000000000004</v>
      </c>
      <c r="M812">
        <f t="shared" si="12"/>
        <v>7.0999999999999995E-3</v>
      </c>
    </row>
    <row r="813" spans="1:13" x14ac:dyDescent="0.3">
      <c r="A813" s="23" t="s">
        <v>115</v>
      </c>
      <c r="B813" t="s">
        <v>23</v>
      </c>
      <c r="C813" s="38">
        <v>986</v>
      </c>
      <c r="D813" s="7">
        <v>64272</v>
      </c>
      <c r="E813" s="38">
        <v>3728</v>
      </c>
      <c r="F813" s="39">
        <v>4.0289999999999996E-3</v>
      </c>
      <c r="G813" t="s">
        <v>3</v>
      </c>
      <c r="H813" s="23" t="s">
        <v>90</v>
      </c>
      <c r="I813" s="23">
        <v>20</v>
      </c>
      <c r="J813" s="23">
        <v>68</v>
      </c>
      <c r="K813" s="8">
        <v>0.36</v>
      </c>
      <c r="L813" s="8">
        <v>0.64</v>
      </c>
      <c r="M813">
        <f t="shared" si="12"/>
        <v>3.5999999999999999E-3</v>
      </c>
    </row>
    <row r="814" spans="1:13" x14ac:dyDescent="0.3">
      <c r="A814" s="23" t="s">
        <v>115</v>
      </c>
      <c r="B814" t="s">
        <v>24</v>
      </c>
      <c r="C814" s="38">
        <v>238</v>
      </c>
      <c r="D814" s="7">
        <v>33546</v>
      </c>
      <c r="E814" s="38">
        <v>329</v>
      </c>
      <c r="F814" s="39">
        <v>2.166E-3</v>
      </c>
      <c r="G814" t="s">
        <v>0</v>
      </c>
      <c r="H814" s="23" t="s">
        <v>90</v>
      </c>
      <c r="I814" s="23">
        <v>22</v>
      </c>
      <c r="J814" s="23">
        <v>59</v>
      </c>
      <c r="K814" s="8">
        <v>0.25</v>
      </c>
      <c r="L814" s="8">
        <v>0.75</v>
      </c>
      <c r="M814">
        <f t="shared" si="12"/>
        <v>2.5000000000000001E-3</v>
      </c>
    </row>
    <row r="815" spans="1:13" x14ac:dyDescent="0.3">
      <c r="A815" s="23" t="s">
        <v>115</v>
      </c>
      <c r="B815" t="s">
        <v>24</v>
      </c>
      <c r="C815" s="38">
        <v>76</v>
      </c>
      <c r="D815" s="7">
        <v>22974</v>
      </c>
      <c r="E815" s="38">
        <v>77</v>
      </c>
      <c r="F815" s="39">
        <v>5.084E-3</v>
      </c>
      <c r="G815" t="s">
        <v>1</v>
      </c>
      <c r="H815" s="23" t="s">
        <v>90</v>
      </c>
      <c r="I815" s="23">
        <v>16</v>
      </c>
      <c r="J815" s="23">
        <v>11</v>
      </c>
      <c r="K815" s="8">
        <v>0.41</v>
      </c>
      <c r="L815" s="8">
        <v>0.59000000000000008</v>
      </c>
      <c r="M815">
        <f t="shared" si="12"/>
        <v>4.0999999999999995E-3</v>
      </c>
    </row>
    <row r="816" spans="1:13" x14ac:dyDescent="0.3">
      <c r="A816" s="23" t="s">
        <v>115</v>
      </c>
      <c r="B816" t="s">
        <v>24</v>
      </c>
      <c r="C816" s="38">
        <v>248</v>
      </c>
      <c r="D816" s="7">
        <v>30845</v>
      </c>
      <c r="E816" s="38">
        <v>572</v>
      </c>
      <c r="F816" s="39">
        <v>6.8099999999999996E-4</v>
      </c>
      <c r="G816" t="s">
        <v>2</v>
      </c>
      <c r="H816" s="23" t="s">
        <v>90</v>
      </c>
      <c r="I816" s="23">
        <v>13</v>
      </c>
      <c r="J816" s="23">
        <v>57</v>
      </c>
      <c r="K816" s="8">
        <v>0.42</v>
      </c>
      <c r="L816" s="8">
        <v>0.58000000000000007</v>
      </c>
      <c r="M816">
        <f t="shared" si="12"/>
        <v>4.1999999999999997E-3</v>
      </c>
    </row>
    <row r="817" spans="1:13" x14ac:dyDescent="0.3">
      <c r="A817" s="23" t="s">
        <v>115</v>
      </c>
      <c r="B817" t="s">
        <v>24</v>
      </c>
      <c r="C817" s="38">
        <v>86</v>
      </c>
      <c r="D817" s="7">
        <v>20273</v>
      </c>
      <c r="E817" s="38">
        <v>319</v>
      </c>
      <c r="F817" s="39">
        <v>4.2550000000000001E-3</v>
      </c>
      <c r="G817" t="s">
        <v>3</v>
      </c>
      <c r="H817" s="23" t="s">
        <v>90</v>
      </c>
      <c r="I817" s="23">
        <v>13</v>
      </c>
      <c r="J817" s="23">
        <v>57</v>
      </c>
      <c r="K817" s="8">
        <v>0.21</v>
      </c>
      <c r="L817" s="8">
        <v>0.79</v>
      </c>
      <c r="M817">
        <f t="shared" si="12"/>
        <v>2.0999999999999999E-3</v>
      </c>
    </row>
    <row r="818" spans="1:13" x14ac:dyDescent="0.3">
      <c r="A818" s="23" t="s">
        <v>115</v>
      </c>
      <c r="B818" t="s">
        <v>19</v>
      </c>
      <c r="C818" s="38">
        <v>2764</v>
      </c>
      <c r="D818" s="7">
        <v>11543</v>
      </c>
      <c r="E818" s="38">
        <v>3489</v>
      </c>
      <c r="F818" s="39">
        <v>3.5839999999999999E-3</v>
      </c>
      <c r="G818" t="s">
        <v>0</v>
      </c>
      <c r="H818" s="23" t="s">
        <v>89</v>
      </c>
      <c r="I818" s="23">
        <v>21</v>
      </c>
      <c r="J818" s="23">
        <v>47</v>
      </c>
      <c r="K818" s="8">
        <v>0.35</v>
      </c>
      <c r="L818" s="8">
        <v>0.65</v>
      </c>
      <c r="M818">
        <f t="shared" si="12"/>
        <v>3.4999999999999996E-3</v>
      </c>
    </row>
    <row r="819" spans="1:13" x14ac:dyDescent="0.3">
      <c r="A819" s="23" t="s">
        <v>115</v>
      </c>
      <c r="B819" t="s">
        <v>19</v>
      </c>
      <c r="C819" s="38">
        <v>881</v>
      </c>
      <c r="D819" s="7">
        <v>18712</v>
      </c>
      <c r="E819" s="38">
        <v>445</v>
      </c>
      <c r="F819" s="39">
        <v>2.2790000000000002E-3</v>
      </c>
      <c r="G819" t="s">
        <v>1</v>
      </c>
      <c r="H819" s="23" t="s">
        <v>89</v>
      </c>
      <c r="I819" s="23">
        <v>7</v>
      </c>
      <c r="J819" s="23">
        <v>43</v>
      </c>
      <c r="K819" s="8">
        <v>0.74</v>
      </c>
      <c r="L819" s="8">
        <v>0.26</v>
      </c>
      <c r="M819">
        <f t="shared" si="12"/>
        <v>7.4000000000000003E-3</v>
      </c>
    </row>
    <row r="820" spans="1:13" x14ac:dyDescent="0.3">
      <c r="A820" s="23" t="s">
        <v>115</v>
      </c>
      <c r="B820" t="s">
        <v>19</v>
      </c>
      <c r="C820" s="38">
        <v>2624</v>
      </c>
      <c r="D820" s="7">
        <v>17120</v>
      </c>
      <c r="E820" s="38">
        <v>6565</v>
      </c>
      <c r="F820" s="39">
        <v>1.6969999999999999E-3</v>
      </c>
      <c r="G820" t="s">
        <v>2</v>
      </c>
      <c r="H820" s="23" t="s">
        <v>89</v>
      </c>
      <c r="I820" s="23">
        <v>18</v>
      </c>
      <c r="J820" s="23">
        <v>77</v>
      </c>
      <c r="K820" s="8">
        <v>0.87</v>
      </c>
      <c r="L820" s="8">
        <v>0.13</v>
      </c>
      <c r="M820">
        <f t="shared" si="12"/>
        <v>8.6999999999999994E-3</v>
      </c>
    </row>
    <row r="821" spans="1:13" x14ac:dyDescent="0.3">
      <c r="A821" s="23" t="s">
        <v>115</v>
      </c>
      <c r="B821" t="s">
        <v>19</v>
      </c>
      <c r="C821" s="38">
        <v>740</v>
      </c>
      <c r="D821" s="7">
        <v>24289</v>
      </c>
      <c r="E821" s="38">
        <v>3522</v>
      </c>
      <c r="F821" s="39">
        <v>1.9859999999999999E-3</v>
      </c>
      <c r="G821" t="s">
        <v>3</v>
      </c>
      <c r="H821" s="23" t="s">
        <v>89</v>
      </c>
      <c r="I821" s="23">
        <v>16</v>
      </c>
      <c r="J821" s="23">
        <v>58</v>
      </c>
      <c r="K821" s="8">
        <v>0.21</v>
      </c>
      <c r="L821" s="8">
        <v>0.79</v>
      </c>
      <c r="M821">
        <f t="shared" si="12"/>
        <v>2.0999999999999999E-3</v>
      </c>
    </row>
    <row r="822" spans="1:13" x14ac:dyDescent="0.3">
      <c r="A822" s="23" t="s">
        <v>115</v>
      </c>
      <c r="B822" t="s">
        <v>20</v>
      </c>
      <c r="C822" s="38">
        <v>547</v>
      </c>
      <c r="D822" s="7">
        <v>29336</v>
      </c>
      <c r="E822" s="38">
        <v>2920</v>
      </c>
      <c r="F822" s="39">
        <v>1.717E-3</v>
      </c>
      <c r="G822" t="s">
        <v>0</v>
      </c>
      <c r="H822" s="23" t="s">
        <v>89</v>
      </c>
      <c r="I822" s="23">
        <v>22</v>
      </c>
      <c r="J822" s="23">
        <v>22</v>
      </c>
      <c r="K822" s="8">
        <v>0.62</v>
      </c>
      <c r="L822" s="8">
        <v>0.38</v>
      </c>
      <c r="M822">
        <f t="shared" si="12"/>
        <v>6.1999999999999998E-3</v>
      </c>
    </row>
    <row r="823" spans="1:13" x14ac:dyDescent="0.3">
      <c r="A823" s="23" t="s">
        <v>115</v>
      </c>
      <c r="B823" t="s">
        <v>20</v>
      </c>
      <c r="C823" s="38">
        <v>750</v>
      </c>
      <c r="D823" s="7">
        <v>38762</v>
      </c>
      <c r="E823" s="38">
        <v>1994</v>
      </c>
      <c r="F823" s="39">
        <v>1.921E-3</v>
      </c>
      <c r="G823" t="s">
        <v>1</v>
      </c>
      <c r="H823" s="23" t="s">
        <v>89</v>
      </c>
      <c r="I823" s="23">
        <v>14</v>
      </c>
      <c r="J823" s="23">
        <v>68</v>
      </c>
      <c r="K823" s="8">
        <v>0.81</v>
      </c>
      <c r="L823" s="8">
        <v>0.18999999999999995</v>
      </c>
      <c r="M823">
        <f t="shared" si="12"/>
        <v>8.1000000000000013E-3</v>
      </c>
    </row>
    <row r="824" spans="1:13" x14ac:dyDescent="0.3">
      <c r="A824" s="23" t="s">
        <v>115</v>
      </c>
      <c r="B824" t="s">
        <v>20</v>
      </c>
      <c r="C824" s="38">
        <v>1455</v>
      </c>
      <c r="D824" s="7">
        <v>40596</v>
      </c>
      <c r="E824" s="38">
        <v>2418</v>
      </c>
      <c r="F824" s="39">
        <v>5.2630000000000003E-3</v>
      </c>
      <c r="G824" t="s">
        <v>2</v>
      </c>
      <c r="H824" s="23" t="s">
        <v>89</v>
      </c>
      <c r="I824" s="23">
        <v>21</v>
      </c>
      <c r="J824" s="23">
        <v>46</v>
      </c>
      <c r="K824" s="8">
        <v>0.65</v>
      </c>
      <c r="L824" s="8">
        <v>0.35</v>
      </c>
      <c r="M824">
        <f t="shared" si="12"/>
        <v>6.5000000000000006E-3</v>
      </c>
    </row>
    <row r="825" spans="1:13" x14ac:dyDescent="0.3">
      <c r="A825" s="23" t="s">
        <v>115</v>
      </c>
      <c r="B825" t="s">
        <v>20</v>
      </c>
      <c r="C825" s="38">
        <v>1658</v>
      </c>
      <c r="D825" s="7">
        <v>50022</v>
      </c>
      <c r="E825" s="38">
        <v>1492</v>
      </c>
      <c r="F825" s="39">
        <v>1.415E-3</v>
      </c>
      <c r="G825" t="s">
        <v>3</v>
      </c>
      <c r="H825" s="23" t="s">
        <v>89</v>
      </c>
      <c r="I825" s="23">
        <v>6</v>
      </c>
      <c r="J825" s="23">
        <v>38</v>
      </c>
      <c r="K825" s="8">
        <v>0.55000000000000004</v>
      </c>
      <c r="L825" s="8">
        <v>0.44999999999999996</v>
      </c>
      <c r="M825">
        <f t="shared" si="12"/>
        <v>5.5000000000000005E-3</v>
      </c>
    </row>
    <row r="826" spans="1:13" x14ac:dyDescent="0.3">
      <c r="A826" s="23" t="s">
        <v>115</v>
      </c>
      <c r="B826" t="s">
        <v>22</v>
      </c>
      <c r="C826" s="38">
        <v>260</v>
      </c>
      <c r="D826" s="7">
        <v>82550</v>
      </c>
      <c r="E826" s="38">
        <v>901</v>
      </c>
      <c r="F826" s="39">
        <v>2.5990000000000002E-3</v>
      </c>
      <c r="G826" t="s">
        <v>0</v>
      </c>
      <c r="H826" s="23" t="s">
        <v>89</v>
      </c>
      <c r="I826" s="23">
        <v>12</v>
      </c>
      <c r="J826" s="23">
        <v>3</v>
      </c>
      <c r="K826" s="8">
        <v>0.69</v>
      </c>
      <c r="L826" s="8">
        <v>0.31000000000000005</v>
      </c>
      <c r="M826">
        <f t="shared" si="12"/>
        <v>6.8999999999999999E-3</v>
      </c>
    </row>
    <row r="827" spans="1:13" x14ac:dyDescent="0.3">
      <c r="A827" s="23" t="s">
        <v>115</v>
      </c>
      <c r="B827" t="s">
        <v>22</v>
      </c>
      <c r="C827" s="38">
        <v>380</v>
      </c>
      <c r="D827" s="7">
        <v>90725</v>
      </c>
      <c r="E827" s="38">
        <v>1207</v>
      </c>
      <c r="F827" s="39">
        <v>3.457E-3</v>
      </c>
      <c r="G827" t="s">
        <v>1</v>
      </c>
      <c r="H827" s="23" t="s">
        <v>89</v>
      </c>
      <c r="I827" s="23">
        <v>20</v>
      </c>
      <c r="J827" s="23">
        <v>57</v>
      </c>
      <c r="K827" s="8">
        <v>0.43</v>
      </c>
      <c r="L827" s="8">
        <v>0.57000000000000006</v>
      </c>
      <c r="M827">
        <f t="shared" si="12"/>
        <v>4.3E-3</v>
      </c>
    </row>
    <row r="828" spans="1:13" x14ac:dyDescent="0.3">
      <c r="A828" s="23" t="s">
        <v>115</v>
      </c>
      <c r="B828" t="s">
        <v>22</v>
      </c>
      <c r="C828" s="38">
        <v>594</v>
      </c>
      <c r="D828" s="7">
        <v>24082</v>
      </c>
      <c r="E828" s="38">
        <v>741</v>
      </c>
      <c r="F828" s="39">
        <v>3.186E-3</v>
      </c>
      <c r="G828" t="s">
        <v>2</v>
      </c>
      <c r="H828" s="23" t="s">
        <v>89</v>
      </c>
      <c r="I828" s="23">
        <v>16</v>
      </c>
      <c r="J828" s="23">
        <v>17</v>
      </c>
      <c r="K828" s="8">
        <v>0.54</v>
      </c>
      <c r="L828" s="8">
        <v>0.45999999999999996</v>
      </c>
      <c r="M828">
        <f t="shared" si="12"/>
        <v>5.4000000000000003E-3</v>
      </c>
    </row>
    <row r="829" spans="1:13" x14ac:dyDescent="0.3">
      <c r="A829" s="23" t="s">
        <v>115</v>
      </c>
      <c r="B829" t="s">
        <v>22</v>
      </c>
      <c r="C829" s="38">
        <v>714</v>
      </c>
      <c r="D829" s="7">
        <v>32257</v>
      </c>
      <c r="E829" s="38">
        <v>1047</v>
      </c>
      <c r="F829" s="39">
        <v>3.359E-3</v>
      </c>
      <c r="G829" t="s">
        <v>3</v>
      </c>
      <c r="H829" s="23" t="s">
        <v>89</v>
      </c>
      <c r="I829" s="23">
        <v>1</v>
      </c>
      <c r="J829" s="23">
        <v>41</v>
      </c>
      <c r="K829" s="8">
        <v>0.53</v>
      </c>
      <c r="L829" s="8">
        <v>0.47</v>
      </c>
      <c r="M829">
        <f t="shared" si="12"/>
        <v>5.3E-3</v>
      </c>
    </row>
    <row r="830" spans="1:13" x14ac:dyDescent="0.3">
      <c r="A830" s="23" t="s">
        <v>115</v>
      </c>
      <c r="B830" t="s">
        <v>21</v>
      </c>
      <c r="C830" s="38">
        <v>1431</v>
      </c>
      <c r="D830" s="7">
        <v>109089</v>
      </c>
      <c r="E830" s="38">
        <v>1668</v>
      </c>
      <c r="F830" s="39">
        <v>2.777E-3</v>
      </c>
      <c r="G830" t="s">
        <v>0</v>
      </c>
      <c r="H830" s="23" t="s">
        <v>89</v>
      </c>
      <c r="I830" s="23">
        <v>18</v>
      </c>
      <c r="J830" s="23">
        <v>5</v>
      </c>
      <c r="K830" s="8">
        <v>0.56000000000000005</v>
      </c>
      <c r="L830" s="8">
        <v>0.43999999999999995</v>
      </c>
      <c r="M830">
        <f t="shared" si="12"/>
        <v>5.6000000000000008E-3</v>
      </c>
    </row>
    <row r="831" spans="1:13" x14ac:dyDescent="0.3">
      <c r="A831" s="23" t="s">
        <v>115</v>
      </c>
      <c r="B831" t="s">
        <v>21</v>
      </c>
      <c r="C831" s="38">
        <v>913</v>
      </c>
      <c r="D831" s="7">
        <v>123158</v>
      </c>
      <c r="E831" s="38">
        <v>3407</v>
      </c>
      <c r="F831" s="39">
        <v>2.1909999999999998E-3</v>
      </c>
      <c r="G831" t="s">
        <v>1</v>
      </c>
      <c r="H831" s="23" t="s">
        <v>89</v>
      </c>
      <c r="I831" s="23">
        <v>6</v>
      </c>
      <c r="J831" s="23">
        <v>28</v>
      </c>
      <c r="K831" s="8">
        <v>0.7</v>
      </c>
      <c r="L831" s="8">
        <v>0.30000000000000004</v>
      </c>
      <c r="M831">
        <f t="shared" si="12"/>
        <v>6.9999999999999993E-3</v>
      </c>
    </row>
    <row r="832" spans="1:13" x14ac:dyDescent="0.3">
      <c r="A832" s="23" t="s">
        <v>115</v>
      </c>
      <c r="B832" t="s">
        <v>21</v>
      </c>
      <c r="C832" s="38">
        <v>2549</v>
      </c>
      <c r="D832" s="7">
        <v>34487</v>
      </c>
      <c r="E832" s="38">
        <v>3519</v>
      </c>
      <c r="F832" s="39">
        <v>2.4580000000000001E-3</v>
      </c>
      <c r="G832" t="s">
        <v>2</v>
      </c>
      <c r="H832" s="23" t="s">
        <v>89</v>
      </c>
      <c r="I832" s="23">
        <v>9</v>
      </c>
      <c r="J832" s="23">
        <v>6</v>
      </c>
      <c r="K832" s="8">
        <v>0.83</v>
      </c>
      <c r="L832" s="8">
        <v>0.17000000000000004</v>
      </c>
      <c r="M832">
        <f t="shared" si="12"/>
        <v>8.3000000000000001E-3</v>
      </c>
    </row>
    <row r="833" spans="1:13" x14ac:dyDescent="0.3">
      <c r="A833" s="23" t="s">
        <v>115</v>
      </c>
      <c r="B833" t="s">
        <v>21</v>
      </c>
      <c r="C833" s="38">
        <v>2031</v>
      </c>
      <c r="D833" s="7">
        <v>48556</v>
      </c>
      <c r="E833" s="38">
        <v>5258</v>
      </c>
      <c r="F833" s="39">
        <v>1.1349999999999999E-3</v>
      </c>
      <c r="G833" t="s">
        <v>3</v>
      </c>
      <c r="H833" s="23" t="s">
        <v>89</v>
      </c>
      <c r="I833" s="23">
        <v>23</v>
      </c>
      <c r="J833" s="23">
        <v>67</v>
      </c>
      <c r="K833" s="8">
        <v>0.16</v>
      </c>
      <c r="L833" s="8">
        <v>0.84</v>
      </c>
      <c r="M833">
        <f t="shared" si="12"/>
        <v>1.6000000000000001E-3</v>
      </c>
    </row>
    <row r="834" spans="1:13" x14ac:dyDescent="0.3">
      <c r="A834" s="23" t="s">
        <v>115</v>
      </c>
      <c r="B834" t="s">
        <v>23</v>
      </c>
      <c r="C834" s="38">
        <v>1080</v>
      </c>
      <c r="D834" s="7">
        <v>32510</v>
      </c>
      <c r="E834" s="38">
        <v>2070</v>
      </c>
      <c r="F834" s="39">
        <v>4.4250000000000001E-3</v>
      </c>
      <c r="G834" t="s">
        <v>0</v>
      </c>
      <c r="H834" s="23" t="s">
        <v>89</v>
      </c>
      <c r="I834" s="23">
        <v>22</v>
      </c>
      <c r="J834" s="23">
        <v>20</v>
      </c>
      <c r="K834" s="8">
        <v>0.69</v>
      </c>
      <c r="L834" s="8">
        <v>0.31000000000000005</v>
      </c>
      <c r="M834">
        <f t="shared" si="12"/>
        <v>6.8999999999999999E-3</v>
      </c>
    </row>
    <row r="835" spans="1:13" x14ac:dyDescent="0.3">
      <c r="A835" s="23" t="s">
        <v>115</v>
      </c>
      <c r="B835" t="s">
        <v>23</v>
      </c>
      <c r="C835" s="38">
        <v>183</v>
      </c>
      <c r="D835" s="7">
        <v>50011</v>
      </c>
      <c r="E835" s="38">
        <v>3311</v>
      </c>
      <c r="F835" s="39">
        <v>1.049E-3</v>
      </c>
      <c r="G835" t="s">
        <v>1</v>
      </c>
      <c r="H835" s="23" t="s">
        <v>89</v>
      </c>
      <c r="I835" s="23">
        <v>17</v>
      </c>
      <c r="J835" s="23">
        <v>77</v>
      </c>
      <c r="K835" s="8">
        <v>0.66</v>
      </c>
      <c r="L835" s="8">
        <v>0.33999999999999997</v>
      </c>
      <c r="M835">
        <f t="shared" ref="M835:M865" si="13">K835/100</f>
        <v>6.6E-3</v>
      </c>
    </row>
    <row r="836" spans="1:13" x14ac:dyDescent="0.3">
      <c r="A836" s="23" t="s">
        <v>115</v>
      </c>
      <c r="B836" t="s">
        <v>23</v>
      </c>
      <c r="C836" s="38">
        <v>2291</v>
      </c>
      <c r="D836" s="7">
        <v>29301</v>
      </c>
      <c r="E836" s="38">
        <v>1637</v>
      </c>
      <c r="F836" s="39">
        <v>6.1190000000000003E-3</v>
      </c>
      <c r="G836" t="s">
        <v>2</v>
      </c>
      <c r="H836" s="23" t="s">
        <v>89</v>
      </c>
      <c r="I836" s="23">
        <v>4</v>
      </c>
      <c r="J836" s="23">
        <v>16</v>
      </c>
      <c r="K836" s="8">
        <v>0.87</v>
      </c>
      <c r="L836" s="8">
        <v>0.13</v>
      </c>
      <c r="M836">
        <f t="shared" si="13"/>
        <v>8.6999999999999994E-3</v>
      </c>
    </row>
    <row r="837" spans="1:13" x14ac:dyDescent="0.3">
      <c r="A837" s="23" t="s">
        <v>115</v>
      </c>
      <c r="B837" t="s">
        <v>23</v>
      </c>
      <c r="C837" s="38">
        <v>1394</v>
      </c>
      <c r="D837" s="7">
        <v>46801</v>
      </c>
      <c r="E837" s="38">
        <v>2878</v>
      </c>
      <c r="F837" s="39">
        <v>2.944E-3</v>
      </c>
      <c r="G837" t="s">
        <v>3</v>
      </c>
      <c r="H837" s="23" t="s">
        <v>89</v>
      </c>
      <c r="I837" s="23">
        <v>16</v>
      </c>
      <c r="J837" s="23">
        <v>11</v>
      </c>
      <c r="K837" s="8">
        <v>0.69</v>
      </c>
      <c r="L837" s="8">
        <v>0.31000000000000005</v>
      </c>
      <c r="M837">
        <f t="shared" si="13"/>
        <v>6.8999999999999999E-3</v>
      </c>
    </row>
    <row r="838" spans="1:13" x14ac:dyDescent="0.3">
      <c r="A838" s="23" t="s">
        <v>115</v>
      </c>
      <c r="B838" t="s">
        <v>24</v>
      </c>
      <c r="C838" s="38">
        <v>103</v>
      </c>
      <c r="D838" s="7">
        <v>15544</v>
      </c>
      <c r="E838" s="38">
        <v>21</v>
      </c>
      <c r="F838" s="39">
        <v>5.9699999999999996E-3</v>
      </c>
      <c r="G838" t="s">
        <v>0</v>
      </c>
      <c r="H838" s="23" t="s">
        <v>89</v>
      </c>
      <c r="I838" s="23">
        <v>8</v>
      </c>
      <c r="J838" s="23">
        <v>2</v>
      </c>
      <c r="K838" s="8">
        <v>0.38</v>
      </c>
      <c r="L838" s="8">
        <v>0.62</v>
      </c>
      <c r="M838">
        <f t="shared" si="13"/>
        <v>3.8E-3</v>
      </c>
    </row>
    <row r="839" spans="1:13" x14ac:dyDescent="0.3">
      <c r="A839" s="23" t="s">
        <v>115</v>
      </c>
      <c r="B839" t="s">
        <v>24</v>
      </c>
      <c r="C839" s="38">
        <v>148</v>
      </c>
      <c r="D839" s="7">
        <v>16002</v>
      </c>
      <c r="E839" s="38">
        <v>334</v>
      </c>
      <c r="F839" s="39">
        <v>4.1609999999999998E-3</v>
      </c>
      <c r="G839" t="s">
        <v>1</v>
      </c>
      <c r="H839" s="23" t="s">
        <v>89</v>
      </c>
      <c r="I839" s="23">
        <v>4</v>
      </c>
      <c r="J839" s="23">
        <v>67</v>
      </c>
      <c r="K839" s="8">
        <v>0.49</v>
      </c>
      <c r="L839" s="8">
        <v>0.51</v>
      </c>
      <c r="M839">
        <f t="shared" si="13"/>
        <v>4.8999999999999998E-3</v>
      </c>
    </row>
    <row r="840" spans="1:13" x14ac:dyDescent="0.3">
      <c r="A840" s="23" t="s">
        <v>115</v>
      </c>
      <c r="B840" t="s">
        <v>24</v>
      </c>
      <c r="C840" s="38">
        <v>62</v>
      </c>
      <c r="D840" s="7">
        <v>19457</v>
      </c>
      <c r="E840" s="38">
        <v>89</v>
      </c>
      <c r="F840" s="39">
        <v>5.2040000000000003E-3</v>
      </c>
      <c r="G840" t="s">
        <v>2</v>
      </c>
      <c r="H840" s="23" t="s">
        <v>89</v>
      </c>
      <c r="I840" s="23">
        <v>23</v>
      </c>
      <c r="J840" s="23">
        <v>24</v>
      </c>
      <c r="K840" s="8">
        <v>0.84</v>
      </c>
      <c r="L840" s="8">
        <v>0.16000000000000003</v>
      </c>
      <c r="M840">
        <f t="shared" si="13"/>
        <v>8.3999999999999995E-3</v>
      </c>
    </row>
    <row r="841" spans="1:13" x14ac:dyDescent="0.3">
      <c r="A841" s="23" t="s">
        <v>115</v>
      </c>
      <c r="B841" t="s">
        <v>24</v>
      </c>
      <c r="C841" s="38">
        <v>107</v>
      </c>
      <c r="D841" s="7">
        <v>19915</v>
      </c>
      <c r="E841" s="38">
        <v>401</v>
      </c>
      <c r="F841" s="39">
        <v>2.3140000000000001E-3</v>
      </c>
      <c r="G841" t="s">
        <v>3</v>
      </c>
      <c r="H841" s="23" t="s">
        <v>89</v>
      </c>
      <c r="I841" s="23">
        <v>14</v>
      </c>
      <c r="J841" s="23">
        <v>15</v>
      </c>
      <c r="K841" s="8">
        <v>0.9</v>
      </c>
      <c r="L841" s="8">
        <v>9.9999999999999978E-2</v>
      </c>
      <c r="M841">
        <f t="shared" si="13"/>
        <v>9.0000000000000011E-3</v>
      </c>
    </row>
    <row r="842" spans="1:13" x14ac:dyDescent="0.3">
      <c r="A842" s="23" t="s">
        <v>115</v>
      </c>
      <c r="B842" t="s">
        <v>19</v>
      </c>
      <c r="C842" s="38">
        <v>1188</v>
      </c>
      <c r="D842" s="7">
        <v>18928</v>
      </c>
      <c r="E842" s="38">
        <v>2152</v>
      </c>
      <c r="F842" s="39">
        <v>8.0800000000000002E-4</v>
      </c>
      <c r="G842" t="s">
        <v>0</v>
      </c>
      <c r="H842" s="23" t="s">
        <v>91</v>
      </c>
      <c r="I842" s="23">
        <v>16</v>
      </c>
      <c r="J842" s="23">
        <v>60</v>
      </c>
      <c r="K842" s="8">
        <v>0.19</v>
      </c>
      <c r="L842" s="8">
        <v>0.81</v>
      </c>
      <c r="M842">
        <f t="shared" si="13"/>
        <v>1.9E-3</v>
      </c>
    </row>
    <row r="843" spans="1:13" x14ac:dyDescent="0.3">
      <c r="A843" s="23" t="s">
        <v>115</v>
      </c>
      <c r="B843" t="s">
        <v>19</v>
      </c>
      <c r="C843" s="38">
        <v>1680</v>
      </c>
      <c r="D843" s="7">
        <v>8845</v>
      </c>
      <c r="E843" s="38">
        <v>1999</v>
      </c>
      <c r="F843" s="39">
        <v>8.8099999999999995E-4</v>
      </c>
      <c r="G843" t="s">
        <v>1</v>
      </c>
      <c r="H843" s="23" t="s">
        <v>91</v>
      </c>
      <c r="I843" s="23">
        <v>10</v>
      </c>
      <c r="J843" s="23">
        <v>54</v>
      </c>
      <c r="K843" s="8">
        <v>0.46</v>
      </c>
      <c r="L843" s="8">
        <v>0.54</v>
      </c>
      <c r="M843">
        <f t="shared" si="13"/>
        <v>4.5999999999999999E-3</v>
      </c>
    </row>
    <row r="844" spans="1:13" x14ac:dyDescent="0.3">
      <c r="A844" s="23" t="s">
        <v>115</v>
      </c>
      <c r="B844" t="s">
        <v>19</v>
      </c>
      <c r="C844" s="38">
        <v>785</v>
      </c>
      <c r="D844" s="7">
        <v>19166</v>
      </c>
      <c r="E844" s="38">
        <v>2932</v>
      </c>
      <c r="F844" s="39">
        <v>6.96E-4</v>
      </c>
      <c r="G844" t="s">
        <v>2</v>
      </c>
      <c r="H844" s="23" t="s">
        <v>91</v>
      </c>
      <c r="I844" s="23">
        <v>8</v>
      </c>
      <c r="J844" s="23">
        <v>63</v>
      </c>
      <c r="K844" s="8">
        <v>0.68</v>
      </c>
      <c r="L844" s="8">
        <v>0.31999999999999995</v>
      </c>
      <c r="M844">
        <f t="shared" si="13"/>
        <v>6.8000000000000005E-3</v>
      </c>
    </row>
    <row r="845" spans="1:13" x14ac:dyDescent="0.3">
      <c r="A845" s="23" t="s">
        <v>115</v>
      </c>
      <c r="B845" t="s">
        <v>19</v>
      </c>
      <c r="C845" s="38">
        <v>1277</v>
      </c>
      <c r="D845" s="7">
        <v>9082</v>
      </c>
      <c r="E845" s="38">
        <v>2779</v>
      </c>
      <c r="F845" s="39">
        <v>4.169E-3</v>
      </c>
      <c r="G845" t="s">
        <v>3</v>
      </c>
      <c r="H845" s="23" t="s">
        <v>91</v>
      </c>
      <c r="I845" s="23">
        <v>5</v>
      </c>
      <c r="J845" s="23">
        <v>52</v>
      </c>
      <c r="K845" s="8">
        <v>0.85</v>
      </c>
      <c r="L845" s="8">
        <v>0.15000000000000002</v>
      </c>
      <c r="M845">
        <f t="shared" si="13"/>
        <v>8.5000000000000006E-3</v>
      </c>
    </row>
    <row r="846" spans="1:13" x14ac:dyDescent="0.3">
      <c r="A846" s="23" t="s">
        <v>115</v>
      </c>
      <c r="B846" t="s">
        <v>20</v>
      </c>
      <c r="C846" s="38">
        <v>711</v>
      </c>
      <c r="D846" s="7">
        <v>33191</v>
      </c>
      <c r="E846" s="38">
        <v>2420</v>
      </c>
      <c r="F846" s="39">
        <v>5.2810000000000001E-3</v>
      </c>
      <c r="G846" t="s">
        <v>0</v>
      </c>
      <c r="H846" s="23" t="s">
        <v>91</v>
      </c>
      <c r="I846" s="23">
        <v>7</v>
      </c>
      <c r="J846" s="23">
        <v>36</v>
      </c>
      <c r="K846" s="8">
        <v>0.62</v>
      </c>
      <c r="L846" s="8">
        <v>0.38</v>
      </c>
      <c r="M846">
        <f t="shared" si="13"/>
        <v>6.1999999999999998E-3</v>
      </c>
    </row>
    <row r="847" spans="1:13" x14ac:dyDescent="0.3">
      <c r="A847" s="23" t="s">
        <v>115</v>
      </c>
      <c r="B847" t="s">
        <v>20</v>
      </c>
      <c r="C847" s="38">
        <v>1089</v>
      </c>
      <c r="D847" s="7">
        <v>6703</v>
      </c>
      <c r="E847" s="38">
        <v>3314</v>
      </c>
      <c r="F847" s="39">
        <v>4.0039999999999997E-3</v>
      </c>
      <c r="G847" t="s">
        <v>1</v>
      </c>
      <c r="H847" s="23" t="s">
        <v>91</v>
      </c>
      <c r="I847" s="23">
        <v>19</v>
      </c>
      <c r="J847" s="23">
        <v>21</v>
      </c>
      <c r="K847" s="8">
        <v>0.78</v>
      </c>
      <c r="L847" s="8">
        <v>0.21999999999999997</v>
      </c>
      <c r="M847">
        <f t="shared" si="13"/>
        <v>7.8000000000000005E-3</v>
      </c>
    </row>
    <row r="848" spans="1:13" x14ac:dyDescent="0.3">
      <c r="A848" s="23" t="s">
        <v>115</v>
      </c>
      <c r="B848" t="s">
        <v>20</v>
      </c>
      <c r="C848" s="38">
        <v>633</v>
      </c>
      <c r="D848" s="7">
        <v>55333</v>
      </c>
      <c r="E848" s="38">
        <v>131</v>
      </c>
      <c r="F848" s="39">
        <v>2.908E-3</v>
      </c>
      <c r="G848" t="s">
        <v>2</v>
      </c>
      <c r="H848" s="23" t="s">
        <v>91</v>
      </c>
      <c r="I848" s="23">
        <v>17</v>
      </c>
      <c r="J848" s="23">
        <v>52</v>
      </c>
      <c r="K848" s="8">
        <v>0.35</v>
      </c>
      <c r="L848" s="8">
        <v>0.65</v>
      </c>
      <c r="M848">
        <f t="shared" si="13"/>
        <v>3.4999999999999996E-3</v>
      </c>
    </row>
    <row r="849" spans="1:13" x14ac:dyDescent="0.3">
      <c r="A849" s="23" t="s">
        <v>115</v>
      </c>
      <c r="B849" t="s">
        <v>20</v>
      </c>
      <c r="C849" s="38">
        <v>1011</v>
      </c>
      <c r="D849" s="7">
        <v>28845</v>
      </c>
      <c r="E849" s="38">
        <v>1025</v>
      </c>
      <c r="F849" s="39">
        <v>5.9870000000000001E-3</v>
      </c>
      <c r="G849" t="s">
        <v>3</v>
      </c>
      <c r="H849" s="23" t="s">
        <v>91</v>
      </c>
      <c r="I849" s="23">
        <v>15</v>
      </c>
      <c r="J849" s="23">
        <v>77</v>
      </c>
      <c r="K849" s="8">
        <v>0.75</v>
      </c>
      <c r="L849" s="8">
        <v>0.25</v>
      </c>
      <c r="M849">
        <f t="shared" si="13"/>
        <v>7.4999999999999997E-3</v>
      </c>
    </row>
    <row r="850" spans="1:13" x14ac:dyDescent="0.3">
      <c r="A850" s="23" t="s">
        <v>115</v>
      </c>
      <c r="B850" t="s">
        <v>22</v>
      </c>
      <c r="C850" s="38">
        <v>135</v>
      </c>
      <c r="D850" s="7">
        <v>43978</v>
      </c>
      <c r="E850" s="38">
        <v>175</v>
      </c>
      <c r="F850" s="39">
        <v>1.8730000000000001E-3</v>
      </c>
      <c r="G850" t="s">
        <v>0</v>
      </c>
      <c r="H850" s="23" t="s">
        <v>91</v>
      </c>
      <c r="I850" s="23">
        <v>2</v>
      </c>
      <c r="J850" s="23">
        <v>41</v>
      </c>
      <c r="K850" s="8">
        <v>0.66</v>
      </c>
      <c r="L850" s="8">
        <v>0.33999999999999997</v>
      </c>
      <c r="M850">
        <f t="shared" si="13"/>
        <v>6.6E-3</v>
      </c>
    </row>
    <row r="851" spans="1:13" x14ac:dyDescent="0.3">
      <c r="A851" s="23" t="s">
        <v>115</v>
      </c>
      <c r="B851" t="s">
        <v>22</v>
      </c>
      <c r="C851" s="38">
        <v>205</v>
      </c>
      <c r="D851" s="7">
        <v>53258</v>
      </c>
      <c r="E851" s="38">
        <v>1149</v>
      </c>
      <c r="F851" s="39">
        <v>5.6750000000000004E-3</v>
      </c>
      <c r="G851" t="s">
        <v>1</v>
      </c>
      <c r="H851" s="23" t="s">
        <v>91</v>
      </c>
      <c r="I851" s="23">
        <v>4</v>
      </c>
      <c r="J851" s="23">
        <v>16</v>
      </c>
      <c r="K851" s="8">
        <v>0.28000000000000003</v>
      </c>
      <c r="L851" s="8">
        <v>0.72</v>
      </c>
      <c r="M851">
        <f t="shared" si="13"/>
        <v>2.8000000000000004E-3</v>
      </c>
    </row>
    <row r="852" spans="1:13" x14ac:dyDescent="0.3">
      <c r="A852" s="23" t="s">
        <v>115</v>
      </c>
      <c r="B852" t="s">
        <v>22</v>
      </c>
      <c r="C852" s="38">
        <v>556</v>
      </c>
      <c r="D852" s="7">
        <v>36489</v>
      </c>
      <c r="E852" s="38">
        <v>375</v>
      </c>
      <c r="F852" s="39">
        <v>2.2759999999999998E-3</v>
      </c>
      <c r="G852" t="s">
        <v>2</v>
      </c>
      <c r="H852" s="23" t="s">
        <v>91</v>
      </c>
      <c r="I852" s="23">
        <v>15</v>
      </c>
      <c r="J852" s="23">
        <v>9</v>
      </c>
      <c r="K852" s="8">
        <v>0.61</v>
      </c>
      <c r="L852" s="8">
        <v>0.39</v>
      </c>
      <c r="M852">
        <f t="shared" si="13"/>
        <v>6.0999999999999995E-3</v>
      </c>
    </row>
    <row r="853" spans="1:13" x14ac:dyDescent="0.3">
      <c r="A853" s="23" t="s">
        <v>115</v>
      </c>
      <c r="B853" t="s">
        <v>22</v>
      </c>
      <c r="C853" s="38">
        <v>627</v>
      </c>
      <c r="D853" s="7">
        <v>45769</v>
      </c>
      <c r="E853" s="38">
        <v>1350</v>
      </c>
      <c r="F853" s="39">
        <v>4.313E-3</v>
      </c>
      <c r="G853" t="s">
        <v>3</v>
      </c>
      <c r="H853" s="23" t="s">
        <v>91</v>
      </c>
      <c r="I853" s="23">
        <v>9</v>
      </c>
      <c r="J853" s="23">
        <v>67</v>
      </c>
      <c r="K853" s="8">
        <v>0.21</v>
      </c>
      <c r="L853" s="8">
        <v>0.79</v>
      </c>
      <c r="M853">
        <f t="shared" si="13"/>
        <v>2.0999999999999999E-3</v>
      </c>
    </row>
    <row r="854" spans="1:13" x14ac:dyDescent="0.3">
      <c r="A854" s="23" t="s">
        <v>115</v>
      </c>
      <c r="B854" t="s">
        <v>21</v>
      </c>
      <c r="C854" s="38">
        <v>692</v>
      </c>
      <c r="D854" s="7">
        <v>101841</v>
      </c>
      <c r="E854" s="38">
        <v>706</v>
      </c>
      <c r="F854" s="39">
        <v>2.287E-3</v>
      </c>
      <c r="G854" t="s">
        <v>0</v>
      </c>
      <c r="H854" s="23" t="s">
        <v>91</v>
      </c>
      <c r="I854" s="23">
        <v>21</v>
      </c>
      <c r="J854" s="23">
        <v>69</v>
      </c>
      <c r="K854" s="8">
        <v>0.23</v>
      </c>
      <c r="L854" s="8">
        <v>0.77</v>
      </c>
      <c r="M854">
        <f t="shared" si="13"/>
        <v>2.3E-3</v>
      </c>
    </row>
    <row r="855" spans="1:13" x14ac:dyDescent="0.3">
      <c r="A855" s="23" t="s">
        <v>115</v>
      </c>
      <c r="B855" t="s">
        <v>21</v>
      </c>
      <c r="C855" s="38">
        <v>854</v>
      </c>
      <c r="D855" s="7">
        <v>47123</v>
      </c>
      <c r="E855" s="38">
        <v>2072</v>
      </c>
      <c r="F855" s="39">
        <v>5.803E-3</v>
      </c>
      <c r="G855" t="s">
        <v>1</v>
      </c>
      <c r="H855" s="23" t="s">
        <v>91</v>
      </c>
      <c r="I855" s="23">
        <v>2</v>
      </c>
      <c r="J855" s="23">
        <v>50</v>
      </c>
      <c r="K855" s="8">
        <v>0.63</v>
      </c>
      <c r="L855" s="8">
        <v>0.37</v>
      </c>
      <c r="M855">
        <f t="shared" si="13"/>
        <v>6.3E-3</v>
      </c>
    </row>
    <row r="856" spans="1:13" x14ac:dyDescent="0.3">
      <c r="A856" s="23" t="s">
        <v>115</v>
      </c>
      <c r="B856" t="s">
        <v>21</v>
      </c>
      <c r="C856" s="38">
        <v>696</v>
      </c>
      <c r="D856" s="7">
        <v>76112</v>
      </c>
      <c r="E856" s="38">
        <v>1028</v>
      </c>
      <c r="F856" s="39">
        <v>1.5020000000000001E-3</v>
      </c>
      <c r="G856" t="s">
        <v>2</v>
      </c>
      <c r="H856" s="23" t="s">
        <v>91</v>
      </c>
      <c r="I856" s="23">
        <v>3</v>
      </c>
      <c r="J856" s="23">
        <v>12</v>
      </c>
      <c r="K856" s="8">
        <v>0.31</v>
      </c>
      <c r="L856" s="8">
        <v>0.69</v>
      </c>
      <c r="M856">
        <f t="shared" si="13"/>
        <v>3.0999999999999999E-3</v>
      </c>
    </row>
    <row r="857" spans="1:13" x14ac:dyDescent="0.3">
      <c r="A857" s="23" t="s">
        <v>115</v>
      </c>
      <c r="B857" t="s">
        <v>21</v>
      </c>
      <c r="C857" s="38">
        <v>857</v>
      </c>
      <c r="D857" s="7">
        <v>21394</v>
      </c>
      <c r="E857" s="38">
        <v>2395</v>
      </c>
      <c r="F857" s="39">
        <v>1.5969999999999999E-3</v>
      </c>
      <c r="G857" t="s">
        <v>3</v>
      </c>
      <c r="H857" s="23" t="s">
        <v>91</v>
      </c>
      <c r="I857" s="23">
        <v>21</v>
      </c>
      <c r="J857" s="23">
        <v>17</v>
      </c>
      <c r="K857" s="8">
        <v>0.6</v>
      </c>
      <c r="L857" s="8">
        <v>0.4</v>
      </c>
      <c r="M857">
        <f t="shared" si="13"/>
        <v>6.0000000000000001E-3</v>
      </c>
    </row>
    <row r="858" spans="1:13" x14ac:dyDescent="0.3">
      <c r="A858" s="23" t="s">
        <v>115</v>
      </c>
      <c r="B858" t="s">
        <v>23</v>
      </c>
      <c r="C858" s="38">
        <v>1133</v>
      </c>
      <c r="D858" s="7">
        <v>16198</v>
      </c>
      <c r="E858" s="38">
        <v>2626</v>
      </c>
      <c r="F858" s="39">
        <v>2.1549999999999998E-3</v>
      </c>
      <c r="G858" t="s">
        <v>0</v>
      </c>
      <c r="H858" s="23" t="s">
        <v>91</v>
      </c>
      <c r="I858" s="23">
        <v>21</v>
      </c>
      <c r="J858" s="23">
        <v>1</v>
      </c>
      <c r="K858" s="8">
        <v>0.87</v>
      </c>
      <c r="L858" s="8">
        <v>0.13</v>
      </c>
      <c r="M858">
        <f t="shared" si="13"/>
        <v>8.6999999999999994E-3</v>
      </c>
    </row>
    <row r="859" spans="1:13" x14ac:dyDescent="0.3">
      <c r="A859" s="23" t="s">
        <v>115</v>
      </c>
      <c r="B859" t="s">
        <v>23</v>
      </c>
      <c r="C859" s="38">
        <v>954</v>
      </c>
      <c r="D859" s="7">
        <v>56582</v>
      </c>
      <c r="E859" s="38">
        <v>2047</v>
      </c>
      <c r="F859" s="39">
        <v>1.792E-3</v>
      </c>
      <c r="G859" t="s">
        <v>1</v>
      </c>
      <c r="H859" s="23" t="s">
        <v>91</v>
      </c>
      <c r="I859" s="23">
        <v>11</v>
      </c>
      <c r="J859" s="23">
        <v>61</v>
      </c>
      <c r="K859" s="8">
        <v>0.19</v>
      </c>
      <c r="L859" s="8">
        <v>0.81</v>
      </c>
      <c r="M859">
        <f t="shared" si="13"/>
        <v>1.9E-3</v>
      </c>
    </row>
    <row r="860" spans="1:13" x14ac:dyDescent="0.3">
      <c r="A860" s="23" t="s">
        <v>115</v>
      </c>
      <c r="B860" t="s">
        <v>23</v>
      </c>
      <c r="C860" s="38">
        <v>751</v>
      </c>
      <c r="D860" s="7">
        <v>5417</v>
      </c>
      <c r="E860" s="38">
        <v>1364</v>
      </c>
      <c r="F860" s="39">
        <v>2.9840000000000001E-3</v>
      </c>
      <c r="G860" t="s">
        <v>2</v>
      </c>
      <c r="H860" s="23" t="s">
        <v>91</v>
      </c>
      <c r="I860" s="23">
        <v>22</v>
      </c>
      <c r="J860" s="23">
        <v>47</v>
      </c>
      <c r="K860" s="8">
        <v>0.56999999999999995</v>
      </c>
      <c r="L860" s="8">
        <v>0.43000000000000005</v>
      </c>
      <c r="M860">
        <f t="shared" si="13"/>
        <v>5.6999999999999993E-3</v>
      </c>
    </row>
    <row r="861" spans="1:13" x14ac:dyDescent="0.3">
      <c r="A861" s="23" t="s">
        <v>115</v>
      </c>
      <c r="B861" t="s">
        <v>23</v>
      </c>
      <c r="C861" s="38">
        <v>572</v>
      </c>
      <c r="D861" s="7">
        <v>45802</v>
      </c>
      <c r="E861" s="38">
        <v>786</v>
      </c>
      <c r="F861" s="39">
        <v>5.0889999999999998E-3</v>
      </c>
      <c r="G861" t="s">
        <v>3</v>
      </c>
      <c r="H861" s="23" t="s">
        <v>91</v>
      </c>
      <c r="I861" s="23">
        <v>18</v>
      </c>
      <c r="J861" s="23">
        <v>40</v>
      </c>
      <c r="K861" s="8">
        <v>0.46</v>
      </c>
      <c r="L861" s="8">
        <v>0.54</v>
      </c>
      <c r="M861">
        <f t="shared" si="13"/>
        <v>4.5999999999999999E-3</v>
      </c>
    </row>
    <row r="862" spans="1:13" x14ac:dyDescent="0.3">
      <c r="A862" s="23" t="s">
        <v>115</v>
      </c>
      <c r="B862" t="s">
        <v>24</v>
      </c>
      <c r="C862" s="38">
        <v>155</v>
      </c>
      <c r="D862" s="7">
        <v>17443</v>
      </c>
      <c r="E862" s="38">
        <v>226</v>
      </c>
      <c r="F862" s="39">
        <v>1.4729999999999999E-3</v>
      </c>
      <c r="G862" t="s">
        <v>0</v>
      </c>
      <c r="H862" s="23" t="s">
        <v>91</v>
      </c>
      <c r="I862" s="23">
        <v>19</v>
      </c>
      <c r="J862" s="23">
        <v>37</v>
      </c>
      <c r="K862" s="8">
        <v>0.59</v>
      </c>
      <c r="L862" s="8">
        <v>0.41000000000000003</v>
      </c>
      <c r="M862">
        <f t="shared" si="13"/>
        <v>5.8999999999999999E-3</v>
      </c>
    </row>
    <row r="863" spans="1:13" x14ac:dyDescent="0.3">
      <c r="A863" s="23" t="s">
        <v>115</v>
      </c>
      <c r="B863" t="s">
        <v>24</v>
      </c>
      <c r="C863" s="38">
        <v>116</v>
      </c>
      <c r="D863" s="7">
        <v>16542</v>
      </c>
      <c r="E863" s="38">
        <v>287</v>
      </c>
      <c r="F863" s="39">
        <v>3.326E-3</v>
      </c>
      <c r="G863" t="s">
        <v>1</v>
      </c>
      <c r="H863" s="23" t="s">
        <v>91</v>
      </c>
      <c r="I863" s="23">
        <v>20</v>
      </c>
      <c r="J863" s="23">
        <v>75</v>
      </c>
      <c r="K863" s="8">
        <v>0.67</v>
      </c>
      <c r="L863" s="8">
        <v>0.32999999999999996</v>
      </c>
      <c r="M863">
        <f t="shared" si="13"/>
        <v>6.7000000000000002E-3</v>
      </c>
    </row>
    <row r="864" spans="1:13" x14ac:dyDescent="0.3">
      <c r="A864" s="23" t="s">
        <v>115</v>
      </c>
      <c r="B864" t="s">
        <v>24</v>
      </c>
      <c r="C864" s="38">
        <v>132</v>
      </c>
      <c r="D864" s="7">
        <v>11177</v>
      </c>
      <c r="E864" s="38">
        <v>209</v>
      </c>
      <c r="F864" s="39">
        <v>1.196E-3</v>
      </c>
      <c r="G864" t="s">
        <v>2</v>
      </c>
      <c r="H864" s="23" t="s">
        <v>91</v>
      </c>
      <c r="I864" s="23">
        <v>17</v>
      </c>
      <c r="J864" s="23">
        <v>40</v>
      </c>
      <c r="K864" s="8">
        <v>0.24</v>
      </c>
      <c r="L864" s="8">
        <v>0.76</v>
      </c>
      <c r="M864">
        <f t="shared" si="13"/>
        <v>2.3999999999999998E-3</v>
      </c>
    </row>
    <row r="865" spans="1:13" x14ac:dyDescent="0.3">
      <c r="A865" s="23" t="s">
        <v>115</v>
      </c>
      <c r="B865" t="s">
        <v>24</v>
      </c>
      <c r="C865" s="38">
        <v>92</v>
      </c>
      <c r="D865" s="7">
        <v>10276</v>
      </c>
      <c r="E865" s="38">
        <v>270</v>
      </c>
      <c r="F865" s="39">
        <v>9.3999999999999997E-4</v>
      </c>
      <c r="G865" t="s">
        <v>3</v>
      </c>
      <c r="H865" s="23" t="s">
        <v>91</v>
      </c>
      <c r="I865" s="23">
        <v>6</v>
      </c>
      <c r="J865" s="23">
        <v>73</v>
      </c>
      <c r="K865" s="8">
        <v>0.47</v>
      </c>
      <c r="L865" s="8">
        <v>0.53</v>
      </c>
      <c r="M865">
        <f t="shared" si="13"/>
        <v>4.6999999999999993E-3</v>
      </c>
    </row>
    <row r="866" spans="1:13" x14ac:dyDescent="0.3">
      <c r="I866" s="23"/>
      <c r="J866" s="23"/>
    </row>
    <row r="867" spans="1:13" x14ac:dyDescent="0.3">
      <c r="I867" s="23"/>
      <c r="J867" s="23"/>
    </row>
    <row r="868" spans="1:13" x14ac:dyDescent="0.3">
      <c r="I868" s="23"/>
      <c r="J868" s="23"/>
    </row>
    <row r="869" spans="1:13" x14ac:dyDescent="0.3">
      <c r="I869" s="23"/>
      <c r="J869" s="23"/>
    </row>
    <row r="870" spans="1:13" x14ac:dyDescent="0.3">
      <c r="I870" s="23"/>
      <c r="J870" s="23"/>
    </row>
    <row r="871" spans="1:13" x14ac:dyDescent="0.3">
      <c r="I871" s="23"/>
      <c r="J871" s="23"/>
    </row>
    <row r="872" spans="1:13" x14ac:dyDescent="0.3">
      <c r="I872" s="23"/>
      <c r="J872" s="23"/>
    </row>
    <row r="873" spans="1:13" x14ac:dyDescent="0.3">
      <c r="I873" s="23"/>
      <c r="J873" s="23"/>
    </row>
    <row r="874" spans="1:13" x14ac:dyDescent="0.3">
      <c r="I874" s="23"/>
      <c r="J874" s="23"/>
    </row>
    <row r="875" spans="1:13" x14ac:dyDescent="0.3">
      <c r="I875" s="23"/>
      <c r="J875" s="23"/>
    </row>
    <row r="876" spans="1:13" x14ac:dyDescent="0.3">
      <c r="I876" s="23"/>
      <c r="J876" s="23"/>
    </row>
    <row r="877" spans="1:13" x14ac:dyDescent="0.3">
      <c r="I877" s="23"/>
      <c r="J877" s="23"/>
    </row>
    <row r="878" spans="1:13" x14ac:dyDescent="0.3">
      <c r="I878" s="23"/>
      <c r="J878" s="23"/>
    </row>
    <row r="879" spans="1:13" x14ac:dyDescent="0.3">
      <c r="I879" s="23"/>
      <c r="J879" s="23"/>
    </row>
    <row r="880" spans="1:13" x14ac:dyDescent="0.3">
      <c r="I880" s="23"/>
      <c r="J880" s="23"/>
    </row>
    <row r="881" spans="9:10" x14ac:dyDescent="0.3">
      <c r="I881" s="23"/>
      <c r="J881" s="23"/>
    </row>
    <row r="882" spans="9:10" x14ac:dyDescent="0.3">
      <c r="I882" s="23"/>
      <c r="J882" s="23"/>
    </row>
    <row r="883" spans="9:10" x14ac:dyDescent="0.3">
      <c r="I883" s="23"/>
      <c r="J883" s="23"/>
    </row>
    <row r="884" spans="9:10" x14ac:dyDescent="0.3">
      <c r="I884" s="23"/>
      <c r="J884" s="23"/>
    </row>
    <row r="885" spans="9:10" x14ac:dyDescent="0.3">
      <c r="I885" s="23"/>
      <c r="J885" s="23"/>
    </row>
    <row r="886" spans="9:10" x14ac:dyDescent="0.3">
      <c r="I886" s="23"/>
      <c r="J886" s="23"/>
    </row>
    <row r="887" spans="9:10" x14ac:dyDescent="0.3">
      <c r="I887" s="23"/>
      <c r="J887" s="23"/>
    </row>
    <row r="888" spans="9:10" x14ac:dyDescent="0.3">
      <c r="I888" s="23"/>
      <c r="J888" s="23"/>
    </row>
    <row r="889" spans="9:10" x14ac:dyDescent="0.3">
      <c r="I889" s="23"/>
      <c r="J889" s="23"/>
    </row>
    <row r="890" spans="9:10" x14ac:dyDescent="0.3">
      <c r="I890" s="23"/>
      <c r="J890" s="23"/>
    </row>
    <row r="891" spans="9:10" x14ac:dyDescent="0.3">
      <c r="I891" s="23"/>
      <c r="J891" s="23"/>
    </row>
    <row r="892" spans="9:10" x14ac:dyDescent="0.3">
      <c r="I892" s="23"/>
      <c r="J892" s="23"/>
    </row>
    <row r="893" spans="9:10" x14ac:dyDescent="0.3">
      <c r="I893" s="23"/>
      <c r="J893" s="23"/>
    </row>
    <row r="894" spans="9:10" x14ac:dyDescent="0.3">
      <c r="I894" s="23"/>
      <c r="J894" s="23"/>
    </row>
    <row r="895" spans="9:10" x14ac:dyDescent="0.3">
      <c r="I895" s="23"/>
      <c r="J895" s="23"/>
    </row>
    <row r="896" spans="9:10" x14ac:dyDescent="0.3">
      <c r="I896" s="23"/>
      <c r="J896" s="23"/>
    </row>
    <row r="897" spans="9:10" x14ac:dyDescent="0.3">
      <c r="I897" s="23"/>
      <c r="J897" s="23"/>
    </row>
    <row r="898" spans="9:10" x14ac:dyDescent="0.3">
      <c r="I898" s="23"/>
      <c r="J898" s="23"/>
    </row>
    <row r="899" spans="9:10" x14ac:dyDescent="0.3">
      <c r="I899" s="23"/>
      <c r="J899" s="23"/>
    </row>
    <row r="900" spans="9:10" x14ac:dyDescent="0.3">
      <c r="I900" s="23"/>
      <c r="J900" s="23"/>
    </row>
    <row r="901" spans="9:10" x14ac:dyDescent="0.3">
      <c r="I901" s="23"/>
      <c r="J901" s="23"/>
    </row>
    <row r="902" spans="9:10" x14ac:dyDescent="0.3">
      <c r="I902" s="23"/>
      <c r="J902" s="23"/>
    </row>
    <row r="903" spans="9:10" x14ac:dyDescent="0.3">
      <c r="I903" s="23"/>
      <c r="J903" s="23"/>
    </row>
    <row r="904" spans="9:10" x14ac:dyDescent="0.3">
      <c r="I904" s="23"/>
      <c r="J904" s="23"/>
    </row>
    <row r="905" spans="9:10" x14ac:dyDescent="0.3">
      <c r="I905" s="23"/>
      <c r="J905" s="23"/>
    </row>
    <row r="906" spans="9:10" x14ac:dyDescent="0.3">
      <c r="I906" s="23"/>
      <c r="J906" s="23"/>
    </row>
    <row r="907" spans="9:10" x14ac:dyDescent="0.3">
      <c r="I907" s="23"/>
      <c r="J907" s="23"/>
    </row>
    <row r="908" spans="9:10" x14ac:dyDescent="0.3">
      <c r="I908" s="23"/>
      <c r="J908" s="23"/>
    </row>
    <row r="909" spans="9:10" x14ac:dyDescent="0.3">
      <c r="I909" s="23"/>
      <c r="J909" s="23"/>
    </row>
    <row r="910" spans="9:10" x14ac:dyDescent="0.3">
      <c r="I910" s="23"/>
      <c r="J910" s="23"/>
    </row>
    <row r="911" spans="9:10" x14ac:dyDescent="0.3">
      <c r="I911" s="23"/>
      <c r="J911" s="23"/>
    </row>
    <row r="912" spans="9:10" x14ac:dyDescent="0.3">
      <c r="I912" s="23"/>
      <c r="J912" s="23"/>
    </row>
    <row r="913" spans="9:10" x14ac:dyDescent="0.3">
      <c r="I913" s="23"/>
      <c r="J913" s="23"/>
    </row>
    <row r="914" spans="9:10" x14ac:dyDescent="0.3">
      <c r="I914" s="23"/>
      <c r="J914" s="23"/>
    </row>
    <row r="915" spans="9:10" x14ac:dyDescent="0.3">
      <c r="I915" s="23"/>
      <c r="J915" s="23"/>
    </row>
    <row r="916" spans="9:10" x14ac:dyDescent="0.3">
      <c r="I916" s="23"/>
      <c r="J916" s="23"/>
    </row>
    <row r="917" spans="9:10" x14ac:dyDescent="0.3">
      <c r="I917" s="23"/>
      <c r="J917" s="23"/>
    </row>
    <row r="918" spans="9:10" x14ac:dyDescent="0.3">
      <c r="I918" s="23"/>
      <c r="J918" s="23"/>
    </row>
    <row r="919" spans="9:10" x14ac:dyDescent="0.3">
      <c r="I919" s="23"/>
      <c r="J919" s="23"/>
    </row>
    <row r="920" spans="9:10" x14ac:dyDescent="0.3">
      <c r="I920" s="23"/>
      <c r="J920" s="23"/>
    </row>
    <row r="921" spans="9:10" x14ac:dyDescent="0.3">
      <c r="I921" s="23"/>
      <c r="J921" s="23"/>
    </row>
    <row r="922" spans="9:10" x14ac:dyDescent="0.3">
      <c r="I922" s="23"/>
      <c r="J922" s="23"/>
    </row>
    <row r="923" spans="9:10" x14ac:dyDescent="0.3">
      <c r="I923" s="23"/>
      <c r="J923" s="23"/>
    </row>
    <row r="924" spans="9:10" x14ac:dyDescent="0.3">
      <c r="I924" s="23"/>
      <c r="J924" s="23"/>
    </row>
    <row r="925" spans="9:10" x14ac:dyDescent="0.3">
      <c r="I925" s="23"/>
      <c r="J925" s="23"/>
    </row>
    <row r="926" spans="9:10" x14ac:dyDescent="0.3">
      <c r="I926" s="23"/>
      <c r="J926" s="23"/>
    </row>
    <row r="927" spans="9:10" x14ac:dyDescent="0.3">
      <c r="I927" s="23"/>
      <c r="J927" s="23"/>
    </row>
    <row r="928" spans="9:10" x14ac:dyDescent="0.3">
      <c r="I928" s="23"/>
      <c r="J928" s="23"/>
    </row>
    <row r="929" spans="9:10" x14ac:dyDescent="0.3">
      <c r="I929" s="23"/>
      <c r="J929" s="23"/>
    </row>
    <row r="930" spans="9:10" x14ac:dyDescent="0.3">
      <c r="I930" s="23"/>
      <c r="J930" s="23"/>
    </row>
    <row r="931" spans="9:10" x14ac:dyDescent="0.3">
      <c r="I931" s="23"/>
      <c r="J931" s="23"/>
    </row>
    <row r="932" spans="9:10" x14ac:dyDescent="0.3">
      <c r="I932" s="23"/>
      <c r="J932" s="23"/>
    </row>
    <row r="933" spans="9:10" x14ac:dyDescent="0.3">
      <c r="I933" s="23"/>
      <c r="J933" s="23"/>
    </row>
    <row r="934" spans="9:10" x14ac:dyDescent="0.3">
      <c r="I934" s="23"/>
      <c r="J934" s="23"/>
    </row>
    <row r="935" spans="9:10" x14ac:dyDescent="0.3">
      <c r="I935" s="23"/>
      <c r="J935" s="23"/>
    </row>
    <row r="936" spans="9:10" x14ac:dyDescent="0.3">
      <c r="I936" s="23"/>
      <c r="J936" s="23"/>
    </row>
    <row r="937" spans="9:10" x14ac:dyDescent="0.3">
      <c r="I937" s="23"/>
      <c r="J937" s="23"/>
    </row>
    <row r="938" spans="9:10" x14ac:dyDescent="0.3">
      <c r="I938" s="23"/>
      <c r="J938" s="23"/>
    </row>
    <row r="939" spans="9:10" x14ac:dyDescent="0.3">
      <c r="I939" s="23"/>
      <c r="J939" s="23"/>
    </row>
    <row r="940" spans="9:10" x14ac:dyDescent="0.3">
      <c r="I940" s="23"/>
      <c r="J940" s="23"/>
    </row>
    <row r="941" spans="9:10" x14ac:dyDescent="0.3">
      <c r="I941" s="23"/>
      <c r="J941" s="23"/>
    </row>
    <row r="942" spans="9:10" x14ac:dyDescent="0.3">
      <c r="I942" s="23"/>
      <c r="J942" s="23"/>
    </row>
    <row r="943" spans="9:10" x14ac:dyDescent="0.3">
      <c r="I943" s="23"/>
      <c r="J943" s="23"/>
    </row>
    <row r="944" spans="9:10" x14ac:dyDescent="0.3">
      <c r="I944" s="23"/>
      <c r="J944" s="23"/>
    </row>
    <row r="945" spans="9:10" x14ac:dyDescent="0.3">
      <c r="I945" s="23"/>
      <c r="J945" s="23"/>
    </row>
    <row r="946" spans="9:10" x14ac:dyDescent="0.3">
      <c r="I946" s="23"/>
      <c r="J946" s="23"/>
    </row>
    <row r="947" spans="9:10" x14ac:dyDescent="0.3">
      <c r="I947" s="23"/>
      <c r="J947" s="23"/>
    </row>
    <row r="948" spans="9:10" x14ac:dyDescent="0.3">
      <c r="I948" s="23"/>
      <c r="J948" s="23"/>
    </row>
    <row r="949" spans="9:10" x14ac:dyDescent="0.3">
      <c r="I949" s="23"/>
      <c r="J949" s="23"/>
    </row>
    <row r="950" spans="9:10" x14ac:dyDescent="0.3">
      <c r="I950" s="23"/>
      <c r="J950" s="23"/>
    </row>
    <row r="951" spans="9:10" x14ac:dyDescent="0.3">
      <c r="I951" s="23"/>
      <c r="J951" s="23"/>
    </row>
    <row r="952" spans="9:10" x14ac:dyDescent="0.3">
      <c r="I952" s="23"/>
      <c r="J952" s="23"/>
    </row>
    <row r="953" spans="9:10" x14ac:dyDescent="0.3">
      <c r="I953" s="23"/>
      <c r="J953" s="23"/>
    </row>
    <row r="954" spans="9:10" x14ac:dyDescent="0.3">
      <c r="I954" s="23"/>
      <c r="J954" s="23"/>
    </row>
    <row r="955" spans="9:10" x14ac:dyDescent="0.3">
      <c r="I955" s="23"/>
      <c r="J955" s="23"/>
    </row>
    <row r="956" spans="9:10" x14ac:dyDescent="0.3">
      <c r="I956" s="23"/>
      <c r="J956" s="23"/>
    </row>
    <row r="957" spans="9:10" x14ac:dyDescent="0.3">
      <c r="I957" s="23"/>
      <c r="J957" s="23"/>
    </row>
    <row r="958" spans="9:10" x14ac:dyDescent="0.3">
      <c r="I958" s="23"/>
      <c r="J958" s="23"/>
    </row>
    <row r="959" spans="9:10" x14ac:dyDescent="0.3">
      <c r="I959" s="23"/>
      <c r="J959" s="23"/>
    </row>
    <row r="960" spans="9:10" x14ac:dyDescent="0.3">
      <c r="I960" s="23"/>
      <c r="J960" s="23"/>
    </row>
    <row r="961" spans="9:10" x14ac:dyDescent="0.3">
      <c r="I961" s="23"/>
      <c r="J961" s="23"/>
    </row>
  </sheetData>
  <mergeCells count="1">
    <mergeCell ref="N1:Y1"/>
  </mergeCells>
  <phoneticPr fontId="4" type="noConversion"/>
  <hyperlinks>
    <hyperlink ref="N1" r:id="rId1" xr:uid="{E1B96B44-C20C-49F1-9733-4061520FCCE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947C-D2AE-4DFA-AFD7-BB3353EC4FA9}">
  <sheetPr codeName="Лист5"/>
  <dimension ref="A1:S193"/>
  <sheetViews>
    <sheetView zoomScaleNormal="100" workbookViewId="0">
      <selection activeCell="H1" sqref="H1:S1"/>
    </sheetView>
  </sheetViews>
  <sheetFormatPr defaultRowHeight="14.4" x14ac:dyDescent="0.3"/>
  <cols>
    <col min="3" max="3" width="15.77734375" bestFit="1" customWidth="1"/>
    <col min="5" max="5" width="14.33203125" bestFit="1" customWidth="1"/>
    <col min="6" max="6" width="13.77734375" bestFit="1" customWidth="1"/>
    <col min="7" max="7" width="13.21875" bestFit="1" customWidth="1"/>
    <col min="8" max="8" width="13.33203125" style="23" bestFit="1" customWidth="1"/>
    <col min="9" max="9" width="15.33203125" style="23" bestFit="1" customWidth="1"/>
  </cols>
  <sheetData>
    <row r="1" spans="1:19" ht="21" x14ac:dyDescent="0.4">
      <c r="A1" s="35" t="s">
        <v>17</v>
      </c>
      <c r="B1" s="35" t="s">
        <v>119</v>
      </c>
      <c r="C1" s="1" t="s">
        <v>117</v>
      </c>
      <c r="D1" s="1" t="s">
        <v>118</v>
      </c>
      <c r="E1" s="35" t="s">
        <v>120</v>
      </c>
      <c r="F1" s="35" t="s">
        <v>121</v>
      </c>
      <c r="G1" s="35" t="s">
        <v>122</v>
      </c>
      <c r="H1" s="54" t="s">
        <v>147</v>
      </c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</row>
    <row r="2" spans="1:19" x14ac:dyDescent="0.3">
      <c r="A2" s="23" t="s">
        <v>104</v>
      </c>
      <c r="B2" s="23" t="s">
        <v>66</v>
      </c>
      <c r="C2" s="36" t="s">
        <v>50</v>
      </c>
      <c r="D2" t="s">
        <v>1</v>
      </c>
      <c r="E2" s="37">
        <v>927.39</v>
      </c>
      <c r="F2" s="37">
        <v>432</v>
      </c>
      <c r="G2" s="37">
        <v>460.7</v>
      </c>
      <c r="H2"/>
      <c r="I2"/>
    </row>
    <row r="3" spans="1:19" x14ac:dyDescent="0.3">
      <c r="A3" s="23" t="s">
        <v>104</v>
      </c>
      <c r="B3" s="23" t="s">
        <v>67</v>
      </c>
      <c r="C3" s="36" t="s">
        <v>51</v>
      </c>
      <c r="D3" t="s">
        <v>1</v>
      </c>
      <c r="E3" s="37">
        <v>982.74</v>
      </c>
      <c r="F3" s="37">
        <v>948.28</v>
      </c>
      <c r="G3" s="37">
        <v>322.75</v>
      </c>
      <c r="H3"/>
      <c r="I3"/>
    </row>
    <row r="4" spans="1:19" x14ac:dyDescent="0.3">
      <c r="A4" s="23" t="s">
        <v>104</v>
      </c>
      <c r="B4" s="23" t="s">
        <v>68</v>
      </c>
      <c r="C4" s="36" t="s">
        <v>52</v>
      </c>
      <c r="D4" t="s">
        <v>1</v>
      </c>
      <c r="E4" s="37">
        <v>1013.26</v>
      </c>
      <c r="F4" s="37">
        <v>82.22</v>
      </c>
      <c r="G4" s="37">
        <v>300.75</v>
      </c>
      <c r="H4"/>
      <c r="I4"/>
    </row>
    <row r="5" spans="1:19" x14ac:dyDescent="0.3">
      <c r="A5" s="23" t="s">
        <v>104</v>
      </c>
      <c r="B5" s="23" t="s">
        <v>69</v>
      </c>
      <c r="C5" s="36" t="s">
        <v>53</v>
      </c>
      <c r="D5" t="s">
        <v>1</v>
      </c>
      <c r="E5" s="37">
        <v>1068.6099999999999</v>
      </c>
      <c r="F5" s="37">
        <v>598.5</v>
      </c>
      <c r="G5" s="37">
        <v>162.80000000000001</v>
      </c>
      <c r="H5"/>
      <c r="I5"/>
    </row>
    <row r="6" spans="1:19" x14ac:dyDescent="0.3">
      <c r="A6" s="23" t="s">
        <v>104</v>
      </c>
      <c r="B6" s="23" t="s">
        <v>62</v>
      </c>
      <c r="C6" s="36" t="s">
        <v>46</v>
      </c>
      <c r="D6" t="s">
        <v>0</v>
      </c>
      <c r="E6" s="37">
        <v>1162.81</v>
      </c>
      <c r="F6" s="37">
        <v>1104.06</v>
      </c>
      <c r="G6" s="37">
        <v>793.72</v>
      </c>
      <c r="H6"/>
      <c r="I6"/>
    </row>
    <row r="7" spans="1:19" x14ac:dyDescent="0.3">
      <c r="A7" s="23" t="s">
        <v>104</v>
      </c>
      <c r="B7" s="23" t="s">
        <v>63</v>
      </c>
      <c r="C7" s="36" t="s">
        <v>47</v>
      </c>
      <c r="D7" t="s">
        <v>0</v>
      </c>
      <c r="E7" s="37">
        <v>910.57</v>
      </c>
      <c r="F7" s="37">
        <v>303.74</v>
      </c>
      <c r="G7" s="37">
        <v>521.67999999999995</v>
      </c>
      <c r="H7"/>
      <c r="I7"/>
    </row>
    <row r="8" spans="1:19" x14ac:dyDescent="0.3">
      <c r="A8" s="23" t="s">
        <v>104</v>
      </c>
      <c r="B8" s="23" t="s">
        <v>64</v>
      </c>
      <c r="C8" s="36" t="s">
        <v>48</v>
      </c>
      <c r="D8" t="s">
        <v>0</v>
      </c>
      <c r="E8" s="37">
        <v>1385.93</v>
      </c>
      <c r="F8" s="37">
        <v>1117.76</v>
      </c>
      <c r="G8" s="37">
        <v>851.32</v>
      </c>
      <c r="H8"/>
      <c r="I8"/>
    </row>
    <row r="9" spans="1:19" x14ac:dyDescent="0.3">
      <c r="A9" s="23" t="s">
        <v>104</v>
      </c>
      <c r="B9" s="23" t="s">
        <v>65</v>
      </c>
      <c r="C9" s="36" t="s">
        <v>49</v>
      </c>
      <c r="D9" t="s">
        <v>0</v>
      </c>
      <c r="E9" s="37">
        <v>1133.69</v>
      </c>
      <c r="F9" s="37">
        <v>317.44</v>
      </c>
      <c r="G9" s="37">
        <v>579.28</v>
      </c>
      <c r="H9"/>
      <c r="I9"/>
    </row>
    <row r="10" spans="1:19" x14ac:dyDescent="0.3">
      <c r="A10" s="23" t="s">
        <v>104</v>
      </c>
      <c r="B10" s="23" t="s">
        <v>70</v>
      </c>
      <c r="C10" s="36" t="s">
        <v>54</v>
      </c>
      <c r="D10" t="s">
        <v>2</v>
      </c>
      <c r="E10" s="37">
        <v>1734.8</v>
      </c>
      <c r="F10" s="37">
        <v>533.41999999999996</v>
      </c>
      <c r="G10" s="37">
        <v>579.9</v>
      </c>
      <c r="H10"/>
      <c r="I10"/>
    </row>
    <row r="11" spans="1:19" x14ac:dyDescent="0.3">
      <c r="A11" s="23" t="s">
        <v>104</v>
      </c>
      <c r="B11" s="23" t="s">
        <v>71</v>
      </c>
      <c r="C11" s="36" t="s">
        <v>55</v>
      </c>
      <c r="D11" t="s">
        <v>2</v>
      </c>
      <c r="E11" s="37">
        <v>1830.49</v>
      </c>
      <c r="F11" s="37">
        <v>650.25</v>
      </c>
      <c r="G11" s="37">
        <v>764.95</v>
      </c>
      <c r="H11"/>
      <c r="I11"/>
    </row>
    <row r="12" spans="1:19" x14ac:dyDescent="0.3">
      <c r="A12" s="23" t="s">
        <v>104</v>
      </c>
      <c r="B12" s="23" t="s">
        <v>72</v>
      </c>
      <c r="C12" s="36" t="s">
        <v>56</v>
      </c>
      <c r="D12" t="s">
        <v>2</v>
      </c>
      <c r="E12" s="37">
        <v>1000.51</v>
      </c>
      <c r="F12" s="37">
        <v>1498.25</v>
      </c>
      <c r="G12" s="37">
        <v>424.55</v>
      </c>
      <c r="H12"/>
      <c r="I12"/>
    </row>
    <row r="13" spans="1:19" x14ac:dyDescent="0.3">
      <c r="A13" s="23" t="s">
        <v>104</v>
      </c>
      <c r="B13" s="23" t="s">
        <v>73</v>
      </c>
      <c r="C13" s="36" t="s">
        <v>57</v>
      </c>
      <c r="D13" t="s">
        <v>2</v>
      </c>
      <c r="E13" s="37">
        <v>1096.2</v>
      </c>
      <c r="F13" s="37">
        <v>1615.08</v>
      </c>
      <c r="G13" s="37">
        <v>609.6</v>
      </c>
      <c r="H13"/>
      <c r="I13"/>
    </row>
    <row r="14" spans="1:19" x14ac:dyDescent="0.3">
      <c r="A14" s="23" t="s">
        <v>104</v>
      </c>
      <c r="B14" s="23" t="s">
        <v>74</v>
      </c>
      <c r="C14" s="36" t="s">
        <v>58</v>
      </c>
      <c r="D14" t="s">
        <v>3</v>
      </c>
      <c r="E14" s="37">
        <v>1003.17</v>
      </c>
      <c r="F14" s="37">
        <v>950.31</v>
      </c>
      <c r="G14" s="37">
        <v>835.03</v>
      </c>
      <c r="H14"/>
      <c r="I14"/>
    </row>
    <row r="15" spans="1:19" x14ac:dyDescent="0.3">
      <c r="A15" s="23" t="s">
        <v>104</v>
      </c>
      <c r="B15" s="23" t="s">
        <v>75</v>
      </c>
      <c r="C15" s="36" t="s">
        <v>59</v>
      </c>
      <c r="D15" t="s">
        <v>3</v>
      </c>
      <c r="E15" s="37">
        <v>993.77</v>
      </c>
      <c r="F15" s="37">
        <v>835.19</v>
      </c>
      <c r="G15" s="37">
        <v>232.9</v>
      </c>
      <c r="H15"/>
      <c r="I15"/>
    </row>
    <row r="16" spans="1:19" x14ac:dyDescent="0.3">
      <c r="A16" s="23" t="s">
        <v>104</v>
      </c>
      <c r="B16" s="23" t="s">
        <v>76</v>
      </c>
      <c r="C16" s="36" t="s">
        <v>60</v>
      </c>
      <c r="D16" t="s">
        <v>3</v>
      </c>
      <c r="E16" s="37">
        <v>1536.23</v>
      </c>
      <c r="F16" s="37">
        <v>922.31</v>
      </c>
      <c r="G16" s="37">
        <v>878.1</v>
      </c>
      <c r="H16"/>
      <c r="I16"/>
    </row>
    <row r="17" spans="1:9" x14ac:dyDescent="0.3">
      <c r="A17" s="23" t="s">
        <v>104</v>
      </c>
      <c r="B17" s="23" t="s">
        <v>77</v>
      </c>
      <c r="C17" s="36" t="s">
        <v>61</v>
      </c>
      <c r="D17" t="s">
        <v>3</v>
      </c>
      <c r="E17" s="37">
        <v>1526.83</v>
      </c>
      <c r="F17" s="37">
        <v>807.19</v>
      </c>
      <c r="G17" s="37">
        <v>275.97000000000003</v>
      </c>
      <c r="H17"/>
      <c r="I17"/>
    </row>
    <row r="18" spans="1:9" x14ac:dyDescent="0.3">
      <c r="A18" s="23" t="s">
        <v>105</v>
      </c>
      <c r="B18" s="23" t="s">
        <v>66</v>
      </c>
      <c r="C18" s="36" t="s">
        <v>50</v>
      </c>
      <c r="D18" t="s">
        <v>1</v>
      </c>
      <c r="E18" s="37">
        <v>2873.95</v>
      </c>
      <c r="F18" s="37">
        <v>1560.14</v>
      </c>
      <c r="G18" s="37">
        <v>294.07</v>
      </c>
      <c r="H18"/>
      <c r="I18"/>
    </row>
    <row r="19" spans="1:9" x14ac:dyDescent="0.3">
      <c r="A19" s="23" t="s">
        <v>105</v>
      </c>
      <c r="B19" s="23" t="s">
        <v>67</v>
      </c>
      <c r="C19" s="36" t="s">
        <v>51</v>
      </c>
      <c r="D19" t="s">
        <v>1</v>
      </c>
      <c r="E19" s="37">
        <v>1483.01</v>
      </c>
      <c r="F19" s="37">
        <v>1391.76</v>
      </c>
      <c r="G19" s="37">
        <v>341.02</v>
      </c>
      <c r="H19"/>
      <c r="I19"/>
    </row>
    <row r="20" spans="1:9" x14ac:dyDescent="0.3">
      <c r="A20" s="23" t="s">
        <v>105</v>
      </c>
      <c r="B20" s="23" t="s">
        <v>68</v>
      </c>
      <c r="C20" s="36" t="s">
        <v>52</v>
      </c>
      <c r="D20" t="s">
        <v>1</v>
      </c>
      <c r="E20" s="37">
        <v>1677.99</v>
      </c>
      <c r="F20" s="37">
        <v>1143.74</v>
      </c>
      <c r="G20" s="37">
        <v>699.98</v>
      </c>
      <c r="H20"/>
      <c r="I20"/>
    </row>
    <row r="21" spans="1:9" x14ac:dyDescent="0.3">
      <c r="A21" s="23" t="s">
        <v>105</v>
      </c>
      <c r="B21" s="23" t="s">
        <v>69</v>
      </c>
      <c r="C21" s="36" t="s">
        <v>53</v>
      </c>
      <c r="D21" t="s">
        <v>1</v>
      </c>
      <c r="E21" s="37">
        <v>287.05</v>
      </c>
      <c r="F21" s="37">
        <v>975.36</v>
      </c>
      <c r="G21" s="37">
        <v>746.93</v>
      </c>
      <c r="H21"/>
      <c r="I21"/>
    </row>
    <row r="22" spans="1:9" x14ac:dyDescent="0.3">
      <c r="A22" s="23" t="s">
        <v>105</v>
      </c>
      <c r="B22" s="23" t="s">
        <v>62</v>
      </c>
      <c r="C22" s="36" t="s">
        <v>46</v>
      </c>
      <c r="D22" t="s">
        <v>0</v>
      </c>
      <c r="E22" s="37">
        <v>3055.21</v>
      </c>
      <c r="F22" s="37">
        <v>454.84</v>
      </c>
      <c r="G22" s="37">
        <v>763.73</v>
      </c>
      <c r="H22"/>
      <c r="I22"/>
    </row>
    <row r="23" spans="1:9" x14ac:dyDescent="0.3">
      <c r="A23" s="23" t="s">
        <v>105</v>
      </c>
      <c r="B23" s="23" t="s">
        <v>63</v>
      </c>
      <c r="C23" s="36" t="s">
        <v>47</v>
      </c>
      <c r="D23" t="s">
        <v>0</v>
      </c>
      <c r="E23" s="37">
        <v>2318.19</v>
      </c>
      <c r="F23" s="37">
        <v>1231.32</v>
      </c>
      <c r="G23" s="37">
        <v>636.24</v>
      </c>
      <c r="H23"/>
      <c r="I23"/>
    </row>
    <row r="24" spans="1:9" x14ac:dyDescent="0.3">
      <c r="A24" s="23" t="s">
        <v>105</v>
      </c>
      <c r="B24" s="23" t="s">
        <v>64</v>
      </c>
      <c r="C24" s="36" t="s">
        <v>48</v>
      </c>
      <c r="D24" t="s">
        <v>0</v>
      </c>
      <c r="E24" s="37">
        <v>1646.81</v>
      </c>
      <c r="F24" s="37">
        <v>552.67999999999995</v>
      </c>
      <c r="G24" s="37">
        <v>919.26</v>
      </c>
      <c r="H24"/>
      <c r="I24"/>
    </row>
    <row r="25" spans="1:9" x14ac:dyDescent="0.3">
      <c r="A25" s="23" t="s">
        <v>105</v>
      </c>
      <c r="B25" s="23" t="s">
        <v>65</v>
      </c>
      <c r="C25" s="36" t="s">
        <v>49</v>
      </c>
      <c r="D25" t="s">
        <v>0</v>
      </c>
      <c r="E25" s="37">
        <v>909.79</v>
      </c>
      <c r="F25" s="37">
        <v>1329.16</v>
      </c>
      <c r="G25" s="37">
        <v>791.77</v>
      </c>
      <c r="H25"/>
      <c r="I25"/>
    </row>
    <row r="26" spans="1:9" x14ac:dyDescent="0.3">
      <c r="A26" s="23" t="s">
        <v>105</v>
      </c>
      <c r="B26" s="23" t="s">
        <v>70</v>
      </c>
      <c r="C26" s="36" t="s">
        <v>54</v>
      </c>
      <c r="D26" t="s">
        <v>2</v>
      </c>
      <c r="E26" s="37">
        <v>417.52</v>
      </c>
      <c r="F26" s="37">
        <v>1592.58</v>
      </c>
      <c r="G26" s="37">
        <v>404.53</v>
      </c>
      <c r="H26"/>
      <c r="I26"/>
    </row>
    <row r="27" spans="1:9" x14ac:dyDescent="0.3">
      <c r="A27" s="23" t="s">
        <v>105</v>
      </c>
      <c r="B27" s="23" t="s">
        <v>71</v>
      </c>
      <c r="C27" s="36" t="s">
        <v>55</v>
      </c>
      <c r="D27" t="s">
        <v>2</v>
      </c>
      <c r="E27" s="37">
        <v>1533.93</v>
      </c>
      <c r="F27" s="37">
        <v>1153.52</v>
      </c>
      <c r="G27" s="37">
        <v>1148.47</v>
      </c>
      <c r="H27"/>
      <c r="I27"/>
    </row>
    <row r="28" spans="1:9" x14ac:dyDescent="0.3">
      <c r="A28" s="23" t="s">
        <v>105</v>
      </c>
      <c r="B28" s="23" t="s">
        <v>72</v>
      </c>
      <c r="C28" s="36" t="s">
        <v>56</v>
      </c>
      <c r="D28" t="s">
        <v>2</v>
      </c>
      <c r="E28" s="37">
        <v>1694.57</v>
      </c>
      <c r="F28" s="37">
        <v>1124.98</v>
      </c>
      <c r="G28" s="37">
        <v>850.03</v>
      </c>
      <c r="H28"/>
      <c r="I28"/>
    </row>
    <row r="29" spans="1:9" x14ac:dyDescent="0.3">
      <c r="A29" s="23" t="s">
        <v>105</v>
      </c>
      <c r="B29" s="23" t="s">
        <v>73</v>
      </c>
      <c r="C29" s="36" t="s">
        <v>57</v>
      </c>
      <c r="D29" t="s">
        <v>2</v>
      </c>
      <c r="E29" s="37">
        <v>2810.98</v>
      </c>
      <c r="F29" s="37">
        <v>685.92</v>
      </c>
      <c r="G29" s="37">
        <v>1593.97</v>
      </c>
      <c r="H29"/>
      <c r="I29"/>
    </row>
    <row r="30" spans="1:9" x14ac:dyDescent="0.3">
      <c r="A30" s="23" t="s">
        <v>105</v>
      </c>
      <c r="B30" s="23" t="s">
        <v>74</v>
      </c>
      <c r="C30" s="36" t="s">
        <v>58</v>
      </c>
      <c r="D30" t="s">
        <v>3</v>
      </c>
      <c r="E30" s="37">
        <v>813.63</v>
      </c>
      <c r="F30" s="37">
        <v>1503.31</v>
      </c>
      <c r="G30" s="37">
        <v>708.72</v>
      </c>
      <c r="H30"/>
      <c r="I30"/>
    </row>
    <row r="31" spans="1:9" x14ac:dyDescent="0.3">
      <c r="A31" s="23" t="s">
        <v>105</v>
      </c>
      <c r="B31" s="23" t="s">
        <v>75</v>
      </c>
      <c r="C31" s="36" t="s">
        <v>59</v>
      </c>
      <c r="D31" t="s">
        <v>3</v>
      </c>
      <c r="E31" s="37">
        <v>1411.08</v>
      </c>
      <c r="F31" s="37">
        <v>1074.5999999999999</v>
      </c>
      <c r="G31" s="37">
        <v>989.38</v>
      </c>
      <c r="H31"/>
      <c r="I31"/>
    </row>
    <row r="32" spans="1:9" x14ac:dyDescent="0.3">
      <c r="A32" s="23" t="s">
        <v>105</v>
      </c>
      <c r="B32" s="23" t="s">
        <v>76</v>
      </c>
      <c r="C32" s="36" t="s">
        <v>60</v>
      </c>
      <c r="D32" t="s">
        <v>3</v>
      </c>
      <c r="E32" s="37">
        <v>1013.92</v>
      </c>
      <c r="F32" s="37">
        <v>1955.4</v>
      </c>
      <c r="G32" s="37">
        <v>708.62</v>
      </c>
      <c r="H32"/>
      <c r="I32"/>
    </row>
    <row r="33" spans="1:9" x14ac:dyDescent="0.3">
      <c r="A33" s="23" t="s">
        <v>105</v>
      </c>
      <c r="B33" s="23" t="s">
        <v>77</v>
      </c>
      <c r="C33" s="36" t="s">
        <v>61</v>
      </c>
      <c r="D33" t="s">
        <v>3</v>
      </c>
      <c r="E33" s="37">
        <v>1611.37</v>
      </c>
      <c r="F33" s="37">
        <v>1526.69</v>
      </c>
      <c r="G33" s="37">
        <v>989.28</v>
      </c>
      <c r="H33"/>
      <c r="I33"/>
    </row>
    <row r="34" spans="1:9" x14ac:dyDescent="0.3">
      <c r="A34" s="23" t="s">
        <v>106</v>
      </c>
      <c r="B34" s="23" t="s">
        <v>66</v>
      </c>
      <c r="C34" s="36" t="s">
        <v>50</v>
      </c>
      <c r="D34" t="s">
        <v>1</v>
      </c>
      <c r="E34" s="37">
        <v>592.24</v>
      </c>
      <c r="F34" s="37">
        <v>648.71</v>
      </c>
      <c r="G34" s="37">
        <v>377.67</v>
      </c>
      <c r="H34"/>
      <c r="I34"/>
    </row>
    <row r="35" spans="1:9" x14ac:dyDescent="0.3">
      <c r="A35" s="23" t="s">
        <v>106</v>
      </c>
      <c r="B35" s="23" t="s">
        <v>67</v>
      </c>
      <c r="C35" s="36" t="s">
        <v>51</v>
      </c>
      <c r="D35" t="s">
        <v>1</v>
      </c>
      <c r="E35" s="37">
        <v>874.51</v>
      </c>
      <c r="F35" s="37">
        <v>457.68</v>
      </c>
      <c r="G35" s="37">
        <v>994.53</v>
      </c>
      <c r="H35"/>
      <c r="I35"/>
    </row>
    <row r="36" spans="1:9" x14ac:dyDescent="0.3">
      <c r="A36" s="23" t="s">
        <v>106</v>
      </c>
      <c r="B36" s="23" t="s">
        <v>68</v>
      </c>
      <c r="C36" s="36" t="s">
        <v>52</v>
      </c>
      <c r="D36" t="s">
        <v>1</v>
      </c>
      <c r="E36" s="37">
        <v>869.99</v>
      </c>
      <c r="F36" s="37">
        <v>805.32</v>
      </c>
      <c r="G36" s="37">
        <v>172.97</v>
      </c>
      <c r="H36"/>
      <c r="I36"/>
    </row>
    <row r="37" spans="1:9" x14ac:dyDescent="0.3">
      <c r="A37" s="23" t="s">
        <v>106</v>
      </c>
      <c r="B37" s="23" t="s">
        <v>69</v>
      </c>
      <c r="C37" s="36" t="s">
        <v>53</v>
      </c>
      <c r="D37" t="s">
        <v>1</v>
      </c>
      <c r="E37" s="37">
        <v>1152.26</v>
      </c>
      <c r="F37" s="37">
        <v>614.29</v>
      </c>
      <c r="G37" s="37">
        <v>789.83</v>
      </c>
      <c r="H37"/>
      <c r="I37"/>
    </row>
    <row r="38" spans="1:9" x14ac:dyDescent="0.3">
      <c r="A38" s="23" t="s">
        <v>106</v>
      </c>
      <c r="B38" s="23" t="s">
        <v>62</v>
      </c>
      <c r="C38" s="36" t="s">
        <v>46</v>
      </c>
      <c r="D38" t="s">
        <v>0</v>
      </c>
      <c r="E38" s="37">
        <v>744.08</v>
      </c>
      <c r="F38" s="37">
        <v>540.55999999999995</v>
      </c>
      <c r="G38" s="37">
        <v>766.03</v>
      </c>
      <c r="H38"/>
      <c r="I38"/>
    </row>
    <row r="39" spans="1:9" x14ac:dyDescent="0.3">
      <c r="A39" s="23" t="s">
        <v>106</v>
      </c>
      <c r="B39" s="23" t="s">
        <v>63</v>
      </c>
      <c r="C39" s="36" t="s">
        <v>47</v>
      </c>
      <c r="D39" t="s">
        <v>0</v>
      </c>
      <c r="E39" s="37">
        <v>927.06</v>
      </c>
      <c r="F39" s="37">
        <v>352.3</v>
      </c>
      <c r="G39" s="37">
        <v>805.86</v>
      </c>
      <c r="H39"/>
      <c r="I39"/>
    </row>
    <row r="40" spans="1:9" x14ac:dyDescent="0.3">
      <c r="A40" s="23" t="s">
        <v>106</v>
      </c>
      <c r="B40" s="23" t="s">
        <v>64</v>
      </c>
      <c r="C40" s="36" t="s">
        <v>48</v>
      </c>
      <c r="D40" t="s">
        <v>0</v>
      </c>
      <c r="E40" s="37">
        <v>676.94</v>
      </c>
      <c r="F40" s="37">
        <v>822.7</v>
      </c>
      <c r="G40" s="37">
        <v>205.14</v>
      </c>
      <c r="H40"/>
      <c r="I40"/>
    </row>
    <row r="41" spans="1:9" x14ac:dyDescent="0.3">
      <c r="A41" s="23" t="s">
        <v>106</v>
      </c>
      <c r="B41" s="23" t="s">
        <v>65</v>
      </c>
      <c r="C41" s="36" t="s">
        <v>49</v>
      </c>
      <c r="D41" t="s">
        <v>0</v>
      </c>
      <c r="E41" s="37">
        <v>859.92</v>
      </c>
      <c r="F41" s="37">
        <v>634.44000000000005</v>
      </c>
      <c r="G41" s="37">
        <v>244.97</v>
      </c>
      <c r="H41"/>
      <c r="I41"/>
    </row>
    <row r="42" spans="1:9" x14ac:dyDescent="0.3">
      <c r="A42" s="23" t="s">
        <v>106</v>
      </c>
      <c r="B42" s="23" t="s">
        <v>70</v>
      </c>
      <c r="C42" s="36" t="s">
        <v>54</v>
      </c>
      <c r="D42" t="s">
        <v>2</v>
      </c>
      <c r="E42" s="37">
        <v>1036.3599999999999</v>
      </c>
      <c r="F42" s="37">
        <v>815.2</v>
      </c>
      <c r="G42" s="37">
        <v>422.43</v>
      </c>
      <c r="H42"/>
      <c r="I42"/>
    </row>
    <row r="43" spans="1:9" x14ac:dyDescent="0.3">
      <c r="A43" s="23" t="s">
        <v>106</v>
      </c>
      <c r="B43" s="23" t="s">
        <v>71</v>
      </c>
      <c r="C43" s="36" t="s">
        <v>55</v>
      </c>
      <c r="D43" t="s">
        <v>2</v>
      </c>
      <c r="E43" s="37">
        <v>499.44</v>
      </c>
      <c r="F43" s="37">
        <v>471.01</v>
      </c>
      <c r="G43" s="37">
        <v>353.24</v>
      </c>
      <c r="H43"/>
      <c r="I43"/>
    </row>
    <row r="44" spans="1:9" x14ac:dyDescent="0.3">
      <c r="A44" s="23" t="s">
        <v>106</v>
      </c>
      <c r="B44" s="23" t="s">
        <v>72</v>
      </c>
      <c r="C44" s="36" t="s">
        <v>56</v>
      </c>
      <c r="D44" t="s">
        <v>2</v>
      </c>
      <c r="E44" s="37">
        <v>990.56</v>
      </c>
      <c r="F44" s="37">
        <v>532.99</v>
      </c>
      <c r="G44" s="37">
        <v>580.26</v>
      </c>
      <c r="H44"/>
      <c r="I44"/>
    </row>
    <row r="45" spans="1:9" x14ac:dyDescent="0.3">
      <c r="A45" s="23" t="s">
        <v>106</v>
      </c>
      <c r="B45" s="23" t="s">
        <v>73</v>
      </c>
      <c r="C45" s="36" t="s">
        <v>57</v>
      </c>
      <c r="D45" t="s">
        <v>2</v>
      </c>
      <c r="E45" s="37">
        <v>453.64</v>
      </c>
      <c r="F45" s="37">
        <v>188.8</v>
      </c>
      <c r="G45" s="37">
        <v>511.07</v>
      </c>
      <c r="H45"/>
      <c r="I45"/>
    </row>
    <row r="46" spans="1:9" x14ac:dyDescent="0.3">
      <c r="A46" s="23" t="s">
        <v>106</v>
      </c>
      <c r="B46" s="23" t="s">
        <v>74</v>
      </c>
      <c r="C46" s="36" t="s">
        <v>58</v>
      </c>
      <c r="D46" t="s">
        <v>3</v>
      </c>
      <c r="E46" s="37">
        <v>891.49</v>
      </c>
      <c r="F46" s="37">
        <v>867.31</v>
      </c>
      <c r="G46" s="37">
        <v>64.400000000000006</v>
      </c>
      <c r="H46"/>
      <c r="I46"/>
    </row>
    <row r="47" spans="1:9" x14ac:dyDescent="0.3">
      <c r="A47" s="23" t="s">
        <v>106</v>
      </c>
      <c r="B47" s="23" t="s">
        <v>75</v>
      </c>
      <c r="C47" s="36" t="s">
        <v>59</v>
      </c>
      <c r="D47" t="s">
        <v>3</v>
      </c>
      <c r="E47" s="37">
        <v>1103.3699999999999</v>
      </c>
      <c r="F47" s="37">
        <v>618.55999999999995</v>
      </c>
      <c r="G47" s="37">
        <v>267.19</v>
      </c>
      <c r="H47"/>
      <c r="I47"/>
    </row>
    <row r="48" spans="1:9" x14ac:dyDescent="0.3">
      <c r="A48" s="23" t="s">
        <v>106</v>
      </c>
      <c r="B48" s="23" t="s">
        <v>76</v>
      </c>
      <c r="C48" s="36" t="s">
        <v>60</v>
      </c>
      <c r="D48" t="s">
        <v>3</v>
      </c>
      <c r="E48" s="37">
        <v>527.13</v>
      </c>
      <c r="F48" s="37">
        <v>473.94</v>
      </c>
      <c r="G48" s="37">
        <v>279.31</v>
      </c>
      <c r="H48"/>
      <c r="I48"/>
    </row>
    <row r="49" spans="1:9" x14ac:dyDescent="0.3">
      <c r="A49" s="23" t="s">
        <v>106</v>
      </c>
      <c r="B49" s="23" t="s">
        <v>77</v>
      </c>
      <c r="C49" s="36" t="s">
        <v>61</v>
      </c>
      <c r="D49" t="s">
        <v>3</v>
      </c>
      <c r="E49" s="37">
        <v>739.01</v>
      </c>
      <c r="F49" s="37">
        <v>225.19</v>
      </c>
      <c r="G49" s="37">
        <v>482.1</v>
      </c>
      <c r="H49"/>
      <c r="I49"/>
    </row>
    <row r="50" spans="1:9" x14ac:dyDescent="0.3">
      <c r="A50" s="23" t="s">
        <v>107</v>
      </c>
      <c r="B50" s="23" t="s">
        <v>66</v>
      </c>
      <c r="C50" s="36" t="s">
        <v>50</v>
      </c>
      <c r="D50" t="s">
        <v>1</v>
      </c>
      <c r="E50" s="37">
        <v>1463.67</v>
      </c>
      <c r="F50" s="37">
        <v>816.88</v>
      </c>
      <c r="G50" s="37">
        <v>846.38</v>
      </c>
      <c r="H50"/>
      <c r="I50"/>
    </row>
    <row r="51" spans="1:9" x14ac:dyDescent="0.3">
      <c r="A51" s="23" t="s">
        <v>107</v>
      </c>
      <c r="B51" s="23" t="s">
        <v>67</v>
      </c>
      <c r="C51" s="36" t="s">
        <v>51</v>
      </c>
      <c r="D51" t="s">
        <v>1</v>
      </c>
      <c r="E51" s="37">
        <v>2551.1799999999998</v>
      </c>
      <c r="F51" s="37">
        <v>681.93</v>
      </c>
      <c r="G51" s="37">
        <v>314.89999999999998</v>
      </c>
      <c r="H51"/>
      <c r="I51"/>
    </row>
    <row r="52" spans="1:9" x14ac:dyDescent="0.3">
      <c r="A52" s="23" t="s">
        <v>107</v>
      </c>
      <c r="B52" s="23" t="s">
        <v>68</v>
      </c>
      <c r="C52" s="36" t="s">
        <v>52</v>
      </c>
      <c r="D52" t="s">
        <v>1</v>
      </c>
      <c r="E52" s="37">
        <v>2386.8200000000002</v>
      </c>
      <c r="F52" s="37">
        <v>4149.57</v>
      </c>
      <c r="G52" s="37">
        <v>939.6</v>
      </c>
      <c r="H52"/>
      <c r="I52"/>
    </row>
    <row r="53" spans="1:9" x14ac:dyDescent="0.3">
      <c r="A53" s="23" t="s">
        <v>107</v>
      </c>
      <c r="B53" s="23" t="s">
        <v>69</v>
      </c>
      <c r="C53" s="36" t="s">
        <v>53</v>
      </c>
      <c r="D53" t="s">
        <v>1</v>
      </c>
      <c r="E53" s="37">
        <v>3474.33</v>
      </c>
      <c r="F53" s="37">
        <v>4014.62</v>
      </c>
      <c r="G53" s="37">
        <v>408.12</v>
      </c>
      <c r="H53"/>
      <c r="I53"/>
    </row>
    <row r="54" spans="1:9" x14ac:dyDescent="0.3">
      <c r="A54" s="23" t="s">
        <v>107</v>
      </c>
      <c r="B54" s="23" t="s">
        <v>62</v>
      </c>
      <c r="C54" s="36" t="s">
        <v>46</v>
      </c>
      <c r="D54" t="s">
        <v>0</v>
      </c>
      <c r="E54" s="37">
        <v>2864.99</v>
      </c>
      <c r="F54" s="37">
        <v>2814.7</v>
      </c>
      <c r="G54" s="37">
        <v>966.57</v>
      </c>
      <c r="H54"/>
      <c r="I54"/>
    </row>
    <row r="55" spans="1:9" x14ac:dyDescent="0.3">
      <c r="A55" s="23" t="s">
        <v>107</v>
      </c>
      <c r="B55" s="23" t="s">
        <v>63</v>
      </c>
      <c r="C55" s="36" t="s">
        <v>47</v>
      </c>
      <c r="D55" t="s">
        <v>0</v>
      </c>
      <c r="E55" s="37">
        <v>3326.1</v>
      </c>
      <c r="F55" s="37">
        <v>3502.98</v>
      </c>
      <c r="G55" s="37">
        <v>1913.27</v>
      </c>
      <c r="H55"/>
      <c r="I55"/>
    </row>
    <row r="56" spans="1:9" x14ac:dyDescent="0.3">
      <c r="A56" s="23" t="s">
        <v>107</v>
      </c>
      <c r="B56" s="23" t="s">
        <v>64</v>
      </c>
      <c r="C56" s="36" t="s">
        <v>48</v>
      </c>
      <c r="D56" t="s">
        <v>0</v>
      </c>
      <c r="E56" s="37">
        <v>1191.4000000000001</v>
      </c>
      <c r="F56" s="37">
        <v>2242.02</v>
      </c>
      <c r="G56" s="37">
        <v>1286.23</v>
      </c>
      <c r="H56"/>
      <c r="I56"/>
    </row>
    <row r="57" spans="1:9" x14ac:dyDescent="0.3">
      <c r="A57" s="23" t="s">
        <v>107</v>
      </c>
      <c r="B57" s="23" t="s">
        <v>65</v>
      </c>
      <c r="C57" s="36" t="s">
        <v>49</v>
      </c>
      <c r="D57" t="s">
        <v>0</v>
      </c>
      <c r="E57" s="37">
        <v>1652.51</v>
      </c>
      <c r="F57" s="37">
        <v>2930.3</v>
      </c>
      <c r="G57" s="37">
        <v>2232.9299999999998</v>
      </c>
      <c r="H57"/>
      <c r="I57"/>
    </row>
    <row r="58" spans="1:9" x14ac:dyDescent="0.3">
      <c r="A58" s="23" t="s">
        <v>107</v>
      </c>
      <c r="B58" s="23" t="s">
        <v>70</v>
      </c>
      <c r="C58" s="36" t="s">
        <v>54</v>
      </c>
      <c r="D58" t="s">
        <v>2</v>
      </c>
      <c r="E58" s="37">
        <v>1562.37</v>
      </c>
      <c r="F58" s="37">
        <v>2635.02</v>
      </c>
      <c r="G58" s="37">
        <v>1302</v>
      </c>
      <c r="H58"/>
      <c r="I58"/>
    </row>
    <row r="59" spans="1:9" x14ac:dyDescent="0.3">
      <c r="A59" s="23" t="s">
        <v>107</v>
      </c>
      <c r="B59" s="23" t="s">
        <v>71</v>
      </c>
      <c r="C59" s="36" t="s">
        <v>55</v>
      </c>
      <c r="D59" t="s">
        <v>2</v>
      </c>
      <c r="E59" s="37">
        <v>1824.91</v>
      </c>
      <c r="F59" s="37">
        <v>2855.62</v>
      </c>
      <c r="G59" s="37">
        <v>1941</v>
      </c>
      <c r="H59"/>
      <c r="I59"/>
    </row>
    <row r="60" spans="1:9" x14ac:dyDescent="0.3">
      <c r="A60" s="23" t="s">
        <v>107</v>
      </c>
      <c r="B60" s="23" t="s">
        <v>72</v>
      </c>
      <c r="C60" s="36" t="s">
        <v>56</v>
      </c>
      <c r="D60" t="s">
        <v>2</v>
      </c>
      <c r="E60" s="37">
        <v>1976.09</v>
      </c>
      <c r="F60" s="37">
        <v>1231.3800000000001</v>
      </c>
      <c r="G60" s="37">
        <v>439</v>
      </c>
      <c r="H60"/>
      <c r="I60"/>
    </row>
    <row r="61" spans="1:9" x14ac:dyDescent="0.3">
      <c r="A61" s="23" t="s">
        <v>107</v>
      </c>
      <c r="B61" s="23" t="s">
        <v>73</v>
      </c>
      <c r="C61" s="36" t="s">
        <v>57</v>
      </c>
      <c r="D61" t="s">
        <v>2</v>
      </c>
      <c r="E61" s="37">
        <v>2238.63</v>
      </c>
      <c r="F61" s="37">
        <v>1451.98</v>
      </c>
      <c r="G61" s="37">
        <v>1078</v>
      </c>
      <c r="H61"/>
      <c r="I61"/>
    </row>
    <row r="62" spans="1:9" x14ac:dyDescent="0.3">
      <c r="A62" s="23" t="s">
        <v>107</v>
      </c>
      <c r="B62" s="23" t="s">
        <v>74</v>
      </c>
      <c r="C62" s="36" t="s">
        <v>58</v>
      </c>
      <c r="D62" t="s">
        <v>3</v>
      </c>
      <c r="E62" s="37">
        <v>2157.84</v>
      </c>
      <c r="F62" s="37">
        <v>1565.28</v>
      </c>
      <c r="G62" s="37">
        <v>661.81</v>
      </c>
      <c r="H62"/>
      <c r="I62"/>
    </row>
    <row r="63" spans="1:9" x14ac:dyDescent="0.3">
      <c r="A63" s="23" t="s">
        <v>107</v>
      </c>
      <c r="B63" s="23" t="s">
        <v>75</v>
      </c>
      <c r="C63" s="36" t="s">
        <v>59</v>
      </c>
      <c r="D63" t="s">
        <v>3</v>
      </c>
      <c r="E63" s="37">
        <v>2195.21</v>
      </c>
      <c r="F63" s="37">
        <v>2514.23</v>
      </c>
      <c r="G63" s="37">
        <v>319.31</v>
      </c>
      <c r="H63"/>
      <c r="I63"/>
    </row>
    <row r="64" spans="1:9" x14ac:dyDescent="0.3">
      <c r="A64" s="23" t="s">
        <v>107</v>
      </c>
      <c r="B64" s="23" t="s">
        <v>76</v>
      </c>
      <c r="C64" s="36" t="s">
        <v>60</v>
      </c>
      <c r="D64" t="s">
        <v>3</v>
      </c>
      <c r="E64" s="37">
        <v>2026.29</v>
      </c>
      <c r="F64" s="37">
        <v>659.77</v>
      </c>
      <c r="G64" s="37">
        <v>976.69</v>
      </c>
      <c r="H64"/>
      <c r="I64"/>
    </row>
    <row r="65" spans="1:9" x14ac:dyDescent="0.3">
      <c r="A65" s="23" t="s">
        <v>107</v>
      </c>
      <c r="B65" s="23" t="s">
        <v>77</v>
      </c>
      <c r="C65" s="36" t="s">
        <v>61</v>
      </c>
      <c r="D65" t="s">
        <v>3</v>
      </c>
      <c r="E65" s="37">
        <v>2063.66</v>
      </c>
      <c r="F65" s="37">
        <v>1608.72</v>
      </c>
      <c r="G65" s="37">
        <v>634.19000000000005</v>
      </c>
      <c r="H65"/>
      <c r="I65"/>
    </row>
    <row r="66" spans="1:9" x14ac:dyDescent="0.3">
      <c r="A66" s="23" t="s">
        <v>108</v>
      </c>
      <c r="B66" s="23" t="s">
        <v>66</v>
      </c>
      <c r="C66" s="36" t="s">
        <v>50</v>
      </c>
      <c r="D66" t="s">
        <v>1</v>
      </c>
      <c r="E66" s="37">
        <v>3647.54</v>
      </c>
      <c r="F66" s="37">
        <v>1198.47</v>
      </c>
      <c r="G66" s="37">
        <v>298.5</v>
      </c>
      <c r="H66"/>
      <c r="I66"/>
    </row>
    <row r="67" spans="1:9" x14ac:dyDescent="0.3">
      <c r="A67" s="23" t="s">
        <v>108</v>
      </c>
      <c r="B67" s="23" t="s">
        <v>67</v>
      </c>
      <c r="C67" s="36" t="s">
        <v>51</v>
      </c>
      <c r="D67" t="s">
        <v>1</v>
      </c>
      <c r="E67" s="37">
        <v>1297.17</v>
      </c>
      <c r="F67" s="37">
        <v>1647.39</v>
      </c>
      <c r="G67" s="37">
        <v>632.88</v>
      </c>
      <c r="H67"/>
      <c r="I67"/>
    </row>
    <row r="68" spans="1:9" x14ac:dyDescent="0.3">
      <c r="A68" s="23" t="s">
        <v>108</v>
      </c>
      <c r="B68" s="23" t="s">
        <v>68</v>
      </c>
      <c r="C68" s="36" t="s">
        <v>52</v>
      </c>
      <c r="D68" t="s">
        <v>1</v>
      </c>
      <c r="E68" s="37">
        <v>4693.83</v>
      </c>
      <c r="F68" s="37">
        <v>1794.61</v>
      </c>
      <c r="G68" s="37">
        <v>661.12</v>
      </c>
      <c r="H68"/>
      <c r="I68"/>
    </row>
    <row r="69" spans="1:9" x14ac:dyDescent="0.3">
      <c r="A69" s="23" t="s">
        <v>108</v>
      </c>
      <c r="B69" s="23" t="s">
        <v>69</v>
      </c>
      <c r="C69" s="36" t="s">
        <v>53</v>
      </c>
      <c r="D69" t="s">
        <v>1</v>
      </c>
      <c r="E69" s="37">
        <v>2343.46</v>
      </c>
      <c r="F69" s="37">
        <v>2243.5300000000002</v>
      </c>
      <c r="G69" s="37">
        <v>995.5</v>
      </c>
      <c r="H69"/>
      <c r="I69"/>
    </row>
    <row r="70" spans="1:9" x14ac:dyDescent="0.3">
      <c r="A70" s="23" t="s">
        <v>108</v>
      </c>
      <c r="B70" s="23" t="s">
        <v>62</v>
      </c>
      <c r="C70" s="36" t="s">
        <v>46</v>
      </c>
      <c r="D70" t="s">
        <v>0</v>
      </c>
      <c r="E70" s="37">
        <v>1976.95</v>
      </c>
      <c r="F70" s="37">
        <v>2271.56</v>
      </c>
      <c r="G70" s="37">
        <v>694.6</v>
      </c>
      <c r="H70"/>
      <c r="I70"/>
    </row>
    <row r="71" spans="1:9" x14ac:dyDescent="0.3">
      <c r="A71" s="23" t="s">
        <v>108</v>
      </c>
      <c r="B71" s="23" t="s">
        <v>63</v>
      </c>
      <c r="C71" s="36" t="s">
        <v>47</v>
      </c>
      <c r="D71" t="s">
        <v>0</v>
      </c>
      <c r="E71" s="37">
        <v>1091.94</v>
      </c>
      <c r="F71" s="37">
        <v>1864.31</v>
      </c>
      <c r="G71" s="37">
        <v>915.18</v>
      </c>
      <c r="H71"/>
      <c r="I71"/>
    </row>
    <row r="72" spans="1:9" x14ac:dyDescent="0.3">
      <c r="A72" s="23" t="s">
        <v>108</v>
      </c>
      <c r="B72" s="23" t="s">
        <v>64</v>
      </c>
      <c r="C72" s="36" t="s">
        <v>48</v>
      </c>
      <c r="D72" t="s">
        <v>0</v>
      </c>
      <c r="E72" s="37">
        <v>3184.06</v>
      </c>
      <c r="F72" s="37">
        <v>1723.69</v>
      </c>
      <c r="G72" s="37">
        <v>794.82</v>
      </c>
      <c r="H72"/>
      <c r="I72"/>
    </row>
    <row r="73" spans="1:9" x14ac:dyDescent="0.3">
      <c r="A73" s="23" t="s">
        <v>108</v>
      </c>
      <c r="B73" s="23" t="s">
        <v>65</v>
      </c>
      <c r="C73" s="36" t="s">
        <v>49</v>
      </c>
      <c r="D73" t="s">
        <v>0</v>
      </c>
      <c r="E73" s="37">
        <v>2299.0500000000002</v>
      </c>
      <c r="F73" s="37">
        <v>1316.44</v>
      </c>
      <c r="G73" s="37">
        <v>1015.4</v>
      </c>
      <c r="H73"/>
      <c r="I73"/>
    </row>
    <row r="74" spans="1:9" x14ac:dyDescent="0.3">
      <c r="A74" s="23" t="s">
        <v>108</v>
      </c>
      <c r="B74" s="23" t="s">
        <v>70</v>
      </c>
      <c r="C74" s="36" t="s">
        <v>54</v>
      </c>
      <c r="D74" t="s">
        <v>2</v>
      </c>
      <c r="E74" s="37">
        <v>2830.38</v>
      </c>
      <c r="F74" s="37">
        <v>1121.49</v>
      </c>
      <c r="G74" s="37">
        <v>491.48</v>
      </c>
      <c r="H74"/>
      <c r="I74"/>
    </row>
    <row r="75" spans="1:9" x14ac:dyDescent="0.3">
      <c r="A75" s="23" t="s">
        <v>108</v>
      </c>
      <c r="B75" s="23" t="s">
        <v>71</v>
      </c>
      <c r="C75" s="36" t="s">
        <v>55</v>
      </c>
      <c r="D75" t="s">
        <v>2</v>
      </c>
      <c r="E75" s="37">
        <v>832.84</v>
      </c>
      <c r="F75" s="37">
        <v>1752.66</v>
      </c>
      <c r="G75" s="37">
        <v>1110</v>
      </c>
      <c r="H75"/>
      <c r="I75"/>
    </row>
    <row r="76" spans="1:9" x14ac:dyDescent="0.3">
      <c r="A76" s="23" t="s">
        <v>108</v>
      </c>
      <c r="B76" s="23" t="s">
        <v>72</v>
      </c>
      <c r="C76" s="36" t="s">
        <v>56</v>
      </c>
      <c r="D76" t="s">
        <v>2</v>
      </c>
      <c r="E76" s="37">
        <v>2989.66</v>
      </c>
      <c r="F76" s="37">
        <v>1314.84</v>
      </c>
      <c r="G76" s="37">
        <v>628</v>
      </c>
      <c r="H76"/>
      <c r="I76"/>
    </row>
    <row r="77" spans="1:9" x14ac:dyDescent="0.3">
      <c r="A77" s="23" t="s">
        <v>108</v>
      </c>
      <c r="B77" s="23" t="s">
        <v>73</v>
      </c>
      <c r="C77" s="36" t="s">
        <v>57</v>
      </c>
      <c r="D77" t="s">
        <v>2</v>
      </c>
      <c r="E77" s="37">
        <v>992.12</v>
      </c>
      <c r="F77" s="37">
        <v>1946.01</v>
      </c>
      <c r="G77" s="37">
        <v>1246.52</v>
      </c>
      <c r="H77"/>
      <c r="I77"/>
    </row>
    <row r="78" spans="1:9" x14ac:dyDescent="0.3">
      <c r="A78" s="23" t="s">
        <v>108</v>
      </c>
      <c r="B78" s="23" t="s">
        <v>74</v>
      </c>
      <c r="C78" s="36" t="s">
        <v>58</v>
      </c>
      <c r="D78" t="s">
        <v>3</v>
      </c>
      <c r="E78" s="37">
        <v>628.33000000000004</v>
      </c>
      <c r="F78" s="37">
        <v>1775.22</v>
      </c>
      <c r="G78" s="37">
        <v>587.29</v>
      </c>
      <c r="H78"/>
      <c r="I78"/>
    </row>
    <row r="79" spans="1:9" x14ac:dyDescent="0.3">
      <c r="A79" s="23" t="s">
        <v>108</v>
      </c>
      <c r="B79" s="23" t="s">
        <v>75</v>
      </c>
      <c r="C79" s="36" t="s">
        <v>59</v>
      </c>
      <c r="D79" t="s">
        <v>3</v>
      </c>
      <c r="E79" s="37">
        <v>4057.64</v>
      </c>
      <c r="F79" s="37">
        <v>769.28</v>
      </c>
      <c r="G79" s="37">
        <v>1100.8800000000001</v>
      </c>
      <c r="H79"/>
      <c r="I79"/>
    </row>
    <row r="80" spans="1:9" x14ac:dyDescent="0.3">
      <c r="A80" s="23" t="s">
        <v>108</v>
      </c>
      <c r="B80" s="23" t="s">
        <v>76</v>
      </c>
      <c r="C80" s="36" t="s">
        <v>60</v>
      </c>
      <c r="D80" t="s">
        <v>3</v>
      </c>
      <c r="E80" s="37">
        <v>1479.36</v>
      </c>
      <c r="F80" s="37">
        <v>2152.7199999999998</v>
      </c>
      <c r="G80" s="37">
        <v>389.12</v>
      </c>
      <c r="H80"/>
      <c r="I80"/>
    </row>
    <row r="81" spans="1:9" x14ac:dyDescent="0.3">
      <c r="A81" s="23" t="s">
        <v>108</v>
      </c>
      <c r="B81" s="23" t="s">
        <v>77</v>
      </c>
      <c r="C81" s="36" t="s">
        <v>61</v>
      </c>
      <c r="D81" t="s">
        <v>3</v>
      </c>
      <c r="E81" s="37">
        <v>4908.67</v>
      </c>
      <c r="F81" s="37">
        <v>1146.78</v>
      </c>
      <c r="G81" s="37">
        <v>902.71</v>
      </c>
      <c r="H81"/>
      <c r="I81"/>
    </row>
    <row r="82" spans="1:9" x14ac:dyDescent="0.3">
      <c r="A82" s="23" t="s">
        <v>109</v>
      </c>
      <c r="B82" s="23" t="s">
        <v>66</v>
      </c>
      <c r="C82" s="36" t="s">
        <v>50</v>
      </c>
      <c r="D82" t="s">
        <v>1</v>
      </c>
      <c r="E82" s="37">
        <v>871.21</v>
      </c>
      <c r="F82" s="37">
        <v>1489.11</v>
      </c>
      <c r="G82" s="37">
        <v>1165.74</v>
      </c>
      <c r="H82"/>
      <c r="I82"/>
    </row>
    <row r="83" spans="1:9" x14ac:dyDescent="0.3">
      <c r="A83" s="23" t="s">
        <v>109</v>
      </c>
      <c r="B83" s="23" t="s">
        <v>67</v>
      </c>
      <c r="C83" s="36" t="s">
        <v>51</v>
      </c>
      <c r="D83" t="s">
        <v>1</v>
      </c>
      <c r="E83" s="37">
        <v>478.99</v>
      </c>
      <c r="F83" s="37">
        <v>798.01</v>
      </c>
      <c r="G83" s="37">
        <v>368.33</v>
      </c>
      <c r="H83"/>
      <c r="I83"/>
    </row>
    <row r="84" spans="1:9" x14ac:dyDescent="0.3">
      <c r="A84" s="23" t="s">
        <v>109</v>
      </c>
      <c r="B84" s="23" t="s">
        <v>68</v>
      </c>
      <c r="C84" s="36" t="s">
        <v>52</v>
      </c>
      <c r="D84" t="s">
        <v>1</v>
      </c>
      <c r="E84" s="37">
        <v>1271.51</v>
      </c>
      <c r="F84" s="37">
        <v>941.99</v>
      </c>
      <c r="G84" s="37">
        <v>1095.67</v>
      </c>
      <c r="H84"/>
      <c r="I84"/>
    </row>
    <row r="85" spans="1:9" x14ac:dyDescent="0.3">
      <c r="A85" s="23" t="s">
        <v>109</v>
      </c>
      <c r="B85" s="23" t="s">
        <v>69</v>
      </c>
      <c r="C85" s="36" t="s">
        <v>53</v>
      </c>
      <c r="D85" t="s">
        <v>1</v>
      </c>
      <c r="E85" s="37">
        <v>879.29</v>
      </c>
      <c r="F85" s="37">
        <v>250.89</v>
      </c>
      <c r="G85" s="37">
        <v>298.26</v>
      </c>
      <c r="H85"/>
      <c r="I85"/>
    </row>
    <row r="86" spans="1:9" x14ac:dyDescent="0.3">
      <c r="A86" s="23" t="s">
        <v>109</v>
      </c>
      <c r="B86" s="23" t="s">
        <v>62</v>
      </c>
      <c r="C86" s="36" t="s">
        <v>46</v>
      </c>
      <c r="D86" t="s">
        <v>0</v>
      </c>
      <c r="E86" s="37">
        <v>1001.25</v>
      </c>
      <c r="F86" s="37">
        <v>700.05</v>
      </c>
      <c r="G86" s="37">
        <v>307.81</v>
      </c>
      <c r="H86"/>
      <c r="I86"/>
    </row>
    <row r="87" spans="1:9" x14ac:dyDescent="0.3">
      <c r="A87" s="23" t="s">
        <v>109</v>
      </c>
      <c r="B87" s="23" t="s">
        <v>63</v>
      </c>
      <c r="C87" s="36" t="s">
        <v>47</v>
      </c>
      <c r="D87" t="s">
        <v>0</v>
      </c>
      <c r="E87" s="37">
        <v>873.85</v>
      </c>
      <c r="F87" s="37">
        <v>436.95</v>
      </c>
      <c r="G87" s="37">
        <v>330.47</v>
      </c>
      <c r="H87"/>
      <c r="I87"/>
    </row>
    <row r="88" spans="1:9" x14ac:dyDescent="0.3">
      <c r="A88" s="23" t="s">
        <v>109</v>
      </c>
      <c r="B88" s="23" t="s">
        <v>64</v>
      </c>
      <c r="C88" s="36" t="s">
        <v>48</v>
      </c>
      <c r="D88" t="s">
        <v>0</v>
      </c>
      <c r="E88" s="37">
        <v>1058.1500000000001</v>
      </c>
      <c r="F88" s="37">
        <v>629.54999999999995</v>
      </c>
      <c r="G88" s="37">
        <v>558.53</v>
      </c>
      <c r="H88"/>
      <c r="I88"/>
    </row>
    <row r="89" spans="1:9" x14ac:dyDescent="0.3">
      <c r="A89" s="23" t="s">
        <v>109</v>
      </c>
      <c r="B89" s="23" t="s">
        <v>65</v>
      </c>
      <c r="C89" s="36" t="s">
        <v>49</v>
      </c>
      <c r="D89" t="s">
        <v>0</v>
      </c>
      <c r="E89" s="37">
        <v>930.75</v>
      </c>
      <c r="F89" s="37">
        <v>366.45</v>
      </c>
      <c r="G89" s="37">
        <v>581.19000000000005</v>
      </c>
      <c r="H89"/>
      <c r="I89"/>
    </row>
    <row r="90" spans="1:9" x14ac:dyDescent="0.3">
      <c r="A90" s="23" t="s">
        <v>109</v>
      </c>
      <c r="B90" s="23" t="s">
        <v>70</v>
      </c>
      <c r="C90" s="36" t="s">
        <v>54</v>
      </c>
      <c r="D90" t="s">
        <v>2</v>
      </c>
      <c r="E90" s="37">
        <v>1249.98</v>
      </c>
      <c r="F90" s="37">
        <v>700.04</v>
      </c>
      <c r="G90" s="37">
        <v>601.26</v>
      </c>
      <c r="H90"/>
      <c r="I90"/>
    </row>
    <row r="91" spans="1:9" x14ac:dyDescent="0.3">
      <c r="A91" s="23" t="s">
        <v>109</v>
      </c>
      <c r="B91" s="23" t="s">
        <v>71</v>
      </c>
      <c r="C91" s="36" t="s">
        <v>55</v>
      </c>
      <c r="D91" t="s">
        <v>2</v>
      </c>
      <c r="E91" s="37">
        <v>1223.48</v>
      </c>
      <c r="F91" s="37">
        <v>1215.3699999999999</v>
      </c>
      <c r="G91" s="37">
        <v>731.33</v>
      </c>
      <c r="H91"/>
      <c r="I91"/>
    </row>
    <row r="92" spans="1:9" x14ac:dyDescent="0.3">
      <c r="A92" s="23" t="s">
        <v>109</v>
      </c>
      <c r="B92" s="23" t="s">
        <v>72</v>
      </c>
      <c r="C92" s="36" t="s">
        <v>56</v>
      </c>
      <c r="D92" t="s">
        <v>2</v>
      </c>
      <c r="E92" s="37">
        <v>797.02</v>
      </c>
      <c r="F92" s="37">
        <v>179.13</v>
      </c>
      <c r="G92" s="37">
        <v>778.67</v>
      </c>
      <c r="H92"/>
      <c r="I92"/>
    </row>
    <row r="93" spans="1:9" x14ac:dyDescent="0.3">
      <c r="A93" s="23" t="s">
        <v>109</v>
      </c>
      <c r="B93" s="23" t="s">
        <v>73</v>
      </c>
      <c r="C93" s="36" t="s">
        <v>57</v>
      </c>
      <c r="D93" t="s">
        <v>2</v>
      </c>
      <c r="E93" s="37">
        <v>770.52</v>
      </c>
      <c r="F93" s="37">
        <v>694.46</v>
      </c>
      <c r="G93" s="37">
        <v>908.74</v>
      </c>
      <c r="H93"/>
      <c r="I93"/>
    </row>
    <row r="94" spans="1:9" x14ac:dyDescent="0.3">
      <c r="A94" s="23" t="s">
        <v>109</v>
      </c>
      <c r="B94" s="23" t="s">
        <v>74</v>
      </c>
      <c r="C94" s="36" t="s">
        <v>58</v>
      </c>
      <c r="D94" t="s">
        <v>3</v>
      </c>
      <c r="E94" s="37">
        <v>968.27</v>
      </c>
      <c r="F94" s="37">
        <v>1629.15</v>
      </c>
      <c r="G94" s="37">
        <v>237.83</v>
      </c>
      <c r="H94"/>
      <c r="I94"/>
    </row>
    <row r="95" spans="1:9" x14ac:dyDescent="0.3">
      <c r="A95" s="23" t="s">
        <v>109</v>
      </c>
      <c r="B95" s="23" t="s">
        <v>75</v>
      </c>
      <c r="C95" s="36" t="s">
        <v>59</v>
      </c>
      <c r="D95" t="s">
        <v>3</v>
      </c>
      <c r="E95" s="37">
        <v>335.41</v>
      </c>
      <c r="F95" s="37">
        <v>784.61</v>
      </c>
      <c r="G95" s="37">
        <v>996.71</v>
      </c>
      <c r="H95"/>
      <c r="I95"/>
    </row>
    <row r="96" spans="1:9" x14ac:dyDescent="0.3">
      <c r="A96" s="23" t="s">
        <v>109</v>
      </c>
      <c r="B96" s="23" t="s">
        <v>76</v>
      </c>
      <c r="C96" s="36" t="s">
        <v>60</v>
      </c>
      <c r="D96" t="s">
        <v>3</v>
      </c>
      <c r="E96" s="37">
        <v>1505.09</v>
      </c>
      <c r="F96" s="37">
        <v>1282.8900000000001</v>
      </c>
      <c r="G96" s="37">
        <v>665.29</v>
      </c>
      <c r="H96"/>
      <c r="I96"/>
    </row>
    <row r="97" spans="1:9" x14ac:dyDescent="0.3">
      <c r="A97" s="23" t="s">
        <v>109</v>
      </c>
      <c r="B97" s="23" t="s">
        <v>77</v>
      </c>
      <c r="C97" s="36" t="s">
        <v>61</v>
      </c>
      <c r="D97" t="s">
        <v>3</v>
      </c>
      <c r="E97" s="37">
        <v>872.23</v>
      </c>
      <c r="F97" s="37">
        <v>438.35</v>
      </c>
      <c r="G97" s="37">
        <v>1424.17</v>
      </c>
      <c r="H97"/>
      <c r="I97"/>
    </row>
    <row r="98" spans="1:9" x14ac:dyDescent="0.3">
      <c r="A98" s="23" t="s">
        <v>110</v>
      </c>
      <c r="B98" s="23" t="s">
        <v>66</v>
      </c>
      <c r="C98" s="36" t="s">
        <v>50</v>
      </c>
      <c r="D98" t="s">
        <v>1</v>
      </c>
      <c r="E98" s="37">
        <v>620.61</v>
      </c>
      <c r="F98" s="37">
        <v>1789.19</v>
      </c>
      <c r="G98" s="37">
        <v>753.14</v>
      </c>
      <c r="H98"/>
      <c r="I98"/>
    </row>
    <row r="99" spans="1:9" x14ac:dyDescent="0.3">
      <c r="A99" s="23" t="s">
        <v>110</v>
      </c>
      <c r="B99" s="23" t="s">
        <v>67</v>
      </c>
      <c r="C99" s="36" t="s">
        <v>51</v>
      </c>
      <c r="D99" t="s">
        <v>1</v>
      </c>
      <c r="E99" s="37">
        <v>653.97</v>
      </c>
      <c r="F99" s="37">
        <v>1500</v>
      </c>
      <c r="G99" s="37">
        <v>721</v>
      </c>
      <c r="H99"/>
      <c r="I99"/>
    </row>
    <row r="100" spans="1:9" x14ac:dyDescent="0.3">
      <c r="A100" s="23" t="s">
        <v>110</v>
      </c>
      <c r="B100" s="23" t="s">
        <v>68</v>
      </c>
      <c r="C100" s="36" t="s">
        <v>52</v>
      </c>
      <c r="D100" t="s">
        <v>1</v>
      </c>
      <c r="E100" s="37">
        <v>196.03</v>
      </c>
      <c r="F100" s="37">
        <v>545</v>
      </c>
      <c r="G100" s="37">
        <v>1394</v>
      </c>
      <c r="H100"/>
      <c r="I100"/>
    </row>
    <row r="101" spans="1:9" x14ac:dyDescent="0.3">
      <c r="A101" s="23" t="s">
        <v>110</v>
      </c>
      <c r="B101" s="23" t="s">
        <v>69</v>
      </c>
      <c r="C101" s="36" t="s">
        <v>53</v>
      </c>
      <c r="D101" t="s">
        <v>1</v>
      </c>
      <c r="E101" s="37">
        <v>229.39</v>
      </c>
      <c r="F101" s="37">
        <v>255.81</v>
      </c>
      <c r="G101" s="37">
        <v>1361.86</v>
      </c>
      <c r="H101"/>
      <c r="I101"/>
    </row>
    <row r="102" spans="1:9" x14ac:dyDescent="0.3">
      <c r="A102" s="23" t="s">
        <v>110</v>
      </c>
      <c r="B102" s="23" t="s">
        <v>62</v>
      </c>
      <c r="C102" s="36" t="s">
        <v>46</v>
      </c>
      <c r="D102" t="s">
        <v>0</v>
      </c>
      <c r="E102" s="37">
        <v>559.39</v>
      </c>
      <c r="F102" s="37">
        <v>451.29</v>
      </c>
      <c r="G102" s="37">
        <v>418.49</v>
      </c>
      <c r="H102"/>
      <c r="I102"/>
    </row>
    <row r="103" spans="1:9" x14ac:dyDescent="0.3">
      <c r="A103" s="23" t="s">
        <v>110</v>
      </c>
      <c r="B103" s="23" t="s">
        <v>63</v>
      </c>
      <c r="C103" s="36" t="s">
        <v>47</v>
      </c>
      <c r="D103" t="s">
        <v>0</v>
      </c>
      <c r="E103" s="37">
        <v>509.09</v>
      </c>
      <c r="F103" s="37">
        <v>595.84</v>
      </c>
      <c r="G103" s="37">
        <v>659.91</v>
      </c>
      <c r="H103"/>
      <c r="I103"/>
    </row>
    <row r="104" spans="1:9" x14ac:dyDescent="0.3">
      <c r="A104" s="23" t="s">
        <v>110</v>
      </c>
      <c r="B104" s="23" t="s">
        <v>64</v>
      </c>
      <c r="C104" s="36" t="s">
        <v>48</v>
      </c>
      <c r="D104" t="s">
        <v>0</v>
      </c>
      <c r="E104" s="37">
        <v>482.41</v>
      </c>
      <c r="F104" s="37">
        <v>919.66</v>
      </c>
      <c r="G104" s="37">
        <v>444.09</v>
      </c>
      <c r="H104"/>
      <c r="I104"/>
    </row>
    <row r="105" spans="1:9" x14ac:dyDescent="0.3">
      <c r="A105" s="23" t="s">
        <v>110</v>
      </c>
      <c r="B105" s="23" t="s">
        <v>65</v>
      </c>
      <c r="C105" s="36" t="s">
        <v>49</v>
      </c>
      <c r="D105" t="s">
        <v>0</v>
      </c>
      <c r="E105" s="37">
        <v>432.11</v>
      </c>
      <c r="F105" s="37">
        <v>1064.21</v>
      </c>
      <c r="G105" s="37">
        <v>685.51</v>
      </c>
      <c r="H105"/>
      <c r="I105"/>
    </row>
    <row r="106" spans="1:9" x14ac:dyDescent="0.3">
      <c r="A106" s="23" t="s">
        <v>110</v>
      </c>
      <c r="B106" s="23" t="s">
        <v>70</v>
      </c>
      <c r="C106" s="36" t="s">
        <v>54</v>
      </c>
      <c r="D106" t="s">
        <v>2</v>
      </c>
      <c r="E106" s="37">
        <v>527.96</v>
      </c>
      <c r="F106" s="37">
        <v>557.21</v>
      </c>
      <c r="G106" s="37">
        <v>632.22</v>
      </c>
      <c r="H106"/>
      <c r="I106"/>
    </row>
    <row r="107" spans="1:9" x14ac:dyDescent="0.3">
      <c r="A107" s="23" t="s">
        <v>110</v>
      </c>
      <c r="B107" s="23" t="s">
        <v>71</v>
      </c>
      <c r="C107" s="36" t="s">
        <v>55</v>
      </c>
      <c r="D107" t="s">
        <v>2</v>
      </c>
      <c r="E107" s="37">
        <v>875.89</v>
      </c>
      <c r="F107" s="37">
        <v>540.79</v>
      </c>
      <c r="G107" s="37">
        <v>763.56</v>
      </c>
      <c r="H107"/>
      <c r="I107"/>
    </row>
    <row r="108" spans="1:9" x14ac:dyDescent="0.3">
      <c r="A108" s="23" t="s">
        <v>110</v>
      </c>
      <c r="B108" s="23" t="s">
        <v>72</v>
      </c>
      <c r="C108" s="36" t="s">
        <v>56</v>
      </c>
      <c r="D108" t="s">
        <v>2</v>
      </c>
      <c r="E108" s="37">
        <v>56.11</v>
      </c>
      <c r="F108" s="37">
        <v>648.71</v>
      </c>
      <c r="G108" s="37">
        <v>335.94</v>
      </c>
      <c r="H108"/>
      <c r="I108"/>
    </row>
    <row r="109" spans="1:9" x14ac:dyDescent="0.3">
      <c r="A109" s="23" t="s">
        <v>110</v>
      </c>
      <c r="B109" s="23" t="s">
        <v>73</v>
      </c>
      <c r="C109" s="36" t="s">
        <v>57</v>
      </c>
      <c r="D109" t="s">
        <v>2</v>
      </c>
      <c r="E109" s="37">
        <v>404.04</v>
      </c>
      <c r="F109" s="37">
        <v>632.29</v>
      </c>
      <c r="G109" s="37">
        <v>467.28</v>
      </c>
      <c r="H109"/>
      <c r="I109"/>
    </row>
    <row r="110" spans="1:9" x14ac:dyDescent="0.3">
      <c r="A110" s="23" t="s">
        <v>110</v>
      </c>
      <c r="B110" s="23" t="s">
        <v>74</v>
      </c>
      <c r="C110" s="36" t="s">
        <v>58</v>
      </c>
      <c r="D110" t="s">
        <v>3</v>
      </c>
      <c r="E110" s="37">
        <v>150.66999999999999</v>
      </c>
      <c r="F110" s="37">
        <v>370.72</v>
      </c>
      <c r="G110" s="37">
        <v>577.37</v>
      </c>
      <c r="H110"/>
      <c r="I110"/>
    </row>
    <row r="111" spans="1:9" x14ac:dyDescent="0.3">
      <c r="A111" s="23" t="s">
        <v>110</v>
      </c>
      <c r="B111" s="23" t="s">
        <v>75</v>
      </c>
      <c r="C111" s="36" t="s">
        <v>59</v>
      </c>
      <c r="D111" t="s">
        <v>3</v>
      </c>
      <c r="E111" s="37">
        <v>148.47</v>
      </c>
      <c r="F111" s="37">
        <v>980.03</v>
      </c>
      <c r="G111" s="37">
        <v>507.88</v>
      </c>
      <c r="H111"/>
      <c r="I111"/>
    </row>
    <row r="112" spans="1:9" x14ac:dyDescent="0.3">
      <c r="A112" s="23" t="s">
        <v>110</v>
      </c>
      <c r="B112" s="23" t="s">
        <v>76</v>
      </c>
      <c r="C112" s="36" t="s">
        <v>60</v>
      </c>
      <c r="D112" t="s">
        <v>3</v>
      </c>
      <c r="E112" s="37">
        <v>643.53</v>
      </c>
      <c r="F112" s="37">
        <v>738.97</v>
      </c>
      <c r="G112" s="37">
        <v>656.12</v>
      </c>
      <c r="H112"/>
      <c r="I112"/>
    </row>
    <row r="113" spans="1:9" x14ac:dyDescent="0.3">
      <c r="A113" s="23" t="s">
        <v>110</v>
      </c>
      <c r="B113" s="23" t="s">
        <v>77</v>
      </c>
      <c r="C113" s="36" t="s">
        <v>61</v>
      </c>
      <c r="D113" t="s">
        <v>3</v>
      </c>
      <c r="E113" s="37">
        <v>641.33000000000004</v>
      </c>
      <c r="F113" s="37">
        <v>1348.28</v>
      </c>
      <c r="G113" s="37">
        <v>586.63</v>
      </c>
      <c r="H113"/>
      <c r="I113"/>
    </row>
    <row r="114" spans="1:9" x14ac:dyDescent="0.3">
      <c r="A114" s="23" t="s">
        <v>111</v>
      </c>
      <c r="B114" s="23" t="s">
        <v>66</v>
      </c>
      <c r="C114" s="36" t="s">
        <v>50</v>
      </c>
      <c r="D114" t="s">
        <v>1</v>
      </c>
      <c r="E114" s="37">
        <v>4531.8</v>
      </c>
      <c r="F114" s="37">
        <v>1297.1400000000001</v>
      </c>
      <c r="G114" s="37">
        <v>1041.08</v>
      </c>
      <c r="H114"/>
      <c r="I114"/>
    </row>
    <row r="115" spans="1:9" x14ac:dyDescent="0.3">
      <c r="A115" s="23" t="s">
        <v>111</v>
      </c>
      <c r="B115" s="23" t="s">
        <v>67</v>
      </c>
      <c r="C115" s="36" t="s">
        <v>51</v>
      </c>
      <c r="D115" t="s">
        <v>1</v>
      </c>
      <c r="E115" s="37">
        <v>4862.76</v>
      </c>
      <c r="F115" s="37">
        <v>2793.7</v>
      </c>
      <c r="G115" s="37">
        <v>2036.7</v>
      </c>
      <c r="H115"/>
      <c r="I115"/>
    </row>
    <row r="116" spans="1:9" x14ac:dyDescent="0.3">
      <c r="A116" s="23" t="s">
        <v>111</v>
      </c>
      <c r="B116" s="23" t="s">
        <v>68</v>
      </c>
      <c r="C116" s="36" t="s">
        <v>52</v>
      </c>
      <c r="D116" t="s">
        <v>1</v>
      </c>
      <c r="E116" s="37">
        <v>881.24</v>
      </c>
      <c r="F116" s="37">
        <v>1267.8</v>
      </c>
      <c r="G116" s="37">
        <v>1281.8</v>
      </c>
      <c r="H116"/>
      <c r="I116"/>
    </row>
    <row r="117" spans="1:9" x14ac:dyDescent="0.3">
      <c r="A117" s="23" t="s">
        <v>111</v>
      </c>
      <c r="B117" s="23" t="s">
        <v>69</v>
      </c>
      <c r="C117" s="36" t="s">
        <v>53</v>
      </c>
      <c r="D117" t="s">
        <v>1</v>
      </c>
      <c r="E117" s="37">
        <v>1212.2</v>
      </c>
      <c r="F117" s="37">
        <v>2764.36</v>
      </c>
      <c r="G117" s="37">
        <v>2277.42</v>
      </c>
      <c r="H117"/>
      <c r="I117"/>
    </row>
    <row r="118" spans="1:9" x14ac:dyDescent="0.3">
      <c r="A118" s="23" t="s">
        <v>111</v>
      </c>
      <c r="B118" s="23" t="s">
        <v>62</v>
      </c>
      <c r="C118" s="36" t="s">
        <v>46</v>
      </c>
      <c r="D118" t="s">
        <v>0</v>
      </c>
      <c r="E118" s="37">
        <v>2550.38</v>
      </c>
      <c r="F118" s="37">
        <v>1747.81</v>
      </c>
      <c r="G118" s="37">
        <v>1487.74</v>
      </c>
      <c r="H118"/>
      <c r="I118"/>
    </row>
    <row r="119" spans="1:9" x14ac:dyDescent="0.3">
      <c r="A119" s="23" t="s">
        <v>111</v>
      </c>
      <c r="B119" s="23" t="s">
        <v>63</v>
      </c>
      <c r="C119" s="36" t="s">
        <v>47</v>
      </c>
      <c r="D119" t="s">
        <v>0</v>
      </c>
      <c r="E119" s="37">
        <v>2417.64</v>
      </c>
      <c r="F119" s="37">
        <v>1152.26</v>
      </c>
      <c r="G119" s="37">
        <v>583.05999999999995</v>
      </c>
      <c r="H119"/>
      <c r="I119"/>
    </row>
    <row r="120" spans="1:9" x14ac:dyDescent="0.3">
      <c r="A120" s="23" t="s">
        <v>111</v>
      </c>
      <c r="B120" s="23" t="s">
        <v>64</v>
      </c>
      <c r="C120" s="36" t="s">
        <v>48</v>
      </c>
      <c r="D120" t="s">
        <v>0</v>
      </c>
      <c r="E120" s="37">
        <v>3454.86</v>
      </c>
      <c r="F120" s="37">
        <v>770.74</v>
      </c>
      <c r="G120" s="37">
        <v>1945.94</v>
      </c>
      <c r="H120"/>
      <c r="I120"/>
    </row>
    <row r="121" spans="1:9" x14ac:dyDescent="0.3">
      <c r="A121" s="23" t="s">
        <v>111</v>
      </c>
      <c r="B121" s="23" t="s">
        <v>65</v>
      </c>
      <c r="C121" s="36" t="s">
        <v>49</v>
      </c>
      <c r="D121" t="s">
        <v>0</v>
      </c>
      <c r="E121" s="37">
        <v>3322.12</v>
      </c>
      <c r="F121" s="37">
        <v>175.19</v>
      </c>
      <c r="G121" s="37">
        <v>1041.26</v>
      </c>
      <c r="H121"/>
      <c r="I121"/>
    </row>
    <row r="122" spans="1:9" x14ac:dyDescent="0.3">
      <c r="A122" s="23" t="s">
        <v>111</v>
      </c>
      <c r="B122" s="23" t="s">
        <v>70</v>
      </c>
      <c r="C122" s="36" t="s">
        <v>54</v>
      </c>
      <c r="D122" t="s">
        <v>2</v>
      </c>
      <c r="E122" s="37">
        <v>948.75</v>
      </c>
      <c r="F122" s="37">
        <v>1829.01</v>
      </c>
      <c r="G122" s="37">
        <v>887.42</v>
      </c>
      <c r="H122"/>
      <c r="I122"/>
    </row>
    <row r="123" spans="1:9" x14ac:dyDescent="0.3">
      <c r="A123" s="23" t="s">
        <v>111</v>
      </c>
      <c r="B123" s="23" t="s">
        <v>71</v>
      </c>
      <c r="C123" s="36" t="s">
        <v>55</v>
      </c>
      <c r="D123" t="s">
        <v>2</v>
      </c>
      <c r="E123" s="37">
        <v>1429.48</v>
      </c>
      <c r="F123" s="37">
        <v>1595.58</v>
      </c>
      <c r="G123" s="37">
        <v>997.16</v>
      </c>
      <c r="H123"/>
      <c r="I123"/>
    </row>
    <row r="124" spans="1:9" x14ac:dyDescent="0.3">
      <c r="A124" s="23" t="s">
        <v>111</v>
      </c>
      <c r="B124" s="23" t="s">
        <v>72</v>
      </c>
      <c r="C124" s="36" t="s">
        <v>56</v>
      </c>
      <c r="D124" t="s">
        <v>2</v>
      </c>
      <c r="E124" s="37">
        <v>1540.02</v>
      </c>
      <c r="F124" s="37">
        <v>2917.42</v>
      </c>
      <c r="G124" s="37">
        <v>1347.84</v>
      </c>
      <c r="H124"/>
      <c r="I124"/>
    </row>
    <row r="125" spans="1:9" x14ac:dyDescent="0.3">
      <c r="A125" s="23" t="s">
        <v>111</v>
      </c>
      <c r="B125" s="23" t="s">
        <v>73</v>
      </c>
      <c r="C125" s="36" t="s">
        <v>57</v>
      </c>
      <c r="D125" t="s">
        <v>2</v>
      </c>
      <c r="E125" s="37">
        <v>2020.75</v>
      </c>
      <c r="F125" s="37">
        <v>2683.99</v>
      </c>
      <c r="G125" s="37">
        <v>1457.58</v>
      </c>
      <c r="H125"/>
      <c r="I125"/>
    </row>
    <row r="126" spans="1:9" x14ac:dyDescent="0.3">
      <c r="A126" s="23" t="s">
        <v>111</v>
      </c>
      <c r="B126" s="23" t="s">
        <v>74</v>
      </c>
      <c r="C126" s="36" t="s">
        <v>58</v>
      </c>
      <c r="D126" t="s">
        <v>3</v>
      </c>
      <c r="E126" s="37">
        <v>1227.75</v>
      </c>
      <c r="F126" s="37">
        <v>4560.96</v>
      </c>
      <c r="G126" s="37">
        <v>2219.46</v>
      </c>
      <c r="H126"/>
      <c r="I126"/>
    </row>
    <row r="127" spans="1:9" x14ac:dyDescent="0.3">
      <c r="A127" s="23" t="s">
        <v>111</v>
      </c>
      <c r="B127" s="23" t="s">
        <v>75</v>
      </c>
      <c r="C127" s="36" t="s">
        <v>59</v>
      </c>
      <c r="D127" t="s">
        <v>3</v>
      </c>
      <c r="E127" s="37">
        <v>749.53</v>
      </c>
      <c r="F127" s="37">
        <v>2043.76</v>
      </c>
      <c r="G127" s="37">
        <v>1336.18</v>
      </c>
      <c r="H127"/>
      <c r="I127"/>
    </row>
    <row r="128" spans="1:9" x14ac:dyDescent="0.3">
      <c r="A128" s="23" t="s">
        <v>111</v>
      </c>
      <c r="B128" s="23" t="s">
        <v>76</v>
      </c>
      <c r="C128" s="36" t="s">
        <v>60</v>
      </c>
      <c r="D128" t="s">
        <v>3</v>
      </c>
      <c r="E128" s="37">
        <v>2091.9699999999998</v>
      </c>
      <c r="F128" s="37">
        <v>4608.24</v>
      </c>
      <c r="G128" s="37">
        <v>1799.32</v>
      </c>
      <c r="H128"/>
      <c r="I128"/>
    </row>
    <row r="129" spans="1:9" x14ac:dyDescent="0.3">
      <c r="A129" s="23" t="s">
        <v>111</v>
      </c>
      <c r="B129" s="23" t="s">
        <v>77</v>
      </c>
      <c r="C129" s="36" t="s">
        <v>61</v>
      </c>
      <c r="D129" t="s">
        <v>3</v>
      </c>
      <c r="E129" s="37">
        <v>1613.75</v>
      </c>
      <c r="F129" s="37">
        <v>2091.04</v>
      </c>
      <c r="G129" s="37">
        <v>916.04</v>
      </c>
      <c r="H129"/>
      <c r="I129"/>
    </row>
    <row r="130" spans="1:9" x14ac:dyDescent="0.3">
      <c r="A130" s="23" t="s">
        <v>112</v>
      </c>
      <c r="B130" s="23" t="s">
        <v>66</v>
      </c>
      <c r="C130" s="36" t="s">
        <v>50</v>
      </c>
      <c r="D130" t="s">
        <v>1</v>
      </c>
      <c r="E130" s="37">
        <v>6226.23</v>
      </c>
      <c r="F130" s="37">
        <v>11084.35</v>
      </c>
      <c r="G130" s="37">
        <v>2432.9299999999998</v>
      </c>
      <c r="H130"/>
      <c r="I130"/>
    </row>
    <row r="131" spans="1:9" x14ac:dyDescent="0.3">
      <c r="A131" s="23" t="s">
        <v>112</v>
      </c>
      <c r="B131" s="23" t="s">
        <v>67</v>
      </c>
      <c r="C131" s="36" t="s">
        <v>51</v>
      </c>
      <c r="D131" t="s">
        <v>1</v>
      </c>
      <c r="E131" s="37">
        <v>9385.2900000000009</v>
      </c>
      <c r="F131" s="37">
        <v>5608.6</v>
      </c>
      <c r="G131" s="37">
        <v>1481.49</v>
      </c>
      <c r="H131"/>
      <c r="I131"/>
    </row>
    <row r="132" spans="1:9" x14ac:dyDescent="0.3">
      <c r="A132" s="23" t="s">
        <v>112</v>
      </c>
      <c r="B132" s="23" t="s">
        <v>68</v>
      </c>
      <c r="C132" s="36" t="s">
        <v>52</v>
      </c>
      <c r="D132" t="s">
        <v>1</v>
      </c>
      <c r="E132" s="37">
        <v>2871.71</v>
      </c>
      <c r="F132" s="37">
        <v>6590.9</v>
      </c>
      <c r="G132" s="37">
        <v>2105.0100000000002</v>
      </c>
      <c r="H132"/>
      <c r="I132"/>
    </row>
    <row r="133" spans="1:9" x14ac:dyDescent="0.3">
      <c r="A133" s="23" t="s">
        <v>112</v>
      </c>
      <c r="B133" s="23" t="s">
        <v>69</v>
      </c>
      <c r="C133" s="36" t="s">
        <v>53</v>
      </c>
      <c r="D133" t="s">
        <v>1</v>
      </c>
      <c r="E133" s="37">
        <v>6030.77</v>
      </c>
      <c r="F133" s="37">
        <v>1115.1500000000001</v>
      </c>
      <c r="G133" s="37">
        <v>1153.57</v>
      </c>
      <c r="H133"/>
      <c r="I133"/>
    </row>
    <row r="134" spans="1:9" x14ac:dyDescent="0.3">
      <c r="A134" s="23" t="s">
        <v>112</v>
      </c>
      <c r="B134" s="23" t="s">
        <v>62</v>
      </c>
      <c r="C134" s="36" t="s">
        <v>46</v>
      </c>
      <c r="D134" t="s">
        <v>0</v>
      </c>
      <c r="E134" s="37">
        <v>6209.54</v>
      </c>
      <c r="F134" s="37">
        <v>8865.68</v>
      </c>
      <c r="G134" s="37">
        <v>1695.37</v>
      </c>
      <c r="H134"/>
      <c r="I134"/>
    </row>
    <row r="135" spans="1:9" x14ac:dyDescent="0.3">
      <c r="A135" s="23" t="s">
        <v>112</v>
      </c>
      <c r="B135" s="23" t="s">
        <v>63</v>
      </c>
      <c r="C135" s="36" t="s">
        <v>47</v>
      </c>
      <c r="D135" t="s">
        <v>0</v>
      </c>
      <c r="E135" s="37">
        <v>4067.52</v>
      </c>
      <c r="F135" s="37">
        <v>5139.7299999999996</v>
      </c>
      <c r="G135" s="37">
        <v>2716.44</v>
      </c>
      <c r="H135"/>
      <c r="I135"/>
    </row>
    <row r="136" spans="1:9" x14ac:dyDescent="0.3">
      <c r="A136" s="23" t="s">
        <v>112</v>
      </c>
      <c r="B136" s="23" t="s">
        <v>64</v>
      </c>
      <c r="C136" s="36" t="s">
        <v>48</v>
      </c>
      <c r="D136" t="s">
        <v>0</v>
      </c>
      <c r="E136" s="37">
        <v>6369.98</v>
      </c>
      <c r="F136" s="37">
        <v>4751.7700000000004</v>
      </c>
      <c r="G136" s="37">
        <v>3081.56</v>
      </c>
      <c r="H136"/>
      <c r="I136"/>
    </row>
    <row r="137" spans="1:9" x14ac:dyDescent="0.3">
      <c r="A137" s="23" t="s">
        <v>112</v>
      </c>
      <c r="B137" s="23" t="s">
        <v>65</v>
      </c>
      <c r="C137" s="36" t="s">
        <v>49</v>
      </c>
      <c r="D137" t="s">
        <v>0</v>
      </c>
      <c r="E137" s="37">
        <v>4227.96</v>
      </c>
      <c r="F137" s="37">
        <v>1025.82</v>
      </c>
      <c r="G137" s="37">
        <v>4102.63</v>
      </c>
      <c r="H137"/>
      <c r="I137"/>
    </row>
    <row r="138" spans="1:9" x14ac:dyDescent="0.3">
      <c r="A138" s="23" t="s">
        <v>112</v>
      </c>
      <c r="B138" s="23" t="s">
        <v>70</v>
      </c>
      <c r="C138" s="36" t="s">
        <v>54</v>
      </c>
      <c r="D138" t="s">
        <v>2</v>
      </c>
      <c r="E138" s="37">
        <v>7861.28</v>
      </c>
      <c r="F138" s="37">
        <v>2877.37</v>
      </c>
      <c r="G138" s="37">
        <v>2691.8</v>
      </c>
      <c r="H138"/>
      <c r="I138"/>
    </row>
    <row r="139" spans="1:9" x14ac:dyDescent="0.3">
      <c r="A139" s="23" t="s">
        <v>112</v>
      </c>
      <c r="B139" s="23" t="s">
        <v>71</v>
      </c>
      <c r="C139" s="36" t="s">
        <v>55</v>
      </c>
      <c r="D139" t="s">
        <v>2</v>
      </c>
      <c r="E139" s="37">
        <v>4664.9399999999996</v>
      </c>
      <c r="F139" s="37">
        <v>3032.19</v>
      </c>
      <c r="G139" s="37">
        <v>5011.49</v>
      </c>
      <c r="H139"/>
      <c r="I139"/>
    </row>
    <row r="140" spans="1:9" x14ac:dyDescent="0.3">
      <c r="A140" s="23" t="s">
        <v>112</v>
      </c>
      <c r="B140" s="23" t="s">
        <v>72</v>
      </c>
      <c r="C140" s="36" t="s">
        <v>56</v>
      </c>
      <c r="D140" t="s">
        <v>2</v>
      </c>
      <c r="E140" s="37">
        <v>7494.06</v>
      </c>
      <c r="F140" s="37">
        <v>2463.31</v>
      </c>
      <c r="G140" s="37">
        <v>1646.01</v>
      </c>
      <c r="H140"/>
      <c r="I140"/>
    </row>
    <row r="141" spans="1:9" x14ac:dyDescent="0.3">
      <c r="A141" s="23" t="s">
        <v>112</v>
      </c>
      <c r="B141" s="23" t="s">
        <v>73</v>
      </c>
      <c r="C141" s="36" t="s">
        <v>57</v>
      </c>
      <c r="D141" t="s">
        <v>2</v>
      </c>
      <c r="E141" s="37">
        <v>4297.72</v>
      </c>
      <c r="F141" s="37">
        <v>2618.13</v>
      </c>
      <c r="G141" s="37">
        <v>3965.7</v>
      </c>
      <c r="H141"/>
      <c r="I141"/>
    </row>
    <row r="142" spans="1:9" x14ac:dyDescent="0.3">
      <c r="A142" s="23" t="s">
        <v>112</v>
      </c>
      <c r="B142" s="23" t="s">
        <v>74</v>
      </c>
      <c r="C142" s="36" t="s">
        <v>58</v>
      </c>
      <c r="D142" t="s">
        <v>3</v>
      </c>
      <c r="E142" s="37">
        <v>9269.64</v>
      </c>
      <c r="F142" s="37">
        <v>3193.59</v>
      </c>
      <c r="G142" s="37">
        <v>3407.12</v>
      </c>
      <c r="H142"/>
      <c r="I142"/>
    </row>
    <row r="143" spans="1:9" x14ac:dyDescent="0.3">
      <c r="A143" s="23" t="s">
        <v>112</v>
      </c>
      <c r="B143" s="23" t="s">
        <v>75</v>
      </c>
      <c r="C143" s="36" t="s">
        <v>59</v>
      </c>
      <c r="D143" t="s">
        <v>3</v>
      </c>
      <c r="E143" s="37">
        <v>6305.64</v>
      </c>
      <c r="F143" s="37">
        <v>1795.29</v>
      </c>
      <c r="G143" s="37">
        <v>4076.77</v>
      </c>
      <c r="H143"/>
      <c r="I143"/>
    </row>
    <row r="144" spans="1:9" x14ac:dyDescent="0.3">
      <c r="A144" s="23" t="s">
        <v>112</v>
      </c>
      <c r="B144" s="23" t="s">
        <v>76</v>
      </c>
      <c r="C144" s="36" t="s">
        <v>60</v>
      </c>
      <c r="D144" t="s">
        <v>3</v>
      </c>
      <c r="E144" s="37">
        <v>7672.86</v>
      </c>
      <c r="F144" s="37">
        <v>6008.21</v>
      </c>
      <c r="G144" s="37">
        <v>1734.73</v>
      </c>
      <c r="H144"/>
      <c r="I144"/>
    </row>
    <row r="145" spans="1:9" x14ac:dyDescent="0.3">
      <c r="A145" s="23" t="s">
        <v>112</v>
      </c>
      <c r="B145" s="23" t="s">
        <v>77</v>
      </c>
      <c r="C145" s="36" t="s">
        <v>61</v>
      </c>
      <c r="D145" t="s">
        <v>3</v>
      </c>
      <c r="E145" s="37">
        <v>4708.8599999999997</v>
      </c>
      <c r="F145" s="37">
        <v>4609.91</v>
      </c>
      <c r="G145" s="37">
        <v>2404.38</v>
      </c>
      <c r="H145"/>
      <c r="I145"/>
    </row>
    <row r="146" spans="1:9" x14ac:dyDescent="0.3">
      <c r="A146" s="23" t="s">
        <v>113</v>
      </c>
      <c r="B146" s="23" t="s">
        <v>66</v>
      </c>
      <c r="C146" s="36" t="s">
        <v>50</v>
      </c>
      <c r="D146" t="s">
        <v>1</v>
      </c>
      <c r="E146" s="37">
        <v>3403.34</v>
      </c>
      <c r="F146" s="37">
        <v>3513.97</v>
      </c>
      <c r="G146" s="37">
        <v>4553.84</v>
      </c>
      <c r="H146"/>
      <c r="I146"/>
    </row>
    <row r="147" spans="1:9" x14ac:dyDescent="0.3">
      <c r="A147" s="23" t="s">
        <v>113</v>
      </c>
      <c r="B147" s="23" t="s">
        <v>67</v>
      </c>
      <c r="C147" s="36" t="s">
        <v>51</v>
      </c>
      <c r="D147" t="s">
        <v>1</v>
      </c>
      <c r="E147" s="37">
        <v>11291.12</v>
      </c>
      <c r="F147" s="37">
        <v>4071.06</v>
      </c>
      <c r="G147" s="37">
        <v>1249.8599999999999</v>
      </c>
      <c r="H147"/>
      <c r="I147"/>
    </row>
    <row r="148" spans="1:9" x14ac:dyDescent="0.3">
      <c r="A148" s="23" t="s">
        <v>113</v>
      </c>
      <c r="B148" s="23" t="s">
        <v>68</v>
      </c>
      <c r="C148" s="36" t="s">
        <v>52</v>
      </c>
      <c r="D148" t="s">
        <v>1</v>
      </c>
      <c r="E148" s="37">
        <v>5498.38</v>
      </c>
      <c r="F148" s="37">
        <v>1263.44</v>
      </c>
      <c r="G148" s="37">
        <v>3702.64</v>
      </c>
      <c r="H148"/>
      <c r="I148"/>
    </row>
    <row r="149" spans="1:9" x14ac:dyDescent="0.3">
      <c r="A149" s="23" t="s">
        <v>113</v>
      </c>
      <c r="B149" s="23" t="s">
        <v>69</v>
      </c>
      <c r="C149" s="36" t="s">
        <v>53</v>
      </c>
      <c r="D149" t="s">
        <v>1</v>
      </c>
      <c r="E149" s="37">
        <v>13386.16</v>
      </c>
      <c r="F149" s="37">
        <v>1820.53</v>
      </c>
      <c r="G149" s="37">
        <v>398.66</v>
      </c>
      <c r="H149"/>
      <c r="I149"/>
    </row>
    <row r="150" spans="1:9" x14ac:dyDescent="0.3">
      <c r="A150" s="23" t="s">
        <v>113</v>
      </c>
      <c r="B150" s="23" t="s">
        <v>62</v>
      </c>
      <c r="C150" s="36" t="s">
        <v>46</v>
      </c>
      <c r="D150" t="s">
        <v>0</v>
      </c>
      <c r="E150" s="37">
        <v>7108.9</v>
      </c>
      <c r="F150" s="37">
        <v>7874.9</v>
      </c>
      <c r="G150" s="37">
        <v>3185.45</v>
      </c>
      <c r="H150"/>
      <c r="I150"/>
    </row>
    <row r="151" spans="1:9" x14ac:dyDescent="0.3">
      <c r="A151" s="23" t="s">
        <v>113</v>
      </c>
      <c r="B151" s="23" t="s">
        <v>63</v>
      </c>
      <c r="C151" s="36" t="s">
        <v>47</v>
      </c>
      <c r="D151" t="s">
        <v>0</v>
      </c>
      <c r="E151" s="37">
        <v>7870.28</v>
      </c>
      <c r="F151" s="37">
        <v>10418.959999999999</v>
      </c>
      <c r="G151" s="37">
        <v>2974.96</v>
      </c>
      <c r="H151"/>
      <c r="I151"/>
    </row>
    <row r="152" spans="1:9" x14ac:dyDescent="0.3">
      <c r="A152" s="23" t="s">
        <v>113</v>
      </c>
      <c r="B152" s="23" t="s">
        <v>64</v>
      </c>
      <c r="C152" s="36" t="s">
        <v>48</v>
      </c>
      <c r="D152" t="s">
        <v>0</v>
      </c>
      <c r="E152" s="37">
        <v>4031.72</v>
      </c>
      <c r="F152" s="37">
        <v>4689.04</v>
      </c>
      <c r="G152" s="37">
        <v>5099.04</v>
      </c>
      <c r="H152"/>
      <c r="I152"/>
    </row>
    <row r="153" spans="1:9" x14ac:dyDescent="0.3">
      <c r="A153" s="23" t="s">
        <v>113</v>
      </c>
      <c r="B153" s="23" t="s">
        <v>65</v>
      </c>
      <c r="C153" s="36" t="s">
        <v>49</v>
      </c>
      <c r="D153" t="s">
        <v>0</v>
      </c>
      <c r="E153" s="37">
        <v>4793.1000000000004</v>
      </c>
      <c r="F153" s="37">
        <v>7233.1</v>
      </c>
      <c r="G153" s="37">
        <v>4888.55</v>
      </c>
      <c r="H153"/>
      <c r="I153"/>
    </row>
    <row r="154" spans="1:9" x14ac:dyDescent="0.3">
      <c r="A154" s="23" t="s">
        <v>113</v>
      </c>
      <c r="B154" s="23" t="s">
        <v>70</v>
      </c>
      <c r="C154" s="36" t="s">
        <v>54</v>
      </c>
      <c r="D154" t="s">
        <v>2</v>
      </c>
      <c r="E154" s="37">
        <v>2755.97</v>
      </c>
      <c r="F154" s="37">
        <v>14912.28</v>
      </c>
      <c r="G154" s="37">
        <v>2308.34</v>
      </c>
      <c r="H154"/>
      <c r="I154"/>
    </row>
    <row r="155" spans="1:9" x14ac:dyDescent="0.3">
      <c r="A155" s="23" t="s">
        <v>113</v>
      </c>
      <c r="B155" s="23" t="s">
        <v>71</v>
      </c>
      <c r="C155" s="36" t="s">
        <v>55</v>
      </c>
      <c r="D155" t="s">
        <v>2</v>
      </c>
      <c r="E155" s="37">
        <v>5320.49</v>
      </c>
      <c r="F155" s="37">
        <v>4425.6499999999996</v>
      </c>
      <c r="G155" s="37">
        <v>2164.5700000000002</v>
      </c>
      <c r="H155"/>
      <c r="I155"/>
    </row>
    <row r="156" spans="1:9" x14ac:dyDescent="0.3">
      <c r="A156" s="23" t="s">
        <v>113</v>
      </c>
      <c r="B156" s="23" t="s">
        <v>72</v>
      </c>
      <c r="C156" s="36" t="s">
        <v>56</v>
      </c>
      <c r="D156" t="s">
        <v>2</v>
      </c>
      <c r="E156" s="37">
        <v>4640.51</v>
      </c>
      <c r="F156" s="37">
        <v>12806.85</v>
      </c>
      <c r="G156" s="37">
        <v>2208.9299999999998</v>
      </c>
      <c r="H156"/>
      <c r="I156"/>
    </row>
    <row r="157" spans="1:9" x14ac:dyDescent="0.3">
      <c r="A157" s="23" t="s">
        <v>113</v>
      </c>
      <c r="B157" s="23" t="s">
        <v>73</v>
      </c>
      <c r="C157" s="36" t="s">
        <v>57</v>
      </c>
      <c r="D157" t="s">
        <v>2</v>
      </c>
      <c r="E157" s="37">
        <v>7205.03</v>
      </c>
      <c r="F157" s="37">
        <v>2320.2199999999998</v>
      </c>
      <c r="G157" s="37">
        <v>2065.16</v>
      </c>
      <c r="H157"/>
      <c r="I157"/>
    </row>
    <row r="158" spans="1:9" x14ac:dyDescent="0.3">
      <c r="A158" s="23" t="s">
        <v>113</v>
      </c>
      <c r="B158" s="23" t="s">
        <v>74</v>
      </c>
      <c r="C158" s="36" t="s">
        <v>58</v>
      </c>
      <c r="D158" t="s">
        <v>3</v>
      </c>
      <c r="E158" s="37">
        <v>12777.37</v>
      </c>
      <c r="F158" s="37">
        <v>4932.95</v>
      </c>
      <c r="G158" s="37">
        <v>1302</v>
      </c>
      <c r="H158"/>
      <c r="I158"/>
    </row>
    <row r="159" spans="1:9" x14ac:dyDescent="0.3">
      <c r="A159" s="23" t="s">
        <v>113</v>
      </c>
      <c r="B159" s="23" t="s">
        <v>75</v>
      </c>
      <c r="C159" s="36" t="s">
        <v>59</v>
      </c>
      <c r="D159" t="s">
        <v>3</v>
      </c>
      <c r="E159" s="37">
        <v>9763.98</v>
      </c>
      <c r="F159" s="37">
        <v>1882.21</v>
      </c>
      <c r="G159" s="37">
        <v>2691.98</v>
      </c>
      <c r="H159"/>
      <c r="I159"/>
    </row>
    <row r="160" spans="1:9" x14ac:dyDescent="0.3">
      <c r="A160" s="23" t="s">
        <v>113</v>
      </c>
      <c r="B160" s="23" t="s">
        <v>76</v>
      </c>
      <c r="C160" s="36" t="s">
        <v>60</v>
      </c>
      <c r="D160" t="s">
        <v>3</v>
      </c>
      <c r="E160" s="37">
        <v>5083.5200000000004</v>
      </c>
      <c r="F160" s="37">
        <v>5576.29</v>
      </c>
      <c r="G160" s="37">
        <v>2905.52</v>
      </c>
      <c r="H160"/>
      <c r="I160"/>
    </row>
    <row r="161" spans="1:9" x14ac:dyDescent="0.3">
      <c r="A161" s="23" t="s">
        <v>113</v>
      </c>
      <c r="B161" s="23" t="s">
        <v>77</v>
      </c>
      <c r="C161" s="36" t="s">
        <v>61</v>
      </c>
      <c r="D161" t="s">
        <v>3</v>
      </c>
      <c r="E161" s="37">
        <v>2070.13</v>
      </c>
      <c r="F161" s="37">
        <v>2525.5500000000002</v>
      </c>
      <c r="G161" s="37">
        <v>4295.5</v>
      </c>
      <c r="H161"/>
      <c r="I161"/>
    </row>
    <row r="162" spans="1:9" x14ac:dyDescent="0.3">
      <c r="A162" s="23" t="s">
        <v>114</v>
      </c>
      <c r="B162" s="23" t="s">
        <v>66</v>
      </c>
      <c r="C162" s="36" t="s">
        <v>50</v>
      </c>
      <c r="D162" t="s">
        <v>1</v>
      </c>
      <c r="E162" s="37">
        <v>1242.99</v>
      </c>
      <c r="F162" s="37">
        <v>6443.19</v>
      </c>
      <c r="G162" s="37">
        <v>2678.55</v>
      </c>
      <c r="H162"/>
      <c r="I162"/>
    </row>
    <row r="163" spans="1:9" x14ac:dyDescent="0.3">
      <c r="A163" s="23" t="s">
        <v>114</v>
      </c>
      <c r="B163" s="23" t="s">
        <v>67</v>
      </c>
      <c r="C163" s="36" t="s">
        <v>51</v>
      </c>
      <c r="D163" t="s">
        <v>1</v>
      </c>
      <c r="E163" s="37">
        <v>7469.06</v>
      </c>
      <c r="F163" s="37">
        <v>2849.78</v>
      </c>
      <c r="G163" s="37">
        <v>3435.99</v>
      </c>
      <c r="H163"/>
      <c r="I163"/>
    </row>
    <row r="164" spans="1:9" x14ac:dyDescent="0.3">
      <c r="A164" s="23" t="s">
        <v>114</v>
      </c>
      <c r="B164" s="23" t="s">
        <v>68</v>
      </c>
      <c r="C164" s="36" t="s">
        <v>52</v>
      </c>
      <c r="D164" t="s">
        <v>1</v>
      </c>
      <c r="E164" s="37">
        <v>3266.44</v>
      </c>
      <c r="F164" s="37">
        <v>6072.22</v>
      </c>
      <c r="G164" s="37">
        <v>1998.01</v>
      </c>
      <c r="H164"/>
      <c r="I164"/>
    </row>
    <row r="165" spans="1:9" x14ac:dyDescent="0.3">
      <c r="A165" s="23" t="s">
        <v>114</v>
      </c>
      <c r="B165" s="23" t="s">
        <v>69</v>
      </c>
      <c r="C165" s="36" t="s">
        <v>53</v>
      </c>
      <c r="D165" t="s">
        <v>1</v>
      </c>
      <c r="E165" s="37">
        <v>9492.51</v>
      </c>
      <c r="F165" s="37">
        <v>2478.81</v>
      </c>
      <c r="G165" s="37">
        <v>2755.45</v>
      </c>
      <c r="H165"/>
      <c r="I165"/>
    </row>
    <row r="166" spans="1:9" x14ac:dyDescent="0.3">
      <c r="A166" s="23" t="s">
        <v>114</v>
      </c>
      <c r="B166" s="23" t="s">
        <v>62</v>
      </c>
      <c r="C166" s="36" t="s">
        <v>46</v>
      </c>
      <c r="D166" t="s">
        <v>0</v>
      </c>
      <c r="E166" s="37">
        <v>9015.7800000000007</v>
      </c>
      <c r="F166" s="37">
        <v>4376.24</v>
      </c>
      <c r="G166" s="37">
        <v>2776.9</v>
      </c>
      <c r="H166"/>
      <c r="I166"/>
    </row>
    <row r="167" spans="1:9" x14ac:dyDescent="0.3">
      <c r="A167" s="23" t="s">
        <v>114</v>
      </c>
      <c r="B167" s="23" t="s">
        <v>63</v>
      </c>
      <c r="C167" s="36" t="s">
        <v>47</v>
      </c>
      <c r="D167" t="s">
        <v>0</v>
      </c>
      <c r="E167" s="37">
        <v>9120.44</v>
      </c>
      <c r="F167" s="37">
        <v>4903.3999999999996</v>
      </c>
      <c r="G167" s="37">
        <v>2111.6799999999998</v>
      </c>
      <c r="H167"/>
      <c r="I167"/>
    </row>
    <row r="168" spans="1:9" x14ac:dyDescent="0.3">
      <c r="A168" s="23" t="s">
        <v>114</v>
      </c>
      <c r="B168" s="23" t="s">
        <v>64</v>
      </c>
      <c r="C168" s="36" t="s">
        <v>48</v>
      </c>
      <c r="D168" t="s">
        <v>0</v>
      </c>
      <c r="E168" s="37">
        <v>5028.0600000000004</v>
      </c>
      <c r="F168" s="37">
        <v>6452.1</v>
      </c>
      <c r="G168" s="37">
        <v>2914.32</v>
      </c>
      <c r="H168"/>
      <c r="I168"/>
    </row>
    <row r="169" spans="1:9" x14ac:dyDescent="0.3">
      <c r="A169" s="23" t="s">
        <v>114</v>
      </c>
      <c r="B169" s="23" t="s">
        <v>65</v>
      </c>
      <c r="C169" s="36" t="s">
        <v>49</v>
      </c>
      <c r="D169" t="s">
        <v>0</v>
      </c>
      <c r="E169" s="37">
        <v>5132.72</v>
      </c>
      <c r="F169" s="37">
        <v>6979.26</v>
      </c>
      <c r="G169" s="37">
        <v>2249.1</v>
      </c>
      <c r="H169"/>
      <c r="I169"/>
    </row>
    <row r="170" spans="1:9" x14ac:dyDescent="0.3">
      <c r="A170" s="23" t="s">
        <v>114</v>
      </c>
      <c r="B170" s="23" t="s">
        <v>70</v>
      </c>
      <c r="C170" s="36" t="s">
        <v>54</v>
      </c>
      <c r="D170" t="s">
        <v>2</v>
      </c>
      <c r="E170" s="37">
        <v>3400.37</v>
      </c>
      <c r="F170" s="37">
        <v>1676.12</v>
      </c>
      <c r="G170" s="37">
        <v>7843.38</v>
      </c>
      <c r="H170"/>
      <c r="I170"/>
    </row>
    <row r="171" spans="1:9" x14ac:dyDescent="0.3">
      <c r="A171" s="23" t="s">
        <v>114</v>
      </c>
      <c r="B171" s="23" t="s">
        <v>71</v>
      </c>
      <c r="C171" s="36" t="s">
        <v>55</v>
      </c>
      <c r="D171" t="s">
        <v>2</v>
      </c>
      <c r="E171" s="37">
        <v>12554.11</v>
      </c>
      <c r="F171" s="37">
        <v>2407.7600000000002</v>
      </c>
      <c r="G171" s="37">
        <v>1799.93</v>
      </c>
      <c r="H171"/>
      <c r="I171"/>
    </row>
    <row r="172" spans="1:9" x14ac:dyDescent="0.3">
      <c r="A172" s="23" t="s">
        <v>114</v>
      </c>
      <c r="B172" s="23" t="s">
        <v>72</v>
      </c>
      <c r="C172" s="36" t="s">
        <v>56</v>
      </c>
      <c r="D172" t="s">
        <v>2</v>
      </c>
      <c r="E172" s="37">
        <v>3078.89</v>
      </c>
      <c r="F172" s="37">
        <v>7780.74</v>
      </c>
      <c r="G172" s="37">
        <v>7152.57</v>
      </c>
      <c r="H172"/>
      <c r="I172"/>
    </row>
    <row r="173" spans="1:9" x14ac:dyDescent="0.3">
      <c r="A173" s="23" t="s">
        <v>114</v>
      </c>
      <c r="B173" s="23" t="s">
        <v>73</v>
      </c>
      <c r="C173" s="36" t="s">
        <v>57</v>
      </c>
      <c r="D173" t="s">
        <v>2</v>
      </c>
      <c r="E173" s="37">
        <v>12232.63</v>
      </c>
      <c r="F173" s="37">
        <v>8512.3799999999992</v>
      </c>
      <c r="G173" s="37">
        <v>1109.1199999999999</v>
      </c>
      <c r="H173"/>
      <c r="I173"/>
    </row>
    <row r="174" spans="1:9" x14ac:dyDescent="0.3">
      <c r="A174" s="23" t="s">
        <v>114</v>
      </c>
      <c r="B174" s="23" t="s">
        <v>74</v>
      </c>
      <c r="C174" s="36" t="s">
        <v>58</v>
      </c>
      <c r="D174" t="s">
        <v>3</v>
      </c>
      <c r="E174" s="37">
        <v>4694.82</v>
      </c>
      <c r="F174" s="37">
        <v>2973.57</v>
      </c>
      <c r="G174" s="37">
        <v>4807.0600000000004</v>
      </c>
      <c r="H174"/>
      <c r="I174"/>
    </row>
    <row r="175" spans="1:9" x14ac:dyDescent="0.3">
      <c r="A175" s="23" t="s">
        <v>114</v>
      </c>
      <c r="B175" s="23" t="s">
        <v>75</v>
      </c>
      <c r="C175" s="36" t="s">
        <v>59</v>
      </c>
      <c r="D175" t="s">
        <v>3</v>
      </c>
      <c r="E175" s="37">
        <v>5436.44</v>
      </c>
      <c r="F175" s="37">
        <v>1781.84</v>
      </c>
      <c r="G175" s="37">
        <v>4028.35</v>
      </c>
      <c r="H175"/>
      <c r="I175"/>
    </row>
    <row r="176" spans="1:9" x14ac:dyDescent="0.3">
      <c r="A176" s="23" t="s">
        <v>114</v>
      </c>
      <c r="B176" s="23" t="s">
        <v>76</v>
      </c>
      <c r="C176" s="36" t="s">
        <v>60</v>
      </c>
      <c r="D176" t="s">
        <v>3</v>
      </c>
      <c r="E176" s="37">
        <v>6783.56</v>
      </c>
      <c r="F176" s="37">
        <v>5972.66</v>
      </c>
      <c r="G176" s="37">
        <v>3484.65</v>
      </c>
      <c r="H176"/>
      <c r="I176"/>
    </row>
    <row r="177" spans="1:9" x14ac:dyDescent="0.3">
      <c r="A177" s="23" t="s">
        <v>114</v>
      </c>
      <c r="B177" s="23" t="s">
        <v>77</v>
      </c>
      <c r="C177" s="36" t="s">
        <v>61</v>
      </c>
      <c r="D177" t="s">
        <v>3</v>
      </c>
      <c r="E177" s="37">
        <v>7525.18</v>
      </c>
      <c r="F177" s="37">
        <v>4780.93</v>
      </c>
      <c r="G177" s="37">
        <v>2705.94</v>
      </c>
      <c r="H177"/>
      <c r="I177"/>
    </row>
    <row r="178" spans="1:9" x14ac:dyDescent="0.3">
      <c r="A178" s="23" t="s">
        <v>115</v>
      </c>
      <c r="B178" s="23" t="s">
        <v>66</v>
      </c>
      <c r="C178" s="36" t="s">
        <v>50</v>
      </c>
      <c r="D178" t="s">
        <v>1</v>
      </c>
      <c r="E178" s="37">
        <v>8377.69</v>
      </c>
      <c r="F178" s="37">
        <v>3197.66</v>
      </c>
      <c r="G178" s="37">
        <v>2730.85</v>
      </c>
      <c r="H178"/>
      <c r="I178"/>
    </row>
    <row r="179" spans="1:9" x14ac:dyDescent="0.3">
      <c r="A179" s="23" t="s">
        <v>115</v>
      </c>
      <c r="B179" s="23" t="s">
        <v>67</v>
      </c>
      <c r="C179" s="36" t="s">
        <v>51</v>
      </c>
      <c r="D179" t="s">
        <v>1</v>
      </c>
      <c r="E179" s="37">
        <v>7859.32</v>
      </c>
      <c r="F179" s="37">
        <v>2143.9499999999998</v>
      </c>
      <c r="G179" s="37">
        <v>4823.67</v>
      </c>
      <c r="H179"/>
      <c r="I179"/>
    </row>
    <row r="180" spans="1:9" x14ac:dyDescent="0.3">
      <c r="A180" s="23" t="s">
        <v>115</v>
      </c>
      <c r="B180" s="23" t="s">
        <v>68</v>
      </c>
      <c r="C180" s="36" t="s">
        <v>52</v>
      </c>
      <c r="D180" t="s">
        <v>1</v>
      </c>
      <c r="E180" s="37">
        <v>2986.68</v>
      </c>
      <c r="F180" s="37">
        <v>3205.05</v>
      </c>
      <c r="G180" s="37">
        <v>4474.83</v>
      </c>
      <c r="H180"/>
      <c r="I180"/>
    </row>
    <row r="181" spans="1:9" x14ac:dyDescent="0.3">
      <c r="A181" s="23" t="s">
        <v>115</v>
      </c>
      <c r="B181" s="23" t="s">
        <v>69</v>
      </c>
      <c r="C181" s="36" t="s">
        <v>53</v>
      </c>
      <c r="D181" t="s">
        <v>1</v>
      </c>
      <c r="E181" s="37">
        <v>2468.31</v>
      </c>
      <c r="F181" s="37">
        <v>2151.34</v>
      </c>
      <c r="G181" s="37">
        <v>6567.65</v>
      </c>
      <c r="H181"/>
      <c r="I181"/>
    </row>
    <row r="182" spans="1:9" x14ac:dyDescent="0.3">
      <c r="A182" s="23" t="s">
        <v>115</v>
      </c>
      <c r="B182" s="23" t="s">
        <v>62</v>
      </c>
      <c r="C182" s="36" t="s">
        <v>46</v>
      </c>
      <c r="D182" t="s">
        <v>0</v>
      </c>
      <c r="E182" s="37">
        <v>4471.42</v>
      </c>
      <c r="F182" s="37">
        <v>373.34</v>
      </c>
      <c r="G182" s="37">
        <v>176.8</v>
      </c>
      <c r="H182"/>
      <c r="I182"/>
    </row>
    <row r="183" spans="1:9" x14ac:dyDescent="0.3">
      <c r="A183" s="23" t="s">
        <v>115</v>
      </c>
      <c r="B183" s="23" t="s">
        <v>63</v>
      </c>
      <c r="C183" s="36" t="s">
        <v>47</v>
      </c>
      <c r="D183" t="s">
        <v>0</v>
      </c>
      <c r="E183" s="37">
        <v>2184.02</v>
      </c>
      <c r="F183" s="37">
        <v>681.41</v>
      </c>
      <c r="G183" s="37">
        <v>590.74</v>
      </c>
      <c r="H183"/>
      <c r="I183"/>
    </row>
    <row r="184" spans="1:9" x14ac:dyDescent="0.3">
      <c r="A184" s="23" t="s">
        <v>115</v>
      </c>
      <c r="B184" s="23" t="s">
        <v>64</v>
      </c>
      <c r="C184" s="36" t="s">
        <v>48</v>
      </c>
      <c r="D184" t="s">
        <v>0</v>
      </c>
      <c r="E184" s="37">
        <v>3688.98</v>
      </c>
      <c r="F184" s="37">
        <v>4853.09</v>
      </c>
      <c r="G184" s="37">
        <v>3561.76</v>
      </c>
      <c r="H184"/>
      <c r="I184"/>
    </row>
    <row r="185" spans="1:9" x14ac:dyDescent="0.3">
      <c r="A185" s="23" t="s">
        <v>115</v>
      </c>
      <c r="B185" s="23" t="s">
        <v>65</v>
      </c>
      <c r="C185" s="36" t="s">
        <v>49</v>
      </c>
      <c r="D185" t="s">
        <v>0</v>
      </c>
      <c r="E185" s="37">
        <v>1401.58</v>
      </c>
      <c r="F185" s="37">
        <v>5161.16</v>
      </c>
      <c r="G185" s="37">
        <v>3975.7</v>
      </c>
      <c r="H185"/>
      <c r="I185"/>
    </row>
    <row r="186" spans="1:9" x14ac:dyDescent="0.3">
      <c r="A186" s="23" t="s">
        <v>115</v>
      </c>
      <c r="B186" s="23" t="s">
        <v>70</v>
      </c>
      <c r="C186" s="36" t="s">
        <v>54</v>
      </c>
      <c r="D186" t="s">
        <v>2</v>
      </c>
      <c r="E186" s="37">
        <v>1081.78</v>
      </c>
      <c r="F186" s="37">
        <v>4428.1000000000004</v>
      </c>
      <c r="G186" s="37">
        <v>2336.98</v>
      </c>
      <c r="H186"/>
      <c r="I186"/>
    </row>
    <row r="187" spans="1:9" x14ac:dyDescent="0.3">
      <c r="A187" s="23" t="s">
        <v>115</v>
      </c>
      <c r="B187" s="23" t="s">
        <v>71</v>
      </c>
      <c r="C187" s="36" t="s">
        <v>55</v>
      </c>
      <c r="D187" t="s">
        <v>2</v>
      </c>
      <c r="E187" s="37">
        <v>3976.26</v>
      </c>
      <c r="F187" s="37">
        <v>4211.22</v>
      </c>
      <c r="G187" s="37">
        <v>1204.7</v>
      </c>
      <c r="H187"/>
      <c r="I187"/>
    </row>
    <row r="188" spans="1:9" x14ac:dyDescent="0.3">
      <c r="A188" s="23" t="s">
        <v>115</v>
      </c>
      <c r="B188" s="23" t="s">
        <v>72</v>
      </c>
      <c r="C188" s="36" t="s">
        <v>56</v>
      </c>
      <c r="D188" t="s">
        <v>2</v>
      </c>
      <c r="E188" s="37">
        <v>532.24</v>
      </c>
      <c r="F188" s="37">
        <v>3273.28</v>
      </c>
      <c r="G188" s="37">
        <v>1814.8</v>
      </c>
      <c r="H188"/>
      <c r="I188"/>
    </row>
    <row r="189" spans="1:9" x14ac:dyDescent="0.3">
      <c r="A189" s="23" t="s">
        <v>115</v>
      </c>
      <c r="B189" s="23" t="s">
        <v>73</v>
      </c>
      <c r="C189" s="36" t="s">
        <v>57</v>
      </c>
      <c r="D189" t="s">
        <v>2</v>
      </c>
      <c r="E189" s="37">
        <v>3426.72</v>
      </c>
      <c r="F189" s="37">
        <v>3056.4</v>
      </c>
      <c r="G189" s="37">
        <v>682.52</v>
      </c>
      <c r="H189"/>
      <c r="I189"/>
    </row>
    <row r="190" spans="1:9" x14ac:dyDescent="0.3">
      <c r="A190" s="23" t="s">
        <v>115</v>
      </c>
      <c r="B190" s="23" t="s">
        <v>74</v>
      </c>
      <c r="C190" s="36" t="s">
        <v>58</v>
      </c>
      <c r="D190" t="s">
        <v>3</v>
      </c>
      <c r="E190" s="37">
        <v>3416.93</v>
      </c>
      <c r="F190" s="37">
        <v>5462.66</v>
      </c>
      <c r="G190" s="37">
        <v>605.08000000000004</v>
      </c>
      <c r="H190"/>
      <c r="I190"/>
    </row>
    <row r="191" spans="1:9" x14ac:dyDescent="0.3">
      <c r="A191" s="23" t="s">
        <v>115</v>
      </c>
      <c r="B191" s="23" t="s">
        <v>75</v>
      </c>
      <c r="C191" s="36" t="s">
        <v>59</v>
      </c>
      <c r="D191" t="s">
        <v>3</v>
      </c>
      <c r="E191" s="37">
        <v>2574.36</v>
      </c>
      <c r="F191" s="37">
        <v>4497.8599999999997</v>
      </c>
      <c r="G191" s="37">
        <v>1466.35</v>
      </c>
      <c r="H191"/>
      <c r="I191"/>
    </row>
    <row r="192" spans="1:9" x14ac:dyDescent="0.3">
      <c r="A192" s="23" t="s">
        <v>115</v>
      </c>
      <c r="B192" s="23" t="s">
        <v>76</v>
      </c>
      <c r="C192" s="36" t="s">
        <v>60</v>
      </c>
      <c r="D192" t="s">
        <v>3</v>
      </c>
      <c r="E192" s="37">
        <v>6907.14</v>
      </c>
      <c r="F192" s="37">
        <v>2801.14</v>
      </c>
      <c r="G192" s="37">
        <v>2836.15</v>
      </c>
      <c r="H192"/>
      <c r="I192"/>
    </row>
    <row r="193" spans="1:9" x14ac:dyDescent="0.3">
      <c r="A193" s="23" t="s">
        <v>115</v>
      </c>
      <c r="B193" s="23" t="s">
        <v>77</v>
      </c>
      <c r="C193" s="36" t="s">
        <v>61</v>
      </c>
      <c r="D193" t="s">
        <v>3</v>
      </c>
      <c r="E193" s="37">
        <v>6064.57</v>
      </c>
      <c r="F193" s="37">
        <v>1836.34</v>
      </c>
      <c r="G193" s="37">
        <v>3697.42</v>
      </c>
      <c r="H193"/>
      <c r="I193"/>
    </row>
  </sheetData>
  <sortState xmlns:xlrd2="http://schemas.microsoft.com/office/spreadsheetml/2017/richdata2" ref="A2:I194">
    <sortCondition ref="A2:A194" customList="Jan,Feb,Mar,Apr,May,Jun,Jul,Aug,Sep,Oct,Nov,Dec"/>
  </sortState>
  <mergeCells count="1">
    <mergeCell ref="H1:S1"/>
  </mergeCells>
  <phoneticPr fontId="4" type="noConversion"/>
  <hyperlinks>
    <hyperlink ref="H1" r:id="rId1" xr:uid="{E4C2C937-644E-4867-9AA8-B6D2EC5EA85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D3BC-0E54-4B32-91F7-4B5E59F9DA06}">
  <dimension ref="A1:P131"/>
  <sheetViews>
    <sheetView workbookViewId="0">
      <selection activeCell="E1" sqref="E1:P1"/>
    </sheetView>
  </sheetViews>
  <sheetFormatPr defaultRowHeight="14.4" x14ac:dyDescent="0.3"/>
  <cols>
    <col min="1" max="1" width="31.77734375" bestFit="1" customWidth="1"/>
    <col min="2" max="2" width="28.44140625" bestFit="1" customWidth="1"/>
    <col min="3" max="3" width="7" bestFit="1" customWidth="1"/>
    <col min="4" max="4" width="6" bestFit="1" customWidth="1"/>
    <col min="5" max="6" width="7" bestFit="1" customWidth="1"/>
    <col min="7" max="7" width="8.109375" bestFit="1" customWidth="1"/>
    <col min="8" max="8" width="11.33203125" bestFit="1" customWidth="1"/>
    <col min="9" max="9" width="4.77734375" bestFit="1" customWidth="1"/>
    <col min="10" max="10" width="4.109375" bestFit="1" customWidth="1"/>
    <col min="11" max="11" width="4.44140625" bestFit="1" customWidth="1"/>
    <col min="12" max="12" width="4.88671875" bestFit="1" customWidth="1"/>
    <col min="13" max="13" width="4.33203125" bestFit="1" customWidth="1"/>
    <col min="14" max="14" width="11.33203125" bestFit="1" customWidth="1"/>
    <col min="15" max="61" width="3.5546875" bestFit="1" customWidth="1"/>
    <col min="62" max="62" width="11.33203125" bestFit="1" customWidth="1"/>
  </cols>
  <sheetData>
    <row r="1" spans="1:16" ht="21" x14ac:dyDescent="0.4">
      <c r="A1" s="21" t="s">
        <v>144</v>
      </c>
      <c r="B1" t="s">
        <v>124</v>
      </c>
      <c r="E1" s="54" t="s">
        <v>147</v>
      </c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</row>
    <row r="2" spans="1:16" x14ac:dyDescent="0.3">
      <c r="A2" s="22" t="s">
        <v>90</v>
      </c>
      <c r="B2" s="53">
        <v>560642</v>
      </c>
    </row>
    <row r="3" spans="1:16" x14ac:dyDescent="0.3">
      <c r="A3" s="22" t="s">
        <v>89</v>
      </c>
      <c r="B3" s="53">
        <v>451351</v>
      </c>
    </row>
    <row r="4" spans="1:16" x14ac:dyDescent="0.3">
      <c r="A4" s="22" t="s">
        <v>91</v>
      </c>
      <c r="B4" s="53">
        <v>286991</v>
      </c>
    </row>
    <row r="5" spans="1:16" x14ac:dyDescent="0.3">
      <c r="A5" s="22" t="s">
        <v>145</v>
      </c>
      <c r="B5" s="53">
        <v>1298984</v>
      </c>
    </row>
    <row r="7" spans="1:16" x14ac:dyDescent="0.3">
      <c r="A7" s="21" t="s">
        <v>124</v>
      </c>
      <c r="B7" s="21" t="s">
        <v>146</v>
      </c>
    </row>
    <row r="8" spans="1:16" x14ac:dyDescent="0.3">
      <c r="A8" s="21" t="s">
        <v>144</v>
      </c>
      <c r="B8" t="s">
        <v>90</v>
      </c>
      <c r="C8" t="s">
        <v>89</v>
      </c>
      <c r="D8" t="s">
        <v>91</v>
      </c>
    </row>
    <row r="9" spans="1:16" x14ac:dyDescent="0.3">
      <c r="A9" s="22" t="s">
        <v>104</v>
      </c>
      <c r="B9" s="53">
        <v>19307</v>
      </c>
      <c r="C9" s="53">
        <v>12716</v>
      </c>
      <c r="D9" s="53">
        <v>9935</v>
      </c>
    </row>
    <row r="10" spans="1:16" x14ac:dyDescent="0.3">
      <c r="A10" s="22" t="s">
        <v>105</v>
      </c>
      <c r="B10" s="53">
        <v>25559</v>
      </c>
      <c r="C10" s="53">
        <v>19256</v>
      </c>
      <c r="D10" s="53">
        <v>13013</v>
      </c>
    </row>
    <row r="11" spans="1:16" x14ac:dyDescent="0.3">
      <c r="A11" s="22" t="s">
        <v>106</v>
      </c>
      <c r="B11" s="53">
        <v>12938</v>
      </c>
      <c r="C11" s="53">
        <v>9069</v>
      </c>
      <c r="D11" s="53">
        <v>6229</v>
      </c>
    </row>
    <row r="12" spans="1:16" x14ac:dyDescent="0.3">
      <c r="A12" s="22" t="s">
        <v>107</v>
      </c>
      <c r="B12" s="53">
        <v>34956</v>
      </c>
      <c r="C12" s="53">
        <v>35675</v>
      </c>
      <c r="D12" s="53">
        <v>17981</v>
      </c>
    </row>
    <row r="13" spans="1:16" x14ac:dyDescent="0.3">
      <c r="A13" s="22" t="s">
        <v>108</v>
      </c>
      <c r="B13" s="53">
        <v>39253</v>
      </c>
      <c r="C13" s="53">
        <v>26039</v>
      </c>
      <c r="D13" s="53">
        <v>12804</v>
      </c>
    </row>
    <row r="14" spans="1:16" x14ac:dyDescent="0.3">
      <c r="A14" s="22" t="s">
        <v>109</v>
      </c>
      <c r="B14" s="53">
        <v>15087</v>
      </c>
      <c r="C14" s="53">
        <v>12537</v>
      </c>
      <c r="D14" s="53">
        <v>10204</v>
      </c>
    </row>
    <row r="15" spans="1:16" x14ac:dyDescent="0.3">
      <c r="A15" s="22" t="s">
        <v>110</v>
      </c>
      <c r="B15" s="53">
        <v>7131</v>
      </c>
      <c r="C15" s="53">
        <v>12938</v>
      </c>
      <c r="D15" s="53">
        <v>9070</v>
      </c>
    </row>
    <row r="16" spans="1:16" x14ac:dyDescent="0.3">
      <c r="A16" s="22" t="s">
        <v>111</v>
      </c>
      <c r="B16" s="53">
        <v>34855</v>
      </c>
      <c r="C16" s="53">
        <v>34299</v>
      </c>
      <c r="D16" s="53">
        <v>22656</v>
      </c>
    </row>
    <row r="17" spans="1:4" x14ac:dyDescent="0.3">
      <c r="A17" s="22" t="s">
        <v>112</v>
      </c>
      <c r="B17" s="53">
        <v>97664</v>
      </c>
      <c r="C17" s="53">
        <v>70780</v>
      </c>
      <c r="D17" s="53">
        <v>46439</v>
      </c>
    </row>
    <row r="18" spans="1:4" x14ac:dyDescent="0.3">
      <c r="A18" s="22" t="s">
        <v>113</v>
      </c>
      <c r="B18" s="53">
        <v>107000</v>
      </c>
      <c r="C18" s="53">
        <v>90267</v>
      </c>
      <c r="D18" s="53">
        <v>54687</v>
      </c>
    </row>
    <row r="19" spans="1:4" x14ac:dyDescent="0.3">
      <c r="A19" s="22" t="s">
        <v>114</v>
      </c>
      <c r="B19" s="53">
        <v>105474</v>
      </c>
      <c r="C19" s="53">
        <v>76441</v>
      </c>
      <c r="D19" s="53">
        <v>50156</v>
      </c>
    </row>
    <row r="20" spans="1:4" x14ac:dyDescent="0.3">
      <c r="A20" s="22" t="s">
        <v>115</v>
      </c>
      <c r="B20" s="53">
        <v>61418</v>
      </c>
      <c r="C20" s="53">
        <v>51334</v>
      </c>
      <c r="D20" s="53">
        <v>33817</v>
      </c>
    </row>
    <row r="23" spans="1:4" x14ac:dyDescent="0.3">
      <c r="A23" s="21" t="s">
        <v>144</v>
      </c>
      <c r="B23" t="s">
        <v>124</v>
      </c>
    </row>
    <row r="24" spans="1:4" x14ac:dyDescent="0.3">
      <c r="A24" s="22" t="s">
        <v>21</v>
      </c>
      <c r="B24" s="53">
        <v>374921</v>
      </c>
    </row>
    <row r="25" spans="1:4" x14ac:dyDescent="0.3">
      <c r="A25" s="22" t="s">
        <v>19</v>
      </c>
      <c r="B25" s="53">
        <v>272164</v>
      </c>
    </row>
    <row r="26" spans="1:4" x14ac:dyDescent="0.3">
      <c r="A26" s="22" t="s">
        <v>22</v>
      </c>
      <c r="B26" s="53">
        <v>99966</v>
      </c>
    </row>
    <row r="27" spans="1:4" x14ac:dyDescent="0.3">
      <c r="A27" s="22" t="s">
        <v>24</v>
      </c>
      <c r="B27" s="53">
        <v>57198</v>
      </c>
    </row>
    <row r="28" spans="1:4" x14ac:dyDescent="0.3">
      <c r="A28" s="22" t="s">
        <v>23</v>
      </c>
      <c r="B28" s="53">
        <v>140223</v>
      </c>
    </row>
    <row r="29" spans="1:4" x14ac:dyDescent="0.3">
      <c r="A29" s="22" t="s">
        <v>20</v>
      </c>
      <c r="B29" s="53">
        <v>354512</v>
      </c>
    </row>
    <row r="32" spans="1:4" x14ac:dyDescent="0.3">
      <c r="A32" s="21" t="s">
        <v>144</v>
      </c>
      <c r="B32" t="s">
        <v>125</v>
      </c>
    </row>
    <row r="33" spans="1:6" x14ac:dyDescent="0.3">
      <c r="A33" s="22" t="s">
        <v>21</v>
      </c>
      <c r="B33" s="53">
        <v>187420</v>
      </c>
    </row>
    <row r="34" spans="1:6" x14ac:dyDescent="0.3">
      <c r="A34" s="22" t="s">
        <v>19</v>
      </c>
      <c r="B34" s="53">
        <v>136034</v>
      </c>
    </row>
    <row r="35" spans="1:6" x14ac:dyDescent="0.3">
      <c r="A35" s="22" t="s">
        <v>22</v>
      </c>
      <c r="B35" s="53">
        <v>49939</v>
      </c>
    </row>
    <row r="36" spans="1:6" x14ac:dyDescent="0.3">
      <c r="A36" s="22" t="s">
        <v>24</v>
      </c>
      <c r="B36" s="53">
        <v>28552</v>
      </c>
    </row>
    <row r="37" spans="1:6" x14ac:dyDescent="0.3">
      <c r="A37" s="22" t="s">
        <v>23</v>
      </c>
      <c r="B37" s="53">
        <v>70068</v>
      </c>
    </row>
    <row r="38" spans="1:6" x14ac:dyDescent="0.3">
      <c r="A38" s="22" t="s">
        <v>20</v>
      </c>
      <c r="B38" s="53">
        <v>177210</v>
      </c>
    </row>
    <row r="39" spans="1:6" x14ac:dyDescent="0.3">
      <c r="A39" s="22" t="s">
        <v>145</v>
      </c>
      <c r="B39" s="53">
        <v>649223</v>
      </c>
    </row>
    <row r="41" spans="1:6" x14ac:dyDescent="0.3">
      <c r="A41" s="21" t="s">
        <v>144</v>
      </c>
      <c r="B41" t="s">
        <v>126</v>
      </c>
    </row>
    <row r="42" spans="1:6" x14ac:dyDescent="0.3">
      <c r="A42" s="22" t="s">
        <v>21</v>
      </c>
      <c r="B42" s="53">
        <v>9199910</v>
      </c>
    </row>
    <row r="43" spans="1:6" x14ac:dyDescent="0.3">
      <c r="A43" s="22" t="s">
        <v>19</v>
      </c>
      <c r="B43" s="53">
        <v>5299902</v>
      </c>
    </row>
    <row r="44" spans="1:6" x14ac:dyDescent="0.3">
      <c r="A44" s="22" t="s">
        <v>22</v>
      </c>
      <c r="B44" s="53">
        <v>6699912</v>
      </c>
    </row>
    <row r="45" spans="1:6" x14ac:dyDescent="0.3">
      <c r="A45" s="22" t="s">
        <v>24</v>
      </c>
      <c r="B45" s="53">
        <v>3899918</v>
      </c>
    </row>
    <row r="46" spans="1:6" x14ac:dyDescent="0.3">
      <c r="A46" s="22" t="s">
        <v>23</v>
      </c>
      <c r="B46" s="53">
        <v>2699918</v>
      </c>
    </row>
    <row r="47" spans="1:6" x14ac:dyDescent="0.3">
      <c r="A47" s="22" t="s">
        <v>20</v>
      </c>
      <c r="B47" s="53">
        <v>7399903</v>
      </c>
    </row>
    <row r="48" spans="1:6" x14ac:dyDescent="0.3">
      <c r="A48" s="22" t="s">
        <v>145</v>
      </c>
      <c r="B48" s="53">
        <v>35199463</v>
      </c>
      <c r="F48">
        <f>GETPIVOTDATA("Traffic ",$A$41)</f>
        <v>35199463</v>
      </c>
    </row>
    <row r="50" spans="1:7" x14ac:dyDescent="0.3">
      <c r="A50" s="21" t="s">
        <v>126</v>
      </c>
      <c r="B50" s="21" t="s">
        <v>146</v>
      </c>
    </row>
    <row r="51" spans="1:7" x14ac:dyDescent="0.3">
      <c r="A51" s="21" t="s">
        <v>144</v>
      </c>
      <c r="B51" t="s">
        <v>21</v>
      </c>
      <c r="C51" t="s">
        <v>19</v>
      </c>
      <c r="D51" t="s">
        <v>22</v>
      </c>
      <c r="E51" t="s">
        <v>24</v>
      </c>
      <c r="F51" t="s">
        <v>23</v>
      </c>
      <c r="G51" t="s">
        <v>20</v>
      </c>
    </row>
    <row r="52" spans="1:7" x14ac:dyDescent="0.3">
      <c r="A52" s="22" t="s">
        <v>104</v>
      </c>
      <c r="B52" s="53">
        <v>198146</v>
      </c>
      <c r="C52" s="53">
        <v>171213</v>
      </c>
      <c r="D52" s="53">
        <v>216454</v>
      </c>
      <c r="E52" s="53">
        <v>125993</v>
      </c>
      <c r="F52" s="53">
        <v>60224</v>
      </c>
      <c r="G52" s="53">
        <v>330147</v>
      </c>
    </row>
    <row r="53" spans="1:7" x14ac:dyDescent="0.3">
      <c r="A53" s="22" t="s">
        <v>105</v>
      </c>
      <c r="B53" s="53">
        <v>551993</v>
      </c>
      <c r="C53" s="53">
        <v>599299</v>
      </c>
      <c r="D53" s="53">
        <v>401993</v>
      </c>
      <c r="E53" s="53">
        <v>173992</v>
      </c>
      <c r="F53" s="53">
        <v>120454</v>
      </c>
      <c r="G53" s="53">
        <v>165070</v>
      </c>
    </row>
    <row r="54" spans="1:7" x14ac:dyDescent="0.3">
      <c r="A54" s="22" t="s">
        <v>106</v>
      </c>
      <c r="B54" s="53">
        <v>410454</v>
      </c>
      <c r="C54" s="53">
        <v>945838</v>
      </c>
      <c r="D54" s="53">
        <v>1108072</v>
      </c>
      <c r="E54" s="53">
        <v>440994</v>
      </c>
      <c r="F54" s="53">
        <v>191070</v>
      </c>
      <c r="G54" s="53">
        <v>239069</v>
      </c>
    </row>
    <row r="55" spans="1:7" x14ac:dyDescent="0.3">
      <c r="A55" s="22" t="s">
        <v>107</v>
      </c>
      <c r="B55" s="53">
        <v>651069</v>
      </c>
      <c r="C55" s="53">
        <v>154916</v>
      </c>
      <c r="D55" s="53">
        <v>458684</v>
      </c>
      <c r="E55" s="53">
        <v>86994</v>
      </c>
      <c r="F55" s="53">
        <v>481839</v>
      </c>
      <c r="G55" s="53">
        <v>1223836</v>
      </c>
    </row>
    <row r="56" spans="1:7" x14ac:dyDescent="0.3">
      <c r="A56" s="22" t="s">
        <v>108</v>
      </c>
      <c r="B56" s="53">
        <v>629837</v>
      </c>
      <c r="C56" s="53">
        <v>876530</v>
      </c>
      <c r="D56" s="53">
        <v>474147</v>
      </c>
      <c r="E56" s="53">
        <v>695993</v>
      </c>
      <c r="F56" s="53">
        <v>58148</v>
      </c>
      <c r="G56" s="53">
        <v>216300</v>
      </c>
    </row>
    <row r="57" spans="1:7" x14ac:dyDescent="0.3">
      <c r="A57" s="22" t="s">
        <v>109</v>
      </c>
      <c r="B57" s="53">
        <v>1521532</v>
      </c>
      <c r="C57" s="53">
        <v>362839</v>
      </c>
      <c r="D57" s="53">
        <v>298915</v>
      </c>
      <c r="E57" s="53">
        <v>83993</v>
      </c>
      <c r="F57" s="53">
        <v>78916</v>
      </c>
      <c r="G57" s="53">
        <v>836760</v>
      </c>
    </row>
    <row r="58" spans="1:7" x14ac:dyDescent="0.3">
      <c r="A58" s="22" t="s">
        <v>110</v>
      </c>
      <c r="B58" s="53">
        <v>205224</v>
      </c>
      <c r="C58" s="53">
        <v>1027378</v>
      </c>
      <c r="D58" s="53">
        <v>1298762</v>
      </c>
      <c r="E58" s="53">
        <v>266993</v>
      </c>
      <c r="F58" s="53">
        <v>446534</v>
      </c>
      <c r="G58" s="53">
        <v>506606</v>
      </c>
    </row>
    <row r="59" spans="1:7" x14ac:dyDescent="0.3">
      <c r="A59" s="22" t="s">
        <v>111</v>
      </c>
      <c r="B59" s="53">
        <v>297224</v>
      </c>
      <c r="C59" s="53">
        <v>317993</v>
      </c>
      <c r="D59" s="53">
        <v>149454</v>
      </c>
      <c r="E59" s="53">
        <v>275994</v>
      </c>
      <c r="F59" s="53">
        <v>305301</v>
      </c>
      <c r="G59" s="53">
        <v>1434456</v>
      </c>
    </row>
    <row r="60" spans="1:7" x14ac:dyDescent="0.3">
      <c r="A60" s="22" t="s">
        <v>112</v>
      </c>
      <c r="B60" s="53">
        <v>1641839</v>
      </c>
      <c r="C60" s="53">
        <v>114146</v>
      </c>
      <c r="D60" s="53">
        <v>144299</v>
      </c>
      <c r="E60" s="53">
        <v>644992</v>
      </c>
      <c r="F60" s="53">
        <v>161993</v>
      </c>
      <c r="G60" s="53">
        <v>159375</v>
      </c>
    </row>
    <row r="61" spans="1:7" x14ac:dyDescent="0.3">
      <c r="A61" s="22" t="s">
        <v>113</v>
      </c>
      <c r="B61" s="53">
        <v>268916</v>
      </c>
      <c r="C61" s="53">
        <v>375070</v>
      </c>
      <c r="D61" s="53">
        <v>1195685</v>
      </c>
      <c r="E61" s="53">
        <v>113993</v>
      </c>
      <c r="F61" s="53">
        <v>87223</v>
      </c>
      <c r="G61" s="53">
        <v>443992</v>
      </c>
    </row>
    <row r="62" spans="1:7" x14ac:dyDescent="0.3">
      <c r="A62" s="22" t="s">
        <v>114</v>
      </c>
      <c r="B62" s="53">
        <v>1783378</v>
      </c>
      <c r="C62" s="53">
        <v>118225</v>
      </c>
      <c r="D62" s="53">
        <v>195839</v>
      </c>
      <c r="E62" s="53">
        <v>755993</v>
      </c>
      <c r="F62" s="53">
        <v>184839</v>
      </c>
      <c r="G62" s="53">
        <v>1320608</v>
      </c>
    </row>
    <row r="63" spans="1:7" x14ac:dyDescent="0.3">
      <c r="A63" s="22" t="s">
        <v>115</v>
      </c>
      <c r="B63" s="53">
        <v>1040298</v>
      </c>
      <c r="C63" s="53">
        <v>236455</v>
      </c>
      <c r="D63" s="53">
        <v>757608</v>
      </c>
      <c r="E63" s="53">
        <v>233994</v>
      </c>
      <c r="F63" s="53">
        <v>523377</v>
      </c>
      <c r="G63" s="53">
        <v>523684</v>
      </c>
    </row>
    <row r="66" spans="1:2" x14ac:dyDescent="0.3">
      <c r="A66" s="21" t="s">
        <v>144</v>
      </c>
      <c r="B66" t="s">
        <v>127</v>
      </c>
    </row>
    <row r="67" spans="1:2" x14ac:dyDescent="0.3">
      <c r="A67" s="22" t="s">
        <v>104</v>
      </c>
      <c r="B67" s="53">
        <v>3.3188657407407416E-3</v>
      </c>
    </row>
    <row r="68" spans="1:2" x14ac:dyDescent="0.3">
      <c r="A68" s="22" t="s">
        <v>105</v>
      </c>
      <c r="B68" s="53">
        <v>2.7498070987654324E-3</v>
      </c>
    </row>
    <row r="69" spans="1:2" x14ac:dyDescent="0.3">
      <c r="A69" s="22" t="s">
        <v>106</v>
      </c>
      <c r="B69" s="53">
        <v>1.7480066872427981E-3</v>
      </c>
    </row>
    <row r="70" spans="1:2" x14ac:dyDescent="0.3">
      <c r="A70" s="22" t="s">
        <v>107</v>
      </c>
      <c r="B70" s="53">
        <v>4.0097736625514411E-3</v>
      </c>
    </row>
    <row r="71" spans="1:2" x14ac:dyDescent="0.3">
      <c r="A71" s="22" t="s">
        <v>108</v>
      </c>
      <c r="B71" s="53">
        <v>2.9292052469135797E-3</v>
      </c>
    </row>
    <row r="72" spans="1:2" x14ac:dyDescent="0.3">
      <c r="A72" s="22" t="s">
        <v>109</v>
      </c>
      <c r="B72" s="53">
        <v>3.5852301954732504E-3</v>
      </c>
    </row>
    <row r="73" spans="1:2" x14ac:dyDescent="0.3">
      <c r="A73" s="22" t="s">
        <v>110</v>
      </c>
      <c r="B73" s="53">
        <v>2.9865933641975307E-3</v>
      </c>
    </row>
    <row r="74" spans="1:2" x14ac:dyDescent="0.3">
      <c r="A74" s="22" t="s">
        <v>111</v>
      </c>
      <c r="B74" s="53">
        <v>3.9009452160493818E-3</v>
      </c>
    </row>
    <row r="75" spans="1:2" x14ac:dyDescent="0.3">
      <c r="A75" s="22" t="s">
        <v>112</v>
      </c>
      <c r="B75" s="53">
        <v>4.4153485082304537E-3</v>
      </c>
    </row>
    <row r="76" spans="1:2" x14ac:dyDescent="0.3">
      <c r="A76" s="22" t="s">
        <v>113</v>
      </c>
      <c r="B76" s="53">
        <v>2.9087898662551429E-3</v>
      </c>
    </row>
    <row r="77" spans="1:2" x14ac:dyDescent="0.3">
      <c r="A77" s="22" t="s">
        <v>114</v>
      </c>
      <c r="B77" s="53">
        <v>3.614647633744856E-3</v>
      </c>
    </row>
    <row r="78" spans="1:2" x14ac:dyDescent="0.3">
      <c r="A78" s="22" t="s">
        <v>115</v>
      </c>
      <c r="B78" s="53">
        <v>3.1658307613168721E-3</v>
      </c>
    </row>
    <row r="79" spans="1:2" x14ac:dyDescent="0.3">
      <c r="A79" s="22" t="s">
        <v>145</v>
      </c>
      <c r="B79" s="53">
        <v>3.2777536651234554E-3</v>
      </c>
    </row>
    <row r="81" spans="1:8" x14ac:dyDescent="0.3">
      <c r="A81" s="21" t="s">
        <v>144</v>
      </c>
      <c r="B81" t="s">
        <v>124</v>
      </c>
    </row>
    <row r="82" spans="1:8" x14ac:dyDescent="0.3">
      <c r="A82" s="22" t="s">
        <v>1</v>
      </c>
      <c r="B82" s="53">
        <v>330213</v>
      </c>
    </row>
    <row r="83" spans="1:8" x14ac:dyDescent="0.3">
      <c r="A83" s="22" t="s">
        <v>0</v>
      </c>
      <c r="B83" s="53">
        <v>328691</v>
      </c>
    </row>
    <row r="84" spans="1:8" x14ac:dyDescent="0.3">
      <c r="A84" s="22" t="s">
        <v>2</v>
      </c>
      <c r="B84" s="53">
        <v>319274</v>
      </c>
    </row>
    <row r="85" spans="1:8" x14ac:dyDescent="0.3">
      <c r="A85" s="22" t="s">
        <v>3</v>
      </c>
      <c r="B85" s="53">
        <v>320806</v>
      </c>
      <c r="H85">
        <f>GETPIVOTDATA("Revenue",$A$81)</f>
        <v>1298984</v>
      </c>
    </row>
    <row r="86" spans="1:8" x14ac:dyDescent="0.3">
      <c r="A86" s="22" t="s">
        <v>145</v>
      </c>
      <c r="B86" s="53">
        <v>1298984</v>
      </c>
    </row>
    <row r="88" spans="1:8" x14ac:dyDescent="0.3">
      <c r="A88" s="21" t="s">
        <v>124</v>
      </c>
      <c r="B88" s="21" t="s">
        <v>146</v>
      </c>
    </row>
    <row r="89" spans="1:8" x14ac:dyDescent="0.3">
      <c r="A89" s="21" t="s">
        <v>144</v>
      </c>
      <c r="B89" t="s">
        <v>90</v>
      </c>
      <c r="C89" t="s">
        <v>89</v>
      </c>
      <c r="D89" t="s">
        <v>91</v>
      </c>
    </row>
    <row r="90" spans="1:8" x14ac:dyDescent="0.3">
      <c r="A90" s="22" t="s">
        <v>1</v>
      </c>
      <c r="B90" s="53">
        <v>153606</v>
      </c>
      <c r="C90" s="53">
        <v>105508</v>
      </c>
      <c r="D90" s="53">
        <v>71099</v>
      </c>
    </row>
    <row r="91" spans="1:8" x14ac:dyDescent="0.3">
      <c r="A91" s="22" t="s">
        <v>0</v>
      </c>
      <c r="B91" s="53">
        <v>135632</v>
      </c>
      <c r="C91" s="53">
        <v>120216</v>
      </c>
      <c r="D91" s="53">
        <v>72843</v>
      </c>
    </row>
    <row r="92" spans="1:8" x14ac:dyDescent="0.3">
      <c r="A92" s="22" t="s">
        <v>2</v>
      </c>
      <c r="B92" s="53">
        <v>126713</v>
      </c>
      <c r="C92" s="53">
        <v>120167</v>
      </c>
      <c r="D92" s="53">
        <v>72394</v>
      </c>
    </row>
    <row r="93" spans="1:8" x14ac:dyDescent="0.3">
      <c r="A93" s="22" t="s">
        <v>3</v>
      </c>
      <c r="B93" s="53">
        <v>144691</v>
      </c>
      <c r="C93" s="53">
        <v>105460</v>
      </c>
      <c r="D93" s="53">
        <v>70655</v>
      </c>
    </row>
    <row r="96" spans="1:8" x14ac:dyDescent="0.3">
      <c r="A96" s="21" t="s">
        <v>144</v>
      </c>
      <c r="B96" t="s">
        <v>124</v>
      </c>
    </row>
    <row r="97" spans="1:2" x14ac:dyDescent="0.3">
      <c r="A97" s="22" t="s">
        <v>104</v>
      </c>
      <c r="B97" s="53">
        <v>41958</v>
      </c>
    </row>
    <row r="98" spans="1:2" x14ac:dyDescent="0.3">
      <c r="A98" s="22" t="s">
        <v>105</v>
      </c>
      <c r="B98" s="53">
        <v>57828</v>
      </c>
    </row>
    <row r="99" spans="1:2" x14ac:dyDescent="0.3">
      <c r="A99" s="22" t="s">
        <v>106</v>
      </c>
      <c r="B99" s="53">
        <v>28236</v>
      </c>
    </row>
    <row r="100" spans="1:2" x14ac:dyDescent="0.3">
      <c r="A100" s="22" t="s">
        <v>107</v>
      </c>
      <c r="B100" s="53">
        <v>88612</v>
      </c>
    </row>
    <row r="101" spans="1:2" x14ac:dyDescent="0.3">
      <c r="A101" s="22" t="s">
        <v>108</v>
      </c>
      <c r="B101" s="53">
        <v>78096</v>
      </c>
    </row>
    <row r="102" spans="1:2" x14ac:dyDescent="0.3">
      <c r="A102" s="22" t="s">
        <v>109</v>
      </c>
      <c r="B102" s="53">
        <v>37828</v>
      </c>
    </row>
    <row r="103" spans="1:2" x14ac:dyDescent="0.3">
      <c r="A103" s="22" t="s">
        <v>110</v>
      </c>
      <c r="B103" s="53">
        <v>29139</v>
      </c>
    </row>
    <row r="104" spans="1:2" x14ac:dyDescent="0.3">
      <c r="A104" s="22" t="s">
        <v>111</v>
      </c>
      <c r="B104" s="53">
        <v>91810</v>
      </c>
    </row>
    <row r="105" spans="1:2" x14ac:dyDescent="0.3">
      <c r="A105" s="22" t="s">
        <v>112</v>
      </c>
      <c r="B105" s="53">
        <v>214883</v>
      </c>
    </row>
    <row r="106" spans="1:2" x14ac:dyDescent="0.3">
      <c r="A106" s="22" t="s">
        <v>113</v>
      </c>
      <c r="B106" s="53">
        <v>251954</v>
      </c>
    </row>
    <row r="107" spans="1:2" x14ac:dyDescent="0.3">
      <c r="A107" s="22" t="s">
        <v>114</v>
      </c>
      <c r="B107" s="53">
        <v>232071</v>
      </c>
    </row>
    <row r="108" spans="1:2" x14ac:dyDescent="0.3">
      <c r="A108" s="22" t="s">
        <v>115</v>
      </c>
      <c r="B108" s="53">
        <v>146569</v>
      </c>
    </row>
    <row r="109" spans="1:2" x14ac:dyDescent="0.3">
      <c r="A109" s="22" t="s">
        <v>145</v>
      </c>
      <c r="B109" s="53">
        <v>1298984</v>
      </c>
    </row>
    <row r="111" spans="1:2" x14ac:dyDescent="0.3">
      <c r="A111" s="21" t="s">
        <v>144</v>
      </c>
    </row>
    <row r="112" spans="1:2" x14ac:dyDescent="0.3">
      <c r="A112" s="22" t="s">
        <v>104</v>
      </c>
      <c r="B112" t="s">
        <v>104</v>
      </c>
    </row>
    <row r="113" spans="1:2" x14ac:dyDescent="0.3">
      <c r="A113" s="22" t="s">
        <v>105</v>
      </c>
      <c r="B113" t="s">
        <v>105</v>
      </c>
    </row>
    <row r="114" spans="1:2" x14ac:dyDescent="0.3">
      <c r="A114" s="22" t="s">
        <v>106</v>
      </c>
      <c r="B114" t="s">
        <v>106</v>
      </c>
    </row>
    <row r="115" spans="1:2" x14ac:dyDescent="0.3">
      <c r="A115" s="22" t="s">
        <v>107</v>
      </c>
      <c r="B115" t="s">
        <v>107</v>
      </c>
    </row>
    <row r="116" spans="1:2" x14ac:dyDescent="0.3">
      <c r="A116" s="22" t="s">
        <v>108</v>
      </c>
      <c r="B116" t="s">
        <v>108</v>
      </c>
    </row>
    <row r="117" spans="1:2" x14ac:dyDescent="0.3">
      <c r="A117" s="22" t="s">
        <v>109</v>
      </c>
      <c r="B117" t="s">
        <v>109</v>
      </c>
    </row>
    <row r="118" spans="1:2" x14ac:dyDescent="0.3">
      <c r="A118" s="22" t="s">
        <v>110</v>
      </c>
      <c r="B118" t="s">
        <v>110</v>
      </c>
    </row>
    <row r="119" spans="1:2" x14ac:dyDescent="0.3">
      <c r="A119" s="22" t="s">
        <v>111</v>
      </c>
      <c r="B119" t="s">
        <v>111</v>
      </c>
    </row>
    <row r="120" spans="1:2" x14ac:dyDescent="0.3">
      <c r="A120" s="22" t="s">
        <v>112</v>
      </c>
      <c r="B120" t="s">
        <v>112</v>
      </c>
    </row>
    <row r="121" spans="1:2" x14ac:dyDescent="0.3">
      <c r="A121" s="22" t="s">
        <v>113</v>
      </c>
      <c r="B121" t="s">
        <v>113</v>
      </c>
    </row>
    <row r="122" spans="1:2" x14ac:dyDescent="0.3">
      <c r="A122" s="22" t="s">
        <v>114</v>
      </c>
      <c r="B122" t="s">
        <v>114</v>
      </c>
    </row>
    <row r="123" spans="1:2" x14ac:dyDescent="0.3">
      <c r="A123" s="22" t="s">
        <v>115</v>
      </c>
      <c r="B123" t="s">
        <v>115</v>
      </c>
    </row>
    <row r="126" spans="1:2" x14ac:dyDescent="0.3">
      <c r="A126" s="21" t="s">
        <v>132</v>
      </c>
    </row>
    <row r="127" spans="1:2" x14ac:dyDescent="0.3">
      <c r="A127" s="22" t="s">
        <v>130</v>
      </c>
      <c r="B127" s="53">
        <v>10731</v>
      </c>
    </row>
    <row r="128" spans="1:2" x14ac:dyDescent="0.3">
      <c r="A128" s="22" t="s">
        <v>131</v>
      </c>
      <c r="B128" s="53">
        <v>34468</v>
      </c>
    </row>
    <row r="130" spans="1:2" x14ac:dyDescent="0.3">
      <c r="A130" t="s">
        <v>140</v>
      </c>
      <c r="B130" t="s">
        <v>141</v>
      </c>
    </row>
    <row r="131" spans="1:2" x14ac:dyDescent="0.3">
      <c r="A131" s="13">
        <v>0.5013310185185188</v>
      </c>
      <c r="B131" s="13">
        <v>0.49866898148148109</v>
      </c>
    </row>
  </sheetData>
  <mergeCells count="1">
    <mergeCell ref="E1:P1"/>
  </mergeCells>
  <phoneticPr fontId="4" type="noConversion"/>
  <hyperlinks>
    <hyperlink ref="E1" r:id="rId14" xr:uid="{D078CDFB-351F-4A29-A79F-DADAC93E702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4112-0FB7-4147-A5C5-DDC8129D2ACE}">
  <sheetPr codeName="Лист3"/>
  <dimension ref="A1:N4"/>
  <sheetViews>
    <sheetView zoomScaleNormal="100" workbookViewId="0">
      <selection activeCell="C1" sqref="C1:N1"/>
    </sheetView>
  </sheetViews>
  <sheetFormatPr defaultRowHeight="14.4" x14ac:dyDescent="0.3"/>
  <cols>
    <col min="3" max="3" width="20.21875" bestFit="1" customWidth="1"/>
    <col min="4" max="4" width="20.6640625" bestFit="1" customWidth="1"/>
  </cols>
  <sheetData>
    <row r="1" spans="1:14" ht="21" x14ac:dyDescent="0.4">
      <c r="A1" t="s">
        <v>87</v>
      </c>
      <c r="B1" t="s">
        <v>88</v>
      </c>
      <c r="C1" s="54" t="s">
        <v>147</v>
      </c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</row>
    <row r="2" spans="1:14" x14ac:dyDescent="0.3">
      <c r="A2" s="3" t="s">
        <v>5</v>
      </c>
      <c r="B2" t="s">
        <v>89</v>
      </c>
    </row>
    <row r="3" spans="1:14" x14ac:dyDescent="0.3">
      <c r="A3" s="3" t="s">
        <v>7</v>
      </c>
      <c r="B3" t="s">
        <v>90</v>
      </c>
    </row>
    <row r="4" spans="1:14" x14ac:dyDescent="0.3">
      <c r="A4" s="3" t="s">
        <v>6</v>
      </c>
      <c r="B4" t="s">
        <v>91</v>
      </c>
    </row>
  </sheetData>
  <mergeCells count="1">
    <mergeCell ref="C1:N1"/>
  </mergeCells>
  <hyperlinks>
    <hyperlink ref="C1" r:id="rId1" xr:uid="{A7D7C62E-7F89-49A8-A0F7-F9AF34CE3021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DAY</vt:lpstr>
      <vt:lpstr>NIGHT</vt:lpstr>
      <vt:lpstr>Processing</vt:lpstr>
      <vt:lpstr>Data</vt:lpstr>
      <vt:lpstr>Sales Manager</vt:lpstr>
      <vt:lpstr>Control</vt:lpstr>
      <vt:lpstr>Resources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2022-08-30T10:55:50Z</dcterms:created>
  <dcterms:modified xsi:type="dcterms:W3CDTF">2022-09-29T16:21:54Z</dcterms:modified>
</cp:coreProperties>
</file>