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Kuba\Projects\IcicleInSeasonForecast\"/>
    </mc:Choice>
  </mc:AlternateContent>
  <bookViews>
    <workbookView xWindow="15" yWindow="165" windowWidth="14115" windowHeight="12060"/>
  </bookViews>
  <sheets>
    <sheet name="Icicle Run ReconstructionUpdate" sheetId="1" r:id="rId1"/>
  </sheets>
  <definedNames>
    <definedName name="_xlnm._FilterDatabase" localSheetId="0" hidden="1">'Icicle Run ReconstructionUpdate'!$A$4:$O$4</definedName>
    <definedName name="_xlnm.Print_Area" localSheetId="0">'Icicle Run ReconstructionUpdate'!$A$1:$M$46</definedName>
  </definedNames>
  <calcPr calcId="162913"/>
</workbook>
</file>

<file path=xl/calcChain.xml><?xml version="1.0" encoding="utf-8"?>
<calcChain xmlns="http://schemas.openxmlformats.org/spreadsheetml/2006/main">
  <c r="I23" i="1" l="1"/>
  <c r="M23" i="1" s="1"/>
  <c r="J37" i="1" l="1"/>
  <c r="J38" i="1"/>
  <c r="J39" i="1"/>
  <c r="L39" i="1" s="1"/>
  <c r="K39" i="1" s="1"/>
  <c r="J40" i="1"/>
  <c r="J36" i="1"/>
  <c r="L40" i="1"/>
  <c r="K40" i="1" s="1"/>
  <c r="L23" i="1"/>
  <c r="J23" i="1"/>
  <c r="F23" i="1"/>
  <c r="D23" i="1"/>
  <c r="O23" i="1"/>
  <c r="I22" i="1" l="1"/>
  <c r="M22" i="1" s="1"/>
  <c r="O22" i="1" l="1"/>
  <c r="L38" i="1" l="1"/>
  <c r="L36" i="1"/>
  <c r="L28" i="1"/>
  <c r="L29" i="1"/>
  <c r="L30" i="1"/>
  <c r="L27" i="1"/>
  <c r="L32" i="1" s="1"/>
  <c r="L37" i="1" l="1"/>
  <c r="K37" i="1" s="1"/>
  <c r="K38" i="1"/>
  <c r="K36" i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I15" i="1"/>
  <c r="I16" i="1"/>
  <c r="I17" i="1"/>
  <c r="I19" i="1"/>
  <c r="I20" i="1"/>
  <c r="I21" i="1"/>
  <c r="I5" i="1"/>
  <c r="O5" i="1" s="1"/>
  <c r="M17" i="1" l="1"/>
  <c r="O17" i="1"/>
  <c r="M16" i="1"/>
  <c r="O16" i="1"/>
  <c r="M20" i="1"/>
  <c r="D20" i="1" s="1"/>
  <c r="O20" i="1"/>
  <c r="M15" i="1"/>
  <c r="O15" i="1"/>
  <c r="M19" i="1"/>
  <c r="O19" i="1"/>
  <c r="M14" i="1"/>
  <c r="O14" i="1"/>
  <c r="M21" i="1"/>
  <c r="F21" i="1" s="1"/>
  <c r="O21" i="1"/>
  <c r="J20" i="1" l="1"/>
  <c r="F20" i="1"/>
  <c r="L21" i="1"/>
  <c r="D21" i="1"/>
  <c r="J21" i="1"/>
  <c r="L20" i="1"/>
  <c r="L22" i="1"/>
  <c r="D22" i="1"/>
  <c r="F22" i="1"/>
  <c r="J22" i="1"/>
  <c r="I18" i="1" l="1"/>
  <c r="M6" i="1"/>
  <c r="M7" i="1"/>
  <c r="M8" i="1"/>
  <c r="M9" i="1"/>
  <c r="M10" i="1"/>
  <c r="M11" i="1"/>
  <c r="M12" i="1"/>
  <c r="M13" i="1"/>
  <c r="D17" i="1"/>
  <c r="M5" i="1"/>
  <c r="M18" i="1" l="1"/>
  <c r="D18" i="1" s="1"/>
  <c r="O18" i="1"/>
  <c r="L10" i="1"/>
  <c r="D10" i="1"/>
  <c r="L13" i="1"/>
  <c r="D13" i="1"/>
  <c r="L9" i="1"/>
  <c r="D9" i="1"/>
  <c r="L5" i="1"/>
  <c r="D5" i="1"/>
  <c r="L16" i="1"/>
  <c r="D16" i="1"/>
  <c r="L12" i="1"/>
  <c r="D12" i="1"/>
  <c r="L8" i="1"/>
  <c r="D8" i="1"/>
  <c r="L14" i="1"/>
  <c r="D14" i="1"/>
  <c r="L6" i="1"/>
  <c r="D6" i="1"/>
  <c r="L19" i="1"/>
  <c r="D19" i="1"/>
  <c r="L15" i="1"/>
  <c r="D15" i="1"/>
  <c r="L11" i="1"/>
  <c r="D11" i="1"/>
  <c r="L7" i="1"/>
  <c r="D7" i="1"/>
  <c r="F17" i="1"/>
  <c r="L17" i="1"/>
  <c r="F5" i="1"/>
  <c r="J5" i="1"/>
  <c r="F12" i="1"/>
  <c r="J12" i="1"/>
  <c r="F11" i="1"/>
  <c r="J11" i="1"/>
  <c r="F13" i="1"/>
  <c r="J13" i="1"/>
  <c r="F9" i="1"/>
  <c r="J9" i="1"/>
  <c r="F8" i="1"/>
  <c r="J8" i="1"/>
  <c r="F19" i="1"/>
  <c r="J19" i="1"/>
  <c r="J18" i="1"/>
  <c r="F16" i="1"/>
  <c r="J16" i="1"/>
  <c r="F15" i="1"/>
  <c r="J15" i="1"/>
  <c r="F7" i="1"/>
  <c r="J7" i="1"/>
  <c r="F14" i="1"/>
  <c r="J14" i="1"/>
  <c r="F10" i="1"/>
  <c r="J10" i="1"/>
  <c r="F6" i="1"/>
  <c r="J6" i="1"/>
  <c r="J17" i="1"/>
  <c r="L18" i="1" l="1"/>
  <c r="F18" i="1"/>
</calcChain>
</file>

<file path=xl/comments1.xml><?xml version="1.0" encoding="utf-8"?>
<comments xmlns="http://schemas.openxmlformats.org/spreadsheetml/2006/main">
  <authors>
    <author>Cooper, Matt</author>
    <author>Potter, Hayley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email from RDJII to T. Collier dated 9/9/2008. Preliminary estimate of 648 adults + 47 jacks = 695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Table describing weekly catch throughout season. Source unknown.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Hall, Matt:</t>
        </r>
        <r>
          <rPr>
            <sz val="9"/>
            <color indexed="81"/>
            <rFont val="Tahoma"/>
            <family val="2"/>
          </rPr>
          <t xml:space="preserve">
YN = 700 from weekly creel observation table estimates (RDJ II pers comm.).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2009 Wenatchapam Fishery at Icicle Creek dated 8/18/2009. Total catch is 81 adults + 129 jacks, 95 anglers fished 649 hours rod/reel + 353 hours dip netting.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Table of estimated weekly harvest estimated total harves at 991.
977 anglers fished 1,918 hours R&amp;R + 36 hours DN.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weekly creel table reports 323 total harvest to include: 300 adclip adult, 10 adpres adult, + 13 adclip jack, 1,1194 hrs R&amp;R + 126 hrs DN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YN provided weekly harvest table; expanded harvest estimate = 440
936 hrs R&amp;R, 30 hrs DN, 483 anglers.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Weekly effort and harvest table.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YN weekly harvest estimate table to include an estimated harvest of 1,025 with 566 anglers, 1,108 hrs R&amp;R, 8 hrs DN, 16 hrs HN.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No CCT estimate available. Modeled estimate using GLM for sport harvest vs. Tribal harvest for 1999 - 2011, such that Tribal Harvest = 2.0967*sport harvest. R-square = 0.81
2012 results;
2.0967*971 = 2,036 - 1,025 (YN est.) = </t>
        </r>
        <r>
          <rPr>
            <b/>
            <sz val="9"/>
            <color indexed="81"/>
            <rFont val="Tahoma"/>
            <family val="2"/>
          </rPr>
          <t>1,011</t>
        </r>
        <r>
          <rPr>
            <sz val="9"/>
            <color indexed="81"/>
            <rFont val="Tahoma"/>
            <family val="2"/>
          </rPr>
          <t xml:space="preserve"> CCT estimate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 xml:space="preserve">Cooper, Matt:
</t>
        </r>
        <r>
          <rPr>
            <sz val="9"/>
            <color indexed="81"/>
            <rFont val="Tahoma"/>
            <family val="2"/>
          </rPr>
          <t>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2013 Tribal harvest = 2.0967 x 323 =678
CCT   = 678/3.2    = 212
YN    =  678-212   = 466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2013 Tribal harvest = 2.0967 x 323 =678
CCT   = 678/3.2    = 212
YN    =  678-212   = 466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2014 Tribal harvest = 2.0967 x 390 =818
CCT   = 818/3.2    = 256
YN    =  678-212   = 562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2014 Tribal harvest = 2.0967 x 390 =818
CCT   = 818/3.2    = 256
YN    =  678-212   = 562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2015 Tribal harvest = 2.0967 x 433 =908
CCT   = 908/3.2       = 284
YN    = 908 - 284     = 624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2015 Tribal harvest = 2.0967 x 433 =908
CCT   = 908/3.2       = 284
YN    = 908 - 284     = 624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 harvest estimate = 369 (memo from M. Rayton)  
YN:CCT average harvest ratio 08 - 11 = 3.2
YN harvest estimate =3.2 x 369 = 1,181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provided table of weekly creel estimates = 369 harvest, all adclip adult. Inlcudes 241 angler days, 1,552 R&amp;R, CPUE = 0.24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Potter, Hayley:</t>
        </r>
        <r>
          <rPr>
            <sz val="9"/>
            <color indexed="81"/>
            <rFont val="Tahoma"/>
            <family val="2"/>
          </rPr>
          <t xml:space="preserve">
T. Maitland pers comm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</rPr>
          <t>Potter, Hayley:</t>
        </r>
        <r>
          <rPr>
            <sz val="9"/>
            <color indexed="81"/>
            <rFont val="Tahoma"/>
            <family val="2"/>
          </rPr>
          <t xml:space="preserve">
M.Begay pers. comm.
100 adults 10 jacks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Potter, Hayley:</t>
        </r>
        <r>
          <rPr>
            <sz val="9"/>
            <color indexed="81"/>
            <rFont val="Tahoma"/>
            <family val="2"/>
          </rPr>
          <t xml:space="preserve">
Based on YN:CCT ratio of 3.2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email from RDJII to T. Collier dated 9/9/2008. Preliminary estimate of 648 adults + 47 jacks = 695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Table describing weekly catch throughout season. Source unknown.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Hall, Matt:</t>
        </r>
        <r>
          <rPr>
            <sz val="9"/>
            <color indexed="81"/>
            <rFont val="Tahoma"/>
            <family val="2"/>
          </rPr>
          <t xml:space="preserve">
YN = 700 from weekly creel observation table estimates (RDJ II pers comm.).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2009 Wenatchapam Fishery at Icicle Creek dated 8/18/2009. Total catch is 81 adults + 129 jacks, 95 anglers fished 649 hours rod/reel + 353 hours dip netting.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Table of estimated weekly harvest estimated total harves at 991.
977 anglers fished 1,918 hours R&amp;R + 36 hours DN.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CCT weekly creel table reports 323 total harvest to include: 300 adclip adult, 10 adpres adult, + 13 adclip jack, 1,1194 hrs R&amp;R + 126 hrs DN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YN provided weekly harvest table; expanded harvest estimate = 440
936 hrs R&amp;R, 30 hrs DN, 483 anglers.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Cooper, Matt:</t>
        </r>
        <r>
          <rPr>
            <sz val="9"/>
            <color indexed="81"/>
            <rFont val="Tahoma"/>
            <family val="2"/>
          </rPr>
          <t xml:space="preserve">
Weekly effort and harvest table.
</t>
        </r>
      </text>
    </comment>
  </commentList>
</comments>
</file>

<file path=xl/sharedStrings.xml><?xml version="1.0" encoding="utf-8"?>
<sst xmlns="http://schemas.openxmlformats.org/spreadsheetml/2006/main" count="38" uniqueCount="28">
  <si>
    <t>Icicle River spring Chinook run reconstruction</t>
  </si>
  <si>
    <t>Year</t>
  </si>
  <si>
    <t>Hatchery</t>
  </si>
  <si>
    <t>Total</t>
  </si>
  <si>
    <t>River</t>
  </si>
  <si>
    <t>Harvest</t>
  </si>
  <si>
    <t>Percent</t>
  </si>
  <si>
    <t>Trapped @</t>
  </si>
  <si>
    <t>Trapped</t>
  </si>
  <si>
    <t xml:space="preserve">Sport </t>
  </si>
  <si>
    <t>Sport Harv.</t>
  </si>
  <si>
    <t>Tribe Harv.</t>
  </si>
  <si>
    <t>Remaining</t>
  </si>
  <si>
    <t>Run</t>
  </si>
  <si>
    <t>Remaining in</t>
  </si>
  <si>
    <t>All fish are primarily of hatchery origin</t>
  </si>
  <si>
    <t>Icicle Stock</t>
  </si>
  <si>
    <t>Return</t>
  </si>
  <si>
    <t>YN</t>
  </si>
  <si>
    <t>CCT</t>
  </si>
  <si>
    <t>Total Tribal</t>
  </si>
  <si>
    <t>Ratio</t>
  </si>
  <si>
    <t>Ave YN:CCT ratio</t>
  </si>
  <si>
    <t>Est. Harvest</t>
  </si>
  <si>
    <t>YN portion</t>
  </si>
  <si>
    <t>CCT portion</t>
  </si>
  <si>
    <t>Estimated harvest and apportionment by Tribe using average ratio</t>
  </si>
  <si>
    <t>YN:CCT tribal Harvest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</si>
</sst>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" fillId="0" borderId="0" xfId="0" applyFont="1"/>
    <xf numFmtId="165" fontId="4" fillId="0" borderId="0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0" xfId="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Icicle</a:t>
            </a:r>
            <a:r>
              <a:rPr lang="en-US" sz="1400" baseline="0"/>
              <a:t> Creek spring Chinook sport vs. Tribal harvest relationship, 1999 - 2011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'Icicle Run ReconstructionUpdate'!$I$3:$I$4</c:f>
              <c:strCache>
                <c:ptCount val="2"/>
                <c:pt idx="0">
                  <c:v>Total Tribal</c:v>
                </c:pt>
                <c:pt idx="1">
                  <c:v>Harvest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5014586471600954"/>
                  <c:y val="-8.3714742268786654E-3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2.0967x
R² = 0.81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'Icicle Run ReconstructionUpdate'!$E$5:$E$17</c:f>
              <c:numCache>
                <c:formatCode>#,##0</c:formatCode>
                <c:ptCount val="13"/>
                <c:pt idx="0">
                  <c:v>108</c:v>
                </c:pt>
                <c:pt idx="1">
                  <c:v>1606</c:v>
                </c:pt>
                <c:pt idx="2">
                  <c:v>2260</c:v>
                </c:pt>
                <c:pt idx="3">
                  <c:v>1201</c:v>
                </c:pt>
                <c:pt idx="4">
                  <c:v>935</c:v>
                </c:pt>
                <c:pt idx="5">
                  <c:v>347</c:v>
                </c:pt>
                <c:pt idx="6">
                  <c:v>103</c:v>
                </c:pt>
                <c:pt idx="7">
                  <c:v>529</c:v>
                </c:pt>
                <c:pt idx="8">
                  <c:v>115</c:v>
                </c:pt>
                <c:pt idx="9">
                  <c:v>347</c:v>
                </c:pt>
                <c:pt idx="10">
                  <c:v>640</c:v>
                </c:pt>
                <c:pt idx="11">
                  <c:v>993</c:v>
                </c:pt>
                <c:pt idx="12">
                  <c:v>873</c:v>
                </c:pt>
              </c:numCache>
            </c:numRef>
          </c:xVal>
          <c:yVal>
            <c:numRef>
              <c:f>'Icicle Run ReconstructionUpdate'!$I$5:$I$17</c:f>
              <c:numCache>
                <c:formatCode>#,##0</c:formatCode>
                <c:ptCount val="13"/>
                <c:pt idx="0">
                  <c:v>175</c:v>
                </c:pt>
                <c:pt idx="1">
                  <c:v>3238</c:v>
                </c:pt>
                <c:pt idx="2">
                  <c:v>5075</c:v>
                </c:pt>
                <c:pt idx="3">
                  <c:v>3796</c:v>
                </c:pt>
                <c:pt idx="4">
                  <c:v>1852</c:v>
                </c:pt>
                <c:pt idx="5">
                  <c:v>863</c:v>
                </c:pt>
                <c:pt idx="6">
                  <c:v>1063</c:v>
                </c:pt>
                <c:pt idx="7">
                  <c:v>588</c:v>
                </c:pt>
                <c:pt idx="8">
                  <c:v>751</c:v>
                </c:pt>
                <c:pt idx="9">
                  <c:v>833</c:v>
                </c:pt>
                <c:pt idx="10">
                  <c:v>910</c:v>
                </c:pt>
                <c:pt idx="11">
                  <c:v>1314</c:v>
                </c:pt>
                <c:pt idx="12">
                  <c:v>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6-4E6E-ACF7-50973889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3440"/>
        <c:axId val="212987904"/>
      </c:scatterChart>
      <c:valAx>
        <c:axId val="2129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Sport Harvest Estimate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987904"/>
        <c:crosses val="autoZero"/>
        <c:crossBetween val="midCat"/>
      </c:valAx>
      <c:valAx>
        <c:axId val="21298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Tribal Harvest Estimate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973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19050</xdr:rowOff>
    </xdr:from>
    <xdr:to>
      <xdr:col>7</xdr:col>
      <xdr:colOff>685801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workbookViewId="0">
      <selection activeCell="B4" sqref="B4"/>
    </sheetView>
  </sheetViews>
  <sheetFormatPr defaultRowHeight="12.75" x14ac:dyDescent="0.2"/>
  <cols>
    <col min="3" max="3" width="11.28515625" customWidth="1"/>
    <col min="4" max="4" width="11.5703125" customWidth="1"/>
    <col min="5" max="5" width="10.28515625" customWidth="1"/>
    <col min="6" max="6" width="10.7109375" customWidth="1"/>
    <col min="7" max="7" width="12.28515625" bestFit="1" customWidth="1"/>
    <col min="8" max="8" width="14.42578125" customWidth="1"/>
    <col min="9" max="9" width="10.7109375" customWidth="1"/>
    <col min="10" max="10" width="12.5703125" customWidth="1"/>
    <col min="11" max="11" width="12.85546875" customWidth="1"/>
    <col min="12" max="12" width="12.140625" customWidth="1"/>
    <col min="13" max="13" width="6.5703125" bestFit="1" customWidth="1"/>
  </cols>
  <sheetData>
    <row r="1" spans="1:15" ht="1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5" x14ac:dyDescent="0.2">
      <c r="C2" s="8" t="s">
        <v>15</v>
      </c>
      <c r="F2" s="8" t="s">
        <v>16</v>
      </c>
    </row>
    <row r="3" spans="1:15" x14ac:dyDescent="0.2">
      <c r="B3" s="11" t="s">
        <v>17</v>
      </c>
      <c r="C3" s="10" t="s">
        <v>7</v>
      </c>
      <c r="D3" s="11" t="s">
        <v>6</v>
      </c>
      <c r="E3" s="11" t="s">
        <v>9</v>
      </c>
      <c r="F3" s="11" t="s">
        <v>6</v>
      </c>
      <c r="G3" s="11" t="s">
        <v>18</v>
      </c>
      <c r="H3" s="11" t="s">
        <v>19</v>
      </c>
      <c r="I3" s="11" t="s">
        <v>20</v>
      </c>
      <c r="J3" s="11" t="s">
        <v>6</v>
      </c>
      <c r="K3" s="11" t="s">
        <v>14</v>
      </c>
      <c r="L3" s="11" t="s">
        <v>6</v>
      </c>
      <c r="M3" s="11" t="s">
        <v>3</v>
      </c>
    </row>
    <row r="4" spans="1:15" ht="13.5" thickBot="1" x14ac:dyDescent="0.25">
      <c r="B4" s="12" t="s">
        <v>1</v>
      </c>
      <c r="C4" s="12" t="s">
        <v>2</v>
      </c>
      <c r="D4" s="13" t="s">
        <v>8</v>
      </c>
      <c r="E4" s="12" t="s">
        <v>5</v>
      </c>
      <c r="F4" s="12" t="s">
        <v>10</v>
      </c>
      <c r="G4" s="12" t="s">
        <v>5</v>
      </c>
      <c r="H4" s="12" t="s">
        <v>5</v>
      </c>
      <c r="I4" s="12" t="s">
        <v>5</v>
      </c>
      <c r="J4" s="12" t="s">
        <v>11</v>
      </c>
      <c r="K4" s="12" t="s">
        <v>4</v>
      </c>
      <c r="L4" s="12" t="s">
        <v>12</v>
      </c>
      <c r="M4" s="12" t="s">
        <v>13</v>
      </c>
    </row>
    <row r="5" spans="1:15" ht="13.5" thickTop="1" x14ac:dyDescent="0.2">
      <c r="B5" s="9">
        <v>1999</v>
      </c>
      <c r="C5" s="5">
        <v>2103</v>
      </c>
      <c r="D5" s="21">
        <f t="shared" ref="D5:D23" si="0">C5/M5</f>
        <v>0.86507610037021798</v>
      </c>
      <c r="E5" s="5">
        <v>108</v>
      </c>
      <c r="F5" s="22">
        <f t="shared" ref="F5:F23" si="1">E5/M5</f>
        <v>4.44261620732209E-2</v>
      </c>
      <c r="G5" s="4">
        <v>175</v>
      </c>
      <c r="H5" s="4"/>
      <c r="I5" s="4">
        <f t="shared" ref="I5:I22" si="2">SUM(G5:H5)</f>
        <v>175</v>
      </c>
      <c r="J5" s="22">
        <f t="shared" ref="J5:J23" si="3">I5/M5</f>
        <v>7.1986836692719047E-2</v>
      </c>
      <c r="K5" s="4">
        <v>45</v>
      </c>
      <c r="L5" s="15">
        <f t="shared" ref="L5:L23" si="4">K5/M5</f>
        <v>1.851090086384204E-2</v>
      </c>
      <c r="M5" s="7">
        <f t="shared" ref="M5:M13" si="5">SUM(C5,E5,G5,K5)</f>
        <v>2431</v>
      </c>
      <c r="O5" s="4">
        <f t="shared" ref="O5:O23" si="6">E5+I5</f>
        <v>283</v>
      </c>
    </row>
    <row r="6" spans="1:15" x14ac:dyDescent="0.2">
      <c r="B6" s="9">
        <v>2000</v>
      </c>
      <c r="C6" s="5">
        <v>4457</v>
      </c>
      <c r="D6" s="21">
        <f t="shared" si="0"/>
        <v>0.47094251901944212</v>
      </c>
      <c r="E6" s="5">
        <v>1606</v>
      </c>
      <c r="F6" s="22">
        <f t="shared" si="1"/>
        <v>0.16969568892645814</v>
      </c>
      <c r="G6" s="4">
        <v>3238</v>
      </c>
      <c r="H6" s="4"/>
      <c r="I6" s="4">
        <f t="shared" si="2"/>
        <v>3238</v>
      </c>
      <c r="J6" s="22">
        <f t="shared" si="3"/>
        <v>0.34213863060016908</v>
      </c>
      <c r="K6" s="4">
        <v>163</v>
      </c>
      <c r="L6" s="15">
        <f t="shared" si="4"/>
        <v>1.7223161453930685E-2</v>
      </c>
      <c r="M6" s="7">
        <f t="shared" si="5"/>
        <v>9464</v>
      </c>
      <c r="O6" s="4">
        <f t="shared" si="6"/>
        <v>4844</v>
      </c>
    </row>
    <row r="7" spans="1:15" x14ac:dyDescent="0.2">
      <c r="B7" s="9">
        <v>2001</v>
      </c>
      <c r="C7" s="5">
        <v>6259</v>
      </c>
      <c r="D7" s="21">
        <f t="shared" si="0"/>
        <v>0.41499801087388938</v>
      </c>
      <c r="E7" s="5">
        <v>2260</v>
      </c>
      <c r="F7" s="22">
        <f t="shared" si="1"/>
        <v>0.14984750033152103</v>
      </c>
      <c r="G7" s="4">
        <v>5075</v>
      </c>
      <c r="H7" s="4"/>
      <c r="I7" s="4">
        <f t="shared" si="2"/>
        <v>5075</v>
      </c>
      <c r="J7" s="22">
        <f t="shared" si="3"/>
        <v>0.33649383370905717</v>
      </c>
      <c r="K7" s="4">
        <v>1488</v>
      </c>
      <c r="L7" s="15">
        <f t="shared" si="4"/>
        <v>9.8660655085532428E-2</v>
      </c>
      <c r="M7" s="7">
        <f t="shared" si="5"/>
        <v>15082</v>
      </c>
      <c r="O7" s="4">
        <f t="shared" si="6"/>
        <v>7335</v>
      </c>
    </row>
    <row r="8" spans="1:15" x14ac:dyDescent="0.2">
      <c r="B8" s="9">
        <v>2002</v>
      </c>
      <c r="C8" s="5">
        <v>6459</v>
      </c>
      <c r="D8" s="21">
        <f t="shared" si="0"/>
        <v>0.52580592640833601</v>
      </c>
      <c r="E8" s="5">
        <v>1201</v>
      </c>
      <c r="F8" s="22">
        <f t="shared" si="1"/>
        <v>9.7769456203191149E-2</v>
      </c>
      <c r="G8" s="4">
        <v>3796</v>
      </c>
      <c r="H8" s="4"/>
      <c r="I8" s="4">
        <f t="shared" si="2"/>
        <v>3796</v>
      </c>
      <c r="J8" s="22">
        <f t="shared" si="3"/>
        <v>0.3090198632367307</v>
      </c>
      <c r="K8" s="4">
        <v>828</v>
      </c>
      <c r="L8" s="15">
        <f t="shared" si="4"/>
        <v>6.7404754151742102E-2</v>
      </c>
      <c r="M8" s="7">
        <f t="shared" si="5"/>
        <v>12284</v>
      </c>
      <c r="O8" s="4">
        <f t="shared" si="6"/>
        <v>4997</v>
      </c>
    </row>
    <row r="9" spans="1:15" x14ac:dyDescent="0.2">
      <c r="B9" s="9">
        <v>2003</v>
      </c>
      <c r="C9" s="5">
        <v>4825</v>
      </c>
      <c r="D9" s="21">
        <f t="shared" si="0"/>
        <v>0.59122656537189067</v>
      </c>
      <c r="E9" s="5">
        <v>935</v>
      </c>
      <c r="F9" s="22">
        <f t="shared" si="1"/>
        <v>0.11456929297880161</v>
      </c>
      <c r="G9" s="4">
        <v>1852</v>
      </c>
      <c r="H9" s="4"/>
      <c r="I9" s="4">
        <f t="shared" si="2"/>
        <v>1852</v>
      </c>
      <c r="J9" s="22">
        <f t="shared" si="3"/>
        <v>0.22693297390025732</v>
      </c>
      <c r="K9" s="4">
        <v>549</v>
      </c>
      <c r="L9" s="15">
        <f t="shared" si="4"/>
        <v>6.7271167749050356E-2</v>
      </c>
      <c r="M9" s="7">
        <f t="shared" si="5"/>
        <v>8161</v>
      </c>
      <c r="O9" s="4">
        <f t="shared" si="6"/>
        <v>2787</v>
      </c>
    </row>
    <row r="10" spans="1:15" x14ac:dyDescent="0.2">
      <c r="B10" s="9">
        <v>2004</v>
      </c>
      <c r="C10" s="5">
        <v>2308</v>
      </c>
      <c r="D10" s="21">
        <f t="shared" si="0"/>
        <v>0.61843515541264737</v>
      </c>
      <c r="E10" s="5">
        <v>347</v>
      </c>
      <c r="F10" s="22">
        <f t="shared" si="1"/>
        <v>9.2979635584137188E-2</v>
      </c>
      <c r="G10" s="4">
        <v>863</v>
      </c>
      <c r="H10" s="4"/>
      <c r="I10" s="4">
        <f t="shared" si="2"/>
        <v>863</v>
      </c>
      <c r="J10" s="22">
        <f t="shared" si="3"/>
        <v>0.2312433011789925</v>
      </c>
      <c r="K10" s="4">
        <v>214</v>
      </c>
      <c r="L10" s="15">
        <f t="shared" si="4"/>
        <v>5.7341907824222937E-2</v>
      </c>
      <c r="M10" s="7">
        <f t="shared" si="5"/>
        <v>3732</v>
      </c>
      <c r="O10" s="4">
        <f t="shared" si="6"/>
        <v>1210</v>
      </c>
    </row>
    <row r="11" spans="1:15" x14ac:dyDescent="0.2">
      <c r="B11" s="9">
        <v>2005</v>
      </c>
      <c r="C11" s="4">
        <v>2560</v>
      </c>
      <c r="D11" s="21">
        <f t="shared" si="0"/>
        <v>0.67492749802267338</v>
      </c>
      <c r="E11" s="5">
        <v>103</v>
      </c>
      <c r="F11" s="22">
        <f t="shared" si="1"/>
        <v>2.7155286053255998E-2</v>
      </c>
      <c r="G11" s="4">
        <v>1063</v>
      </c>
      <c r="H11" s="4"/>
      <c r="I11" s="4">
        <f t="shared" si="2"/>
        <v>1063</v>
      </c>
      <c r="J11" s="22">
        <f t="shared" si="3"/>
        <v>0.2802530978117585</v>
      </c>
      <c r="K11" s="4">
        <v>67</v>
      </c>
      <c r="L11" s="15">
        <f t="shared" si="4"/>
        <v>1.7664118112312156E-2</v>
      </c>
      <c r="M11" s="7">
        <f t="shared" si="5"/>
        <v>3793</v>
      </c>
      <c r="O11" s="4">
        <f t="shared" si="6"/>
        <v>1166</v>
      </c>
    </row>
    <row r="12" spans="1:15" x14ac:dyDescent="0.2">
      <c r="B12" s="9">
        <v>2006</v>
      </c>
      <c r="C12" s="4">
        <v>1957</v>
      </c>
      <c r="D12" s="21">
        <f t="shared" si="0"/>
        <v>0.62186209088020339</v>
      </c>
      <c r="E12" s="5">
        <v>529</v>
      </c>
      <c r="F12" s="22">
        <f t="shared" si="1"/>
        <v>0.16809659993644741</v>
      </c>
      <c r="G12" s="4">
        <v>588</v>
      </c>
      <c r="H12" s="4"/>
      <c r="I12" s="4">
        <f t="shared" si="2"/>
        <v>588</v>
      </c>
      <c r="J12" s="22">
        <f t="shared" si="3"/>
        <v>0.18684461391801716</v>
      </c>
      <c r="K12" s="4">
        <v>73</v>
      </c>
      <c r="L12" s="15">
        <f t="shared" si="4"/>
        <v>2.3196695265332062E-2</v>
      </c>
      <c r="M12" s="7">
        <f t="shared" si="5"/>
        <v>3147</v>
      </c>
      <c r="O12" s="4">
        <f t="shared" si="6"/>
        <v>1117</v>
      </c>
    </row>
    <row r="13" spans="1:15" x14ac:dyDescent="0.2">
      <c r="B13" s="9">
        <v>2007</v>
      </c>
      <c r="C13" s="4">
        <v>1708</v>
      </c>
      <c r="D13" s="21">
        <f t="shared" si="0"/>
        <v>0.65141113653699467</v>
      </c>
      <c r="E13" s="5">
        <v>115</v>
      </c>
      <c r="F13" s="22">
        <f t="shared" si="1"/>
        <v>4.3859649122807015E-2</v>
      </c>
      <c r="G13" s="5">
        <v>751</v>
      </c>
      <c r="H13" s="5"/>
      <c r="I13" s="4">
        <f t="shared" si="2"/>
        <v>751</v>
      </c>
      <c r="J13" s="22">
        <f t="shared" si="3"/>
        <v>0.28642257818459194</v>
      </c>
      <c r="K13" s="4">
        <v>48</v>
      </c>
      <c r="L13" s="15">
        <f t="shared" si="4"/>
        <v>1.8306636155606407E-2</v>
      </c>
      <c r="M13" s="7">
        <f t="shared" si="5"/>
        <v>2622</v>
      </c>
      <c r="O13" s="4">
        <f t="shared" si="6"/>
        <v>866</v>
      </c>
    </row>
    <row r="14" spans="1:15" x14ac:dyDescent="0.2">
      <c r="B14" s="9">
        <v>2008</v>
      </c>
      <c r="C14" s="4">
        <v>3229</v>
      </c>
      <c r="D14" s="21">
        <f t="shared" si="0"/>
        <v>0.68819266837169646</v>
      </c>
      <c r="E14" s="5">
        <v>347</v>
      </c>
      <c r="F14" s="22">
        <f t="shared" si="1"/>
        <v>7.3955669224211429E-2</v>
      </c>
      <c r="G14" s="4">
        <v>695</v>
      </c>
      <c r="H14" s="4">
        <v>138</v>
      </c>
      <c r="I14" s="4">
        <f t="shared" si="2"/>
        <v>833</v>
      </c>
      <c r="J14" s="22">
        <f t="shared" si="3"/>
        <v>0.17753623188405798</v>
      </c>
      <c r="K14" s="4">
        <v>283</v>
      </c>
      <c r="L14" s="15">
        <f t="shared" si="4"/>
        <v>6.0315430520034102E-2</v>
      </c>
      <c r="M14" s="7">
        <f t="shared" ref="M14:M23" si="7">SUM(C14,E14,I14,K14)</f>
        <v>4692</v>
      </c>
      <c r="O14" s="4">
        <f t="shared" si="6"/>
        <v>1180</v>
      </c>
    </row>
    <row r="15" spans="1:15" x14ac:dyDescent="0.2">
      <c r="B15" s="9">
        <v>2009</v>
      </c>
      <c r="C15" s="4">
        <v>3232</v>
      </c>
      <c r="D15" s="21">
        <f t="shared" si="0"/>
        <v>0.64938718103275062</v>
      </c>
      <c r="E15" s="6">
        <v>640</v>
      </c>
      <c r="F15" s="22">
        <f t="shared" si="1"/>
        <v>0.12859152099658427</v>
      </c>
      <c r="G15" s="5">
        <v>700</v>
      </c>
      <c r="H15" s="5">
        <v>210</v>
      </c>
      <c r="I15" s="4">
        <f t="shared" si="2"/>
        <v>910</v>
      </c>
      <c r="J15" s="22">
        <f t="shared" si="3"/>
        <v>0.18284106891701829</v>
      </c>
      <c r="K15" s="4">
        <v>195</v>
      </c>
      <c r="L15" s="15">
        <f t="shared" si="4"/>
        <v>3.9180229053646778E-2</v>
      </c>
      <c r="M15" s="7">
        <f t="shared" si="7"/>
        <v>4977</v>
      </c>
      <c r="O15" s="4">
        <f t="shared" si="6"/>
        <v>1550</v>
      </c>
    </row>
    <row r="16" spans="1:15" x14ac:dyDescent="0.2">
      <c r="B16" s="9">
        <v>2010</v>
      </c>
      <c r="C16" s="4">
        <v>11307</v>
      </c>
      <c r="D16" s="21">
        <f t="shared" si="0"/>
        <v>0.81568316260279905</v>
      </c>
      <c r="E16" s="5">
        <v>993</v>
      </c>
      <c r="F16" s="22">
        <f t="shared" si="1"/>
        <v>7.1634684749675367E-2</v>
      </c>
      <c r="G16" s="5">
        <v>991</v>
      </c>
      <c r="H16" s="5">
        <v>323</v>
      </c>
      <c r="I16" s="4">
        <f t="shared" si="2"/>
        <v>1314</v>
      </c>
      <c r="J16" s="22">
        <f t="shared" si="3"/>
        <v>9.4791516375703364E-2</v>
      </c>
      <c r="K16" s="4">
        <v>248</v>
      </c>
      <c r="L16" s="15">
        <f t="shared" si="4"/>
        <v>1.7890636271822247E-2</v>
      </c>
      <c r="M16" s="7">
        <f t="shared" si="7"/>
        <v>13862</v>
      </c>
      <c r="O16" s="4">
        <f t="shared" si="6"/>
        <v>2307</v>
      </c>
    </row>
    <row r="17" spans="2:15" x14ac:dyDescent="0.2">
      <c r="B17" s="9">
        <v>2011</v>
      </c>
      <c r="C17" s="4">
        <v>4970</v>
      </c>
      <c r="D17" s="21">
        <f t="shared" si="0"/>
        <v>0.71105642669108382</v>
      </c>
      <c r="E17" s="5">
        <v>873</v>
      </c>
      <c r="F17" s="22">
        <f t="shared" si="1"/>
        <v>0.12489985120750829</v>
      </c>
      <c r="G17" s="5">
        <v>440</v>
      </c>
      <c r="H17" s="5">
        <v>365</v>
      </c>
      <c r="I17" s="4">
        <f t="shared" si="2"/>
        <v>805</v>
      </c>
      <c r="J17" s="22">
        <f t="shared" si="3"/>
        <v>0.11517111136545724</v>
      </c>
      <c r="K17" s="4">
        <v>341.6</v>
      </c>
      <c r="L17" s="15">
        <f t="shared" si="4"/>
        <v>4.8872610735950554E-2</v>
      </c>
      <c r="M17" s="7">
        <f t="shared" si="7"/>
        <v>6989.6</v>
      </c>
      <c r="O17" s="4">
        <f t="shared" si="6"/>
        <v>1678</v>
      </c>
    </row>
    <row r="18" spans="2:15" x14ac:dyDescent="0.2">
      <c r="B18" s="9">
        <v>2012</v>
      </c>
      <c r="C18" s="4">
        <v>3749</v>
      </c>
      <c r="D18" s="21">
        <f t="shared" si="0"/>
        <v>0.52993893475065024</v>
      </c>
      <c r="E18" s="5">
        <v>971</v>
      </c>
      <c r="F18" s="22">
        <f t="shared" si="1"/>
        <v>0.1372554562931132</v>
      </c>
      <c r="G18" s="5">
        <v>1025</v>
      </c>
      <c r="H18" s="5">
        <v>1011</v>
      </c>
      <c r="I18" s="4">
        <f t="shared" si="2"/>
        <v>2036</v>
      </c>
      <c r="J18" s="22">
        <f t="shared" si="3"/>
        <v>0.28779825850955559</v>
      </c>
      <c r="K18" s="4">
        <v>318.39999999999998</v>
      </c>
      <c r="L18" s="15">
        <f t="shared" si="4"/>
        <v>4.5007350446680992E-2</v>
      </c>
      <c r="M18" s="7">
        <f t="shared" si="7"/>
        <v>7074.4</v>
      </c>
      <c r="O18" s="4">
        <f t="shared" si="6"/>
        <v>3007</v>
      </c>
    </row>
    <row r="19" spans="2:15" x14ac:dyDescent="0.2">
      <c r="B19" s="9">
        <v>2013</v>
      </c>
      <c r="C19" s="4">
        <v>2094</v>
      </c>
      <c r="D19" s="21">
        <f t="shared" si="0"/>
        <v>0.63281958295557572</v>
      </c>
      <c r="E19" s="5">
        <v>323</v>
      </c>
      <c r="F19" s="22">
        <f t="shared" si="1"/>
        <v>9.761257177394983E-2</v>
      </c>
      <c r="G19" s="5">
        <v>466</v>
      </c>
      <c r="H19" s="5">
        <v>212</v>
      </c>
      <c r="I19" s="4">
        <f t="shared" si="2"/>
        <v>678</v>
      </c>
      <c r="J19" s="22">
        <f t="shared" si="3"/>
        <v>0.20489573889392565</v>
      </c>
      <c r="K19" s="4">
        <v>214</v>
      </c>
      <c r="L19" s="15">
        <f t="shared" si="4"/>
        <v>6.4672106376548813E-2</v>
      </c>
      <c r="M19" s="7">
        <f t="shared" si="7"/>
        <v>3309</v>
      </c>
      <c r="O19" s="4">
        <f t="shared" si="6"/>
        <v>1001</v>
      </c>
    </row>
    <row r="20" spans="2:15" x14ac:dyDescent="0.2">
      <c r="B20" s="9">
        <v>2014</v>
      </c>
      <c r="C20" s="4">
        <v>4375</v>
      </c>
      <c r="D20" s="21">
        <f t="shared" si="0"/>
        <v>0.72855953372189841</v>
      </c>
      <c r="E20" s="5">
        <v>390</v>
      </c>
      <c r="F20" s="22">
        <f t="shared" si="1"/>
        <v>6.4945878434637797E-2</v>
      </c>
      <c r="G20" s="5">
        <v>562</v>
      </c>
      <c r="H20" s="5">
        <v>256</v>
      </c>
      <c r="I20" s="4">
        <f t="shared" si="2"/>
        <v>818</v>
      </c>
      <c r="J20" s="22">
        <f t="shared" si="3"/>
        <v>0.13621981681931725</v>
      </c>
      <c r="K20" s="4">
        <v>422</v>
      </c>
      <c r="L20" s="15">
        <f t="shared" si="4"/>
        <v>7.0274771024146546E-2</v>
      </c>
      <c r="M20" s="7">
        <f t="shared" si="7"/>
        <v>6005</v>
      </c>
      <c r="O20" s="4">
        <f t="shared" si="6"/>
        <v>1208</v>
      </c>
    </row>
    <row r="21" spans="2:15" x14ac:dyDescent="0.2">
      <c r="B21" s="9">
        <v>2015</v>
      </c>
      <c r="C21" s="4">
        <v>6557</v>
      </c>
      <c r="D21" s="21">
        <f t="shared" si="0"/>
        <v>0.80465835460435886</v>
      </c>
      <c r="E21" s="5">
        <v>433</v>
      </c>
      <c r="F21" s="22">
        <f t="shared" si="1"/>
        <v>5.3136658158256432E-2</v>
      </c>
      <c r="G21" s="5">
        <v>624</v>
      </c>
      <c r="H21" s="5">
        <v>284</v>
      </c>
      <c r="I21" s="4">
        <f t="shared" si="2"/>
        <v>908</v>
      </c>
      <c r="J21" s="22">
        <f t="shared" si="3"/>
        <v>0.1114274494404084</v>
      </c>
      <c r="K21" s="4">
        <v>250.8</v>
      </c>
      <c r="L21" s="15">
        <f t="shared" si="4"/>
        <v>3.0777537796976243E-2</v>
      </c>
      <c r="M21" s="7">
        <f t="shared" si="7"/>
        <v>8148.8</v>
      </c>
      <c r="O21" s="4">
        <f t="shared" si="6"/>
        <v>1341</v>
      </c>
    </row>
    <row r="22" spans="2:15" x14ac:dyDescent="0.2">
      <c r="B22" s="9">
        <v>2016</v>
      </c>
      <c r="C22" s="4">
        <v>3241</v>
      </c>
      <c r="D22" s="21">
        <f t="shared" si="0"/>
        <v>0.62040581929555894</v>
      </c>
      <c r="E22" s="26">
        <v>303</v>
      </c>
      <c r="F22" s="22">
        <f t="shared" si="1"/>
        <v>5.8001531393568145E-2</v>
      </c>
      <c r="G22" s="4">
        <v>1181</v>
      </c>
      <c r="H22" s="26">
        <v>369</v>
      </c>
      <c r="I22" s="4">
        <f t="shared" si="2"/>
        <v>1550</v>
      </c>
      <c r="J22" s="22">
        <f t="shared" si="3"/>
        <v>0.29670750382848393</v>
      </c>
      <c r="K22" s="4">
        <v>130</v>
      </c>
      <c r="L22" s="15">
        <f t="shared" si="4"/>
        <v>2.4885145482388973E-2</v>
      </c>
      <c r="M22" s="7">
        <f t="shared" si="7"/>
        <v>5224</v>
      </c>
      <c r="O22" s="4">
        <f t="shared" si="6"/>
        <v>1853</v>
      </c>
    </row>
    <row r="23" spans="2:15" ht="13.5" thickBot="1" x14ac:dyDescent="0.25">
      <c r="B23" s="27">
        <v>2017</v>
      </c>
      <c r="C23" s="28">
        <v>1156</v>
      </c>
      <c r="D23" s="21">
        <f t="shared" si="0"/>
        <v>0.81580804516584338</v>
      </c>
      <c r="E23" s="29">
        <v>41</v>
      </c>
      <c r="F23" s="22">
        <f t="shared" si="1"/>
        <v>2.893436838390967E-2</v>
      </c>
      <c r="G23" s="29">
        <v>110</v>
      </c>
      <c r="H23" s="29">
        <v>34</v>
      </c>
      <c r="I23" s="29">
        <f>SUM(G23+H23)</f>
        <v>144</v>
      </c>
      <c r="J23" s="22">
        <f t="shared" si="3"/>
        <v>0.10162314749470713</v>
      </c>
      <c r="K23" s="29">
        <v>76</v>
      </c>
      <c r="L23" s="15">
        <f t="shared" si="4"/>
        <v>5.3634438955539876E-2</v>
      </c>
      <c r="M23" s="7">
        <f t="shared" si="7"/>
        <v>1417</v>
      </c>
      <c r="O23" s="4">
        <f t="shared" si="6"/>
        <v>185</v>
      </c>
    </row>
    <row r="25" spans="2:15" x14ac:dyDescent="0.2">
      <c r="J25" s="14" t="s">
        <v>27</v>
      </c>
    </row>
    <row r="26" spans="2:15" ht="13.5" thickBot="1" x14ac:dyDescent="0.25">
      <c r="I26" s="16" t="s">
        <v>1</v>
      </c>
      <c r="J26" s="16" t="s">
        <v>18</v>
      </c>
      <c r="K26" s="16" t="s">
        <v>19</v>
      </c>
      <c r="L26" s="16" t="s">
        <v>21</v>
      </c>
    </row>
    <row r="27" spans="2:15" ht="13.5" thickTop="1" x14ac:dyDescent="0.2">
      <c r="I27" s="23">
        <v>2008</v>
      </c>
      <c r="J27" s="4">
        <v>695</v>
      </c>
      <c r="K27" s="4">
        <v>138</v>
      </c>
      <c r="L27" s="3">
        <f>J27/K27</f>
        <v>5.0362318840579707</v>
      </c>
    </row>
    <row r="28" spans="2:15" x14ac:dyDescent="0.2">
      <c r="I28" s="24">
        <v>2009</v>
      </c>
      <c r="J28" s="5">
        <v>700</v>
      </c>
      <c r="K28" s="5">
        <v>210</v>
      </c>
      <c r="L28" s="3">
        <f t="shared" ref="L28:L30" si="8">J28/K28</f>
        <v>3.3333333333333335</v>
      </c>
    </row>
    <row r="29" spans="2:15" x14ac:dyDescent="0.2">
      <c r="I29" s="24">
        <v>2010</v>
      </c>
      <c r="J29" s="5">
        <v>991</v>
      </c>
      <c r="K29" s="5">
        <v>323</v>
      </c>
      <c r="L29" s="3">
        <f t="shared" si="8"/>
        <v>3.068111455108359</v>
      </c>
    </row>
    <row r="30" spans="2:15" ht="13.5" thickBot="1" x14ac:dyDescent="0.25">
      <c r="I30" s="25">
        <v>2011</v>
      </c>
      <c r="J30" s="17">
        <v>440</v>
      </c>
      <c r="K30" s="17">
        <v>365</v>
      </c>
      <c r="L30" s="18">
        <f t="shared" si="8"/>
        <v>1.2054794520547945</v>
      </c>
    </row>
    <row r="32" spans="2:15" x14ac:dyDescent="0.2">
      <c r="K32" s="19" t="s">
        <v>22</v>
      </c>
      <c r="L32" s="3">
        <f>AVERAGE(L27:L30)</f>
        <v>3.1607890311386142</v>
      </c>
    </row>
    <row r="34" spans="9:12" x14ac:dyDescent="0.2">
      <c r="I34" s="14" t="s">
        <v>26</v>
      </c>
    </row>
    <row r="35" spans="9:12" ht="13.5" thickBot="1" x14ac:dyDescent="0.25">
      <c r="I35" s="16" t="s">
        <v>1</v>
      </c>
      <c r="J35" s="16" t="s">
        <v>23</v>
      </c>
      <c r="K35" s="16" t="s">
        <v>24</v>
      </c>
      <c r="L35" s="16" t="s">
        <v>25</v>
      </c>
    </row>
    <row r="36" spans="9:12" ht="13.5" thickTop="1" x14ac:dyDescent="0.2">
      <c r="I36" s="2">
        <v>2013</v>
      </c>
      <c r="J36" s="20">
        <f>E19*2.0967</f>
        <v>677.2340999999999</v>
      </c>
      <c r="K36" s="20">
        <f>J36-L36</f>
        <v>465.59844374999994</v>
      </c>
      <c r="L36" s="20">
        <f>J36/3.2</f>
        <v>211.63565624999995</v>
      </c>
    </row>
    <row r="37" spans="9:12" x14ac:dyDescent="0.2">
      <c r="I37" s="2">
        <v>2014</v>
      </c>
      <c r="J37" s="20">
        <f t="shared" ref="J37:J40" si="9">E20*2.0967</f>
        <v>817.71299999999997</v>
      </c>
      <c r="K37" s="20">
        <f t="shared" ref="K37:K38" si="10">J37-L37</f>
        <v>562.17768750000005</v>
      </c>
      <c r="L37" s="20">
        <f t="shared" ref="L37:L38" si="11">J37/3.2</f>
        <v>255.53531249999997</v>
      </c>
    </row>
    <row r="38" spans="9:12" x14ac:dyDescent="0.2">
      <c r="I38" s="31">
        <v>2015</v>
      </c>
      <c r="J38" s="20">
        <f t="shared" si="9"/>
        <v>907.87109999999996</v>
      </c>
      <c r="K38" s="32">
        <f t="shared" si="10"/>
        <v>624.16138124999998</v>
      </c>
      <c r="L38" s="32">
        <f t="shared" si="11"/>
        <v>283.70971874999998</v>
      </c>
    </row>
    <row r="39" spans="9:12" x14ac:dyDescent="0.2">
      <c r="I39" s="31">
        <v>2016</v>
      </c>
      <c r="J39" s="20">
        <f t="shared" si="9"/>
        <v>635.30009999999993</v>
      </c>
      <c r="K39" s="32">
        <f t="shared" ref="K39" si="12">J39-L39</f>
        <v>436.76881874999992</v>
      </c>
      <c r="L39" s="32">
        <f t="shared" ref="L39" si="13">J39/3.2</f>
        <v>198.53128124999998</v>
      </c>
    </row>
    <row r="40" spans="9:12" x14ac:dyDescent="0.2">
      <c r="I40" s="30">
        <v>2017</v>
      </c>
      <c r="J40" s="20">
        <f t="shared" si="9"/>
        <v>85.964699999999993</v>
      </c>
      <c r="K40" s="32">
        <f>J40-L40</f>
        <v>59.100731249999995</v>
      </c>
      <c r="L40" s="32">
        <f>J40/3.2</f>
        <v>26.863968749999998</v>
      </c>
    </row>
  </sheetData>
  <autoFilter ref="A4:O4">
    <sortState ref="A5:O23">
      <sortCondition ref="B4"/>
    </sortState>
  </autoFilter>
  <phoneticPr fontId="0" type="noConversion"/>
  <pageMargins left="0.75" right="0.75" top="1" bottom="1" header="0.5" footer="0.5"/>
  <pageSetup scale="81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Icicle Run ReconstructionUpdate</vt:lpstr>
      <vt:lpstr>'Icicle Run ReconstructionUpdate'!Print_Area</vt:lpstr>
    </vt:vector>
  </TitlesOfParts>
  <Company>Washington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 Viola</dc:creator>
  <cp:lastModifiedBy>jbednarek</cp:lastModifiedBy>
  <cp:lastPrinted>2017-02-28T21:57:00Z</cp:lastPrinted>
  <dcterms:created xsi:type="dcterms:W3CDTF">2004-12-08T21:33:36Z</dcterms:created>
  <dcterms:modified xsi:type="dcterms:W3CDTF">2018-02-27T18:14:33Z</dcterms:modified>
</cp:coreProperties>
</file>