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7309"/>
  <workbookPr/>
  <mc:AlternateContent xmlns:mc="http://schemas.openxmlformats.org/markup-compatibility/2006">
    <mc:Choice Requires="x15">
      <x15ac:absPath xmlns:x15ac="http://schemas.microsoft.com/office/spreadsheetml/2010/11/ac" url="/Users/jalenwang/Documents/20W/COSC89/"/>
    </mc:Choice>
  </mc:AlternateContent>
  <bookViews>
    <workbookView xWindow="640" yWindow="1180" windowWidth="24960" windowHeight="14820" tabRatio="500"/>
  </bookViews>
  <sheets>
    <sheet name="Operating Model" sheetId="1" r:id="rId1"/>
  </sheets>
  <externalReferences>
    <externalReference r:id="rId2"/>
  </externalReferences>
  <calcPr calcId="150000" iterate="1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calcChain.xml><?xml version="1.0" encoding="utf-8"?>
<calcChain xmlns="http://schemas.openxmlformats.org/spreadsheetml/2006/main">
  <c r="G234" i="1" l="1"/>
  <c r="H232" i="1"/>
  <c r="H189" i="1"/>
  <c r="G14" i="1"/>
  <c r="H52" i="1"/>
  <c r="H14" i="1"/>
  <c r="H56" i="1"/>
  <c r="H16" i="1"/>
  <c r="H17" i="1"/>
  <c r="H59" i="1"/>
  <c r="H18" i="1"/>
  <c r="H19" i="1"/>
  <c r="G207" i="1"/>
  <c r="H203" i="1"/>
  <c r="G239" i="1"/>
  <c r="F234" i="1"/>
  <c r="F239" i="1"/>
  <c r="G226" i="1"/>
  <c r="H223" i="1"/>
  <c r="H225" i="1"/>
  <c r="H226" i="1"/>
  <c r="I223" i="1"/>
  <c r="I225" i="1"/>
  <c r="I226" i="1"/>
  <c r="J223" i="1"/>
  <c r="J225" i="1"/>
  <c r="J226" i="1"/>
  <c r="K223" i="1"/>
  <c r="K225" i="1"/>
  <c r="K226" i="1"/>
  <c r="L223" i="1"/>
  <c r="L225" i="1"/>
  <c r="L226" i="1"/>
  <c r="M223" i="1"/>
  <c r="M224" i="1"/>
  <c r="M225" i="1"/>
  <c r="M226" i="1"/>
  <c r="M227" i="1"/>
  <c r="M229" i="1"/>
  <c r="L227" i="1"/>
  <c r="L229" i="1"/>
  <c r="K227" i="1"/>
  <c r="K229" i="1"/>
  <c r="J227" i="1"/>
  <c r="J229" i="1"/>
  <c r="I227" i="1"/>
  <c r="I229" i="1"/>
  <c r="H227" i="1"/>
  <c r="H229" i="1"/>
  <c r="G228" i="1"/>
  <c r="F226" i="1"/>
  <c r="F228" i="1"/>
  <c r="G217" i="1"/>
  <c r="H213" i="1"/>
  <c r="H216" i="1"/>
  <c r="H217" i="1"/>
  <c r="I213" i="1"/>
  <c r="I216" i="1"/>
  <c r="I217" i="1"/>
  <c r="J213" i="1"/>
  <c r="J216" i="1"/>
  <c r="J217" i="1"/>
  <c r="K213" i="1"/>
  <c r="K216" i="1"/>
  <c r="K217" i="1"/>
  <c r="L213" i="1"/>
  <c r="L216" i="1"/>
  <c r="L217" i="1"/>
  <c r="M213" i="1"/>
  <c r="M215" i="1"/>
  <c r="M216" i="1"/>
  <c r="M217" i="1"/>
  <c r="M218" i="1"/>
  <c r="M220" i="1"/>
  <c r="L218" i="1"/>
  <c r="L220" i="1"/>
  <c r="K218" i="1"/>
  <c r="K220" i="1"/>
  <c r="J218" i="1"/>
  <c r="J220" i="1"/>
  <c r="I218" i="1"/>
  <c r="I220" i="1"/>
  <c r="H218" i="1"/>
  <c r="H220" i="1"/>
  <c r="H206" i="1"/>
  <c r="M199" i="1"/>
  <c r="L199" i="1"/>
  <c r="K199" i="1"/>
  <c r="J199" i="1"/>
  <c r="I199" i="1"/>
  <c r="H199" i="1"/>
  <c r="M197" i="1"/>
  <c r="L197" i="1"/>
  <c r="K197" i="1"/>
  <c r="J197" i="1"/>
  <c r="I197" i="1"/>
  <c r="H197" i="1"/>
  <c r="M155" i="1"/>
  <c r="M193" i="1"/>
  <c r="L155" i="1"/>
  <c r="L193" i="1"/>
  <c r="K155" i="1"/>
  <c r="K193" i="1"/>
  <c r="J155" i="1"/>
  <c r="J193" i="1"/>
  <c r="I155" i="1"/>
  <c r="I193" i="1"/>
  <c r="H155" i="1"/>
  <c r="H193" i="1"/>
  <c r="I44" i="1"/>
  <c r="J44" i="1"/>
  <c r="K44" i="1"/>
  <c r="L44" i="1"/>
  <c r="M44" i="1"/>
  <c r="I52" i="1"/>
  <c r="I14" i="1"/>
  <c r="J52" i="1"/>
  <c r="J14" i="1"/>
  <c r="K52" i="1"/>
  <c r="K14" i="1"/>
  <c r="L52" i="1"/>
  <c r="L14" i="1"/>
  <c r="M52" i="1"/>
  <c r="M14" i="1"/>
  <c r="M56" i="1"/>
  <c r="M16" i="1"/>
  <c r="M17" i="1"/>
  <c r="M59" i="1"/>
  <c r="M18" i="1"/>
  <c r="M19" i="1"/>
  <c r="L56" i="1"/>
  <c r="L16" i="1"/>
  <c r="L17" i="1"/>
  <c r="L59" i="1"/>
  <c r="L18" i="1"/>
  <c r="L19" i="1"/>
  <c r="K56" i="1"/>
  <c r="K16" i="1"/>
  <c r="K17" i="1"/>
  <c r="K59" i="1"/>
  <c r="K18" i="1"/>
  <c r="K19" i="1"/>
  <c r="J56" i="1"/>
  <c r="J16" i="1"/>
  <c r="J17" i="1"/>
  <c r="J59" i="1"/>
  <c r="J18" i="1"/>
  <c r="J19" i="1"/>
  <c r="I56" i="1"/>
  <c r="I16" i="1"/>
  <c r="I17" i="1"/>
  <c r="I59" i="1"/>
  <c r="I18" i="1"/>
  <c r="I19" i="1"/>
  <c r="H176" i="1"/>
  <c r="H178" i="1"/>
  <c r="I176" i="1"/>
  <c r="I178" i="1"/>
  <c r="J176" i="1"/>
  <c r="J178" i="1"/>
  <c r="K176" i="1"/>
  <c r="K178" i="1"/>
  <c r="L176" i="1"/>
  <c r="L178" i="1"/>
  <c r="M176" i="1"/>
  <c r="M178" i="1"/>
  <c r="H170" i="1"/>
  <c r="H171" i="1"/>
  <c r="H173" i="1"/>
  <c r="I170" i="1"/>
  <c r="I171" i="1"/>
  <c r="I173" i="1"/>
  <c r="J170" i="1"/>
  <c r="J171" i="1"/>
  <c r="J173" i="1"/>
  <c r="K170" i="1"/>
  <c r="K171" i="1"/>
  <c r="K173" i="1"/>
  <c r="L170" i="1"/>
  <c r="L171" i="1"/>
  <c r="L173" i="1"/>
  <c r="M170" i="1"/>
  <c r="M171" i="1"/>
  <c r="M173" i="1"/>
  <c r="M174" i="1"/>
  <c r="L174" i="1"/>
  <c r="K174" i="1"/>
  <c r="J174" i="1"/>
  <c r="I174" i="1"/>
  <c r="H174" i="1"/>
  <c r="M153" i="1"/>
  <c r="L153" i="1"/>
  <c r="K153" i="1"/>
  <c r="J153" i="1"/>
  <c r="I153" i="1"/>
  <c r="H153" i="1"/>
  <c r="M152" i="1"/>
  <c r="L152" i="1"/>
  <c r="K152" i="1"/>
  <c r="J152" i="1"/>
  <c r="I152" i="1"/>
  <c r="H152" i="1"/>
  <c r="M146" i="1"/>
  <c r="M148" i="1"/>
  <c r="L146" i="1"/>
  <c r="L148" i="1"/>
  <c r="K146" i="1"/>
  <c r="K148" i="1"/>
  <c r="J146" i="1"/>
  <c r="J148" i="1"/>
  <c r="I146" i="1"/>
  <c r="I148" i="1"/>
  <c r="H146" i="1"/>
  <c r="H148" i="1"/>
  <c r="G118" i="1"/>
  <c r="H118" i="1"/>
  <c r="I118" i="1"/>
  <c r="J118" i="1"/>
  <c r="K118" i="1"/>
  <c r="L118" i="1"/>
  <c r="L82" i="1"/>
  <c r="M118" i="1"/>
  <c r="M82" i="1"/>
  <c r="M136" i="1"/>
  <c r="G119" i="1"/>
  <c r="H119" i="1"/>
  <c r="I119" i="1"/>
  <c r="J119" i="1"/>
  <c r="K119" i="1"/>
  <c r="L119" i="1"/>
  <c r="L83" i="1"/>
  <c r="M119" i="1"/>
  <c r="M83" i="1"/>
  <c r="M137" i="1"/>
  <c r="G120" i="1"/>
  <c r="H120" i="1"/>
  <c r="I120" i="1"/>
  <c r="J120" i="1"/>
  <c r="K120" i="1"/>
  <c r="L120" i="1"/>
  <c r="L84" i="1"/>
  <c r="M120" i="1"/>
  <c r="M84" i="1"/>
  <c r="M138" i="1"/>
  <c r="G121" i="1"/>
  <c r="H121" i="1"/>
  <c r="I121" i="1"/>
  <c r="J121" i="1"/>
  <c r="K121" i="1"/>
  <c r="L121" i="1"/>
  <c r="M121" i="1"/>
  <c r="M94" i="1"/>
  <c r="L94" i="1"/>
  <c r="M139" i="1"/>
  <c r="G122" i="1"/>
  <c r="H122" i="1"/>
  <c r="I122" i="1"/>
  <c r="J122" i="1"/>
  <c r="K122" i="1"/>
  <c r="L122" i="1"/>
  <c r="M122" i="1"/>
  <c r="M95" i="1"/>
  <c r="L95" i="1"/>
  <c r="M140" i="1"/>
  <c r="G123" i="1"/>
  <c r="H123" i="1"/>
  <c r="I123" i="1"/>
  <c r="J123" i="1"/>
  <c r="K123" i="1"/>
  <c r="L123" i="1"/>
  <c r="M123" i="1"/>
  <c r="M62" i="1"/>
  <c r="K82" i="1"/>
  <c r="L136" i="1"/>
  <c r="K83" i="1"/>
  <c r="L137" i="1"/>
  <c r="K84" i="1"/>
  <c r="L138" i="1"/>
  <c r="K94" i="1"/>
  <c r="L139" i="1"/>
  <c r="K95" i="1"/>
  <c r="L140" i="1"/>
  <c r="L62" i="1"/>
  <c r="J82" i="1"/>
  <c r="K136" i="1"/>
  <c r="J83" i="1"/>
  <c r="K137" i="1"/>
  <c r="J84" i="1"/>
  <c r="K138" i="1"/>
  <c r="J94" i="1"/>
  <c r="K139" i="1"/>
  <c r="J95" i="1"/>
  <c r="K140" i="1"/>
  <c r="K62" i="1"/>
  <c r="I82" i="1"/>
  <c r="J136" i="1"/>
  <c r="I83" i="1"/>
  <c r="J137" i="1"/>
  <c r="I84" i="1"/>
  <c r="J138" i="1"/>
  <c r="I94" i="1"/>
  <c r="J139" i="1"/>
  <c r="I95" i="1"/>
  <c r="J140" i="1"/>
  <c r="J62" i="1"/>
  <c r="H82" i="1"/>
  <c r="I136" i="1"/>
  <c r="H83" i="1"/>
  <c r="I137" i="1"/>
  <c r="H84" i="1"/>
  <c r="I138" i="1"/>
  <c r="H94" i="1"/>
  <c r="I139" i="1"/>
  <c r="H95" i="1"/>
  <c r="I140" i="1"/>
  <c r="I62" i="1"/>
  <c r="H136" i="1"/>
  <c r="H137" i="1"/>
  <c r="H138" i="1"/>
  <c r="H139" i="1"/>
  <c r="H140" i="1"/>
  <c r="H62" i="1"/>
  <c r="I69" i="1"/>
  <c r="J69" i="1"/>
  <c r="K69" i="1"/>
  <c r="L69" i="1"/>
  <c r="M69" i="1"/>
  <c r="M48" i="1"/>
  <c r="M134" i="1"/>
  <c r="L48" i="1"/>
  <c r="L134" i="1"/>
  <c r="K48" i="1"/>
  <c r="K134" i="1"/>
  <c r="J48" i="1"/>
  <c r="J134" i="1"/>
  <c r="I48" i="1"/>
  <c r="I134" i="1"/>
  <c r="H48" i="1"/>
  <c r="H134" i="1"/>
  <c r="M47" i="1"/>
  <c r="M133" i="1"/>
  <c r="L47" i="1"/>
  <c r="L133" i="1"/>
  <c r="K47" i="1"/>
  <c r="K133" i="1"/>
  <c r="J47" i="1"/>
  <c r="J133" i="1"/>
  <c r="I47" i="1"/>
  <c r="I133" i="1"/>
  <c r="H47" i="1"/>
  <c r="H133" i="1"/>
  <c r="F123" i="1"/>
  <c r="F122" i="1"/>
  <c r="D122" i="1"/>
  <c r="F121" i="1"/>
  <c r="D121" i="1"/>
  <c r="F120" i="1"/>
  <c r="D120" i="1"/>
  <c r="F119" i="1"/>
  <c r="D119" i="1"/>
  <c r="F14" i="1"/>
  <c r="F118" i="1"/>
  <c r="D118" i="1"/>
  <c r="G97" i="1"/>
  <c r="G101" i="1"/>
  <c r="G109" i="1"/>
  <c r="G111" i="1"/>
  <c r="G112" i="1"/>
  <c r="G85" i="1"/>
  <c r="G90" i="1"/>
  <c r="G114" i="1"/>
  <c r="F97" i="1"/>
  <c r="F101" i="1"/>
  <c r="F109" i="1"/>
  <c r="F111" i="1"/>
  <c r="F112" i="1"/>
  <c r="F85" i="1"/>
  <c r="F90" i="1"/>
  <c r="F114" i="1"/>
  <c r="H104" i="1"/>
  <c r="I104" i="1"/>
  <c r="J104" i="1"/>
  <c r="K104" i="1"/>
  <c r="L104" i="1"/>
  <c r="M104" i="1"/>
  <c r="H105" i="1"/>
  <c r="I105" i="1"/>
  <c r="J105" i="1"/>
  <c r="K105" i="1"/>
  <c r="L105" i="1"/>
  <c r="M105" i="1"/>
  <c r="H106" i="1"/>
  <c r="I106" i="1"/>
  <c r="J106" i="1"/>
  <c r="K106" i="1"/>
  <c r="L106" i="1"/>
  <c r="M106" i="1"/>
  <c r="H110" i="1"/>
  <c r="I110" i="1"/>
  <c r="J110" i="1"/>
  <c r="K110" i="1"/>
  <c r="L110" i="1"/>
  <c r="M110" i="1"/>
  <c r="H108" i="1"/>
  <c r="I108" i="1"/>
  <c r="J108" i="1"/>
  <c r="K108" i="1"/>
  <c r="L108" i="1"/>
  <c r="M108" i="1"/>
  <c r="H100" i="1"/>
  <c r="I100" i="1"/>
  <c r="J100" i="1"/>
  <c r="K100" i="1"/>
  <c r="L100" i="1"/>
  <c r="M100" i="1"/>
  <c r="H99" i="1"/>
  <c r="I99" i="1"/>
  <c r="J99" i="1"/>
  <c r="K99" i="1"/>
  <c r="L99" i="1"/>
  <c r="M99" i="1"/>
  <c r="H98" i="1"/>
  <c r="I98" i="1"/>
  <c r="J98" i="1"/>
  <c r="K98" i="1"/>
  <c r="L98" i="1"/>
  <c r="M98" i="1"/>
  <c r="H89" i="1"/>
  <c r="I89" i="1"/>
  <c r="J89" i="1"/>
  <c r="K89" i="1"/>
  <c r="L89" i="1"/>
  <c r="M89" i="1"/>
  <c r="H88" i="1"/>
  <c r="I88" i="1"/>
  <c r="J88" i="1"/>
  <c r="K88" i="1"/>
  <c r="L88" i="1"/>
  <c r="M88" i="1"/>
  <c r="H87" i="1"/>
  <c r="I87" i="1"/>
  <c r="J87" i="1"/>
  <c r="K87" i="1"/>
  <c r="L87" i="1"/>
  <c r="M87" i="1"/>
  <c r="H86" i="1"/>
  <c r="I86" i="1"/>
  <c r="J86" i="1"/>
  <c r="K86" i="1"/>
  <c r="L86" i="1"/>
  <c r="M86" i="1"/>
  <c r="G72" i="1"/>
  <c r="H72" i="1"/>
  <c r="I72" i="1"/>
  <c r="J72" i="1"/>
  <c r="K72" i="1"/>
  <c r="L72" i="1"/>
  <c r="M72" i="1"/>
  <c r="G73" i="1"/>
  <c r="H73" i="1"/>
  <c r="I73" i="1"/>
  <c r="J73" i="1"/>
  <c r="K73" i="1"/>
  <c r="L73" i="1"/>
  <c r="M73" i="1"/>
  <c r="M74" i="1"/>
  <c r="L74" i="1"/>
  <c r="K74" i="1"/>
  <c r="J74" i="1"/>
  <c r="I74" i="1"/>
  <c r="H74" i="1"/>
  <c r="G74" i="1"/>
  <c r="F72" i="1"/>
  <c r="F73" i="1"/>
  <c r="F74" i="1"/>
  <c r="E14" i="1"/>
  <c r="E72" i="1"/>
  <c r="E73" i="1"/>
  <c r="E74" i="1"/>
  <c r="G17" i="1"/>
  <c r="G19" i="1"/>
  <c r="G69" i="1"/>
  <c r="F17" i="1"/>
  <c r="F19" i="1"/>
  <c r="F69" i="1"/>
  <c r="E17" i="1"/>
  <c r="E19" i="1"/>
  <c r="E69" i="1"/>
  <c r="J68" i="1"/>
  <c r="I68" i="1"/>
  <c r="H68" i="1"/>
  <c r="M49" i="1"/>
  <c r="M67" i="1"/>
  <c r="L49" i="1"/>
  <c r="L67" i="1"/>
  <c r="K49" i="1"/>
  <c r="K67" i="1"/>
  <c r="J49" i="1"/>
  <c r="J67" i="1"/>
  <c r="I49" i="1"/>
  <c r="I67" i="1"/>
  <c r="H49" i="1"/>
  <c r="H67" i="1"/>
  <c r="G47" i="1"/>
  <c r="G48" i="1"/>
  <c r="G49" i="1"/>
  <c r="G67" i="1"/>
  <c r="F47" i="1"/>
  <c r="F48" i="1"/>
  <c r="F49" i="1"/>
  <c r="F67" i="1"/>
  <c r="E47" i="1"/>
  <c r="E48" i="1"/>
  <c r="E49" i="1"/>
  <c r="E67" i="1"/>
  <c r="M12" i="1"/>
  <c r="M66" i="1"/>
  <c r="L12" i="1"/>
  <c r="L66" i="1"/>
  <c r="K12" i="1"/>
  <c r="K66" i="1"/>
  <c r="J12" i="1"/>
  <c r="J66" i="1"/>
  <c r="I12" i="1"/>
  <c r="I66" i="1"/>
  <c r="H12" i="1"/>
  <c r="H66" i="1"/>
  <c r="G66" i="1"/>
  <c r="F66" i="1"/>
  <c r="E66" i="1"/>
  <c r="M65" i="1"/>
  <c r="L65" i="1"/>
  <c r="K65" i="1"/>
  <c r="J65" i="1"/>
  <c r="I65" i="1"/>
  <c r="H65" i="1"/>
  <c r="G65" i="1"/>
  <c r="F65" i="1"/>
  <c r="E65" i="1"/>
  <c r="I64" i="1"/>
  <c r="J64" i="1"/>
  <c r="K64" i="1"/>
  <c r="L64" i="1"/>
  <c r="M64" i="1"/>
  <c r="G24" i="1"/>
  <c r="G26" i="1"/>
  <c r="G28" i="1"/>
  <c r="G30" i="1"/>
  <c r="G64" i="1"/>
  <c r="F24" i="1"/>
  <c r="F26" i="1"/>
  <c r="F28" i="1"/>
  <c r="F30" i="1"/>
  <c r="F64" i="1"/>
  <c r="E24" i="1"/>
  <c r="E26" i="1"/>
  <c r="E28" i="1"/>
  <c r="E30" i="1"/>
  <c r="E64" i="1"/>
  <c r="G32" i="1"/>
  <c r="G63" i="1"/>
  <c r="F32" i="1"/>
  <c r="F63" i="1"/>
  <c r="E32" i="1"/>
  <c r="E63" i="1"/>
  <c r="G62" i="1"/>
  <c r="F62" i="1"/>
  <c r="E62" i="1"/>
  <c r="L61" i="1"/>
  <c r="K61" i="1"/>
  <c r="J61" i="1"/>
  <c r="I61" i="1"/>
  <c r="H61" i="1"/>
  <c r="M60" i="1"/>
  <c r="L60" i="1"/>
  <c r="K60" i="1"/>
  <c r="J60" i="1"/>
  <c r="I60" i="1"/>
  <c r="H60" i="1"/>
  <c r="G60" i="1"/>
  <c r="F60" i="1"/>
  <c r="E60" i="1"/>
  <c r="G59" i="1"/>
  <c r="F59" i="1"/>
  <c r="E59" i="1"/>
  <c r="D59" i="1"/>
  <c r="L58" i="1"/>
  <c r="K58" i="1"/>
  <c r="J58" i="1"/>
  <c r="I58" i="1"/>
  <c r="H58" i="1"/>
  <c r="M57" i="1"/>
  <c r="L57" i="1"/>
  <c r="K57" i="1"/>
  <c r="J57" i="1"/>
  <c r="I57" i="1"/>
  <c r="H57" i="1"/>
  <c r="G57" i="1"/>
  <c r="F57" i="1"/>
  <c r="E57" i="1"/>
  <c r="G56" i="1"/>
  <c r="F56" i="1"/>
  <c r="E56" i="1"/>
  <c r="D56" i="1"/>
  <c r="G52" i="1"/>
  <c r="F52" i="1"/>
  <c r="G35" i="1"/>
  <c r="G44" i="1"/>
  <c r="F35" i="1"/>
  <c r="F44" i="1"/>
  <c r="E35" i="1"/>
  <c r="E44" i="1"/>
  <c r="M39" i="1"/>
  <c r="H40" i="1"/>
  <c r="I40" i="1"/>
  <c r="J40" i="1"/>
  <c r="K40" i="1"/>
  <c r="L40" i="1"/>
  <c r="M40" i="1"/>
  <c r="M41" i="1"/>
  <c r="L39" i="1"/>
  <c r="L41" i="1"/>
  <c r="K39" i="1"/>
  <c r="K41" i="1"/>
  <c r="J39" i="1"/>
  <c r="J41" i="1"/>
  <c r="I39" i="1"/>
  <c r="I41" i="1"/>
  <c r="H39" i="1"/>
  <c r="H41" i="1"/>
  <c r="L37" i="1"/>
  <c r="K37" i="1"/>
  <c r="J37" i="1"/>
  <c r="I37" i="1"/>
  <c r="H37" i="1"/>
  <c r="G36" i="1"/>
  <c r="F36" i="1"/>
  <c r="E36" i="1"/>
  <c r="I29" i="1"/>
  <c r="K29" i="1"/>
  <c r="M29" i="1"/>
  <c r="H29" i="1"/>
  <c r="J29" i="1"/>
  <c r="L29" i="1"/>
  <c r="I25" i="1"/>
  <c r="M22" i="1"/>
  <c r="L22" i="1"/>
  <c r="K22" i="1"/>
  <c r="J22" i="1"/>
  <c r="I22" i="1"/>
  <c r="H22" i="1"/>
  <c r="M13" i="1"/>
  <c r="L13" i="1"/>
  <c r="K13" i="1"/>
  <c r="J13" i="1"/>
  <c r="I13" i="1"/>
  <c r="H13" i="1"/>
  <c r="H21" i="1"/>
  <c r="I21" i="1"/>
  <c r="J21" i="1"/>
  <c r="K21" i="1"/>
  <c r="L21" i="1"/>
  <c r="M21" i="1"/>
  <c r="H23" i="1"/>
  <c r="I23" i="1"/>
  <c r="J23" i="1"/>
  <c r="K23" i="1"/>
  <c r="L23" i="1"/>
  <c r="M23" i="1"/>
  <c r="H24" i="1"/>
  <c r="I24" i="1"/>
  <c r="J24" i="1"/>
  <c r="K24" i="1"/>
  <c r="L24" i="1"/>
  <c r="M24" i="1"/>
  <c r="H26" i="1"/>
  <c r="I26" i="1"/>
  <c r="J26" i="1"/>
  <c r="K26" i="1"/>
  <c r="L26" i="1"/>
  <c r="M26" i="1"/>
  <c r="H27" i="1"/>
  <c r="I27" i="1"/>
  <c r="J27" i="1"/>
  <c r="K27" i="1"/>
  <c r="L27" i="1"/>
  <c r="M27" i="1"/>
  <c r="H28" i="1"/>
  <c r="I28" i="1"/>
  <c r="J28" i="1"/>
  <c r="K28" i="1"/>
  <c r="L28" i="1"/>
  <c r="M28" i="1"/>
  <c r="H30" i="1"/>
  <c r="I30" i="1"/>
  <c r="J30" i="1"/>
  <c r="K30" i="1"/>
  <c r="L30" i="1"/>
  <c r="M30" i="1"/>
  <c r="H31" i="1"/>
  <c r="I31" i="1"/>
  <c r="J31" i="1"/>
  <c r="K31" i="1"/>
  <c r="L31" i="1"/>
  <c r="M31" i="1"/>
  <c r="H32" i="1"/>
  <c r="I32" i="1"/>
  <c r="J32" i="1"/>
  <c r="K32" i="1"/>
  <c r="L32" i="1"/>
  <c r="M32" i="1"/>
  <c r="H35" i="1"/>
  <c r="I35" i="1"/>
  <c r="J35" i="1"/>
  <c r="K35" i="1"/>
  <c r="L35" i="1"/>
  <c r="M35" i="1"/>
  <c r="H36" i="1"/>
  <c r="I36" i="1"/>
  <c r="J36" i="1"/>
  <c r="K36" i="1"/>
  <c r="L36" i="1"/>
  <c r="M36" i="1"/>
  <c r="H43" i="1"/>
  <c r="I43" i="1"/>
  <c r="J43" i="1"/>
  <c r="K43" i="1"/>
  <c r="L43" i="1"/>
  <c r="M43" i="1"/>
  <c r="H63" i="1"/>
  <c r="I63" i="1"/>
  <c r="J63" i="1"/>
  <c r="K63" i="1"/>
  <c r="L63" i="1"/>
  <c r="M63" i="1"/>
  <c r="H81" i="1"/>
  <c r="I81" i="1"/>
  <c r="J81" i="1"/>
  <c r="K81" i="1"/>
  <c r="L81" i="1"/>
  <c r="M81" i="1"/>
  <c r="H85" i="1"/>
  <c r="I85" i="1"/>
  <c r="J85" i="1"/>
  <c r="K85" i="1"/>
  <c r="L85" i="1"/>
  <c r="M85" i="1"/>
  <c r="H90" i="1"/>
  <c r="I90" i="1"/>
  <c r="J90" i="1"/>
  <c r="K90" i="1"/>
  <c r="L90" i="1"/>
  <c r="M90" i="1"/>
  <c r="H93" i="1"/>
  <c r="I93" i="1"/>
  <c r="J93" i="1"/>
  <c r="K93" i="1"/>
  <c r="L93" i="1"/>
  <c r="M93" i="1"/>
  <c r="H96" i="1"/>
  <c r="I96" i="1"/>
  <c r="J96" i="1"/>
  <c r="K96" i="1"/>
  <c r="L96" i="1"/>
  <c r="M96" i="1"/>
  <c r="H97" i="1"/>
  <c r="I97" i="1"/>
  <c r="J97" i="1"/>
  <c r="K97" i="1"/>
  <c r="L97" i="1"/>
  <c r="M97" i="1"/>
  <c r="H101" i="1"/>
  <c r="I101" i="1"/>
  <c r="J101" i="1"/>
  <c r="K101" i="1"/>
  <c r="L101" i="1"/>
  <c r="M101" i="1"/>
  <c r="H107" i="1"/>
  <c r="I107" i="1"/>
  <c r="J107" i="1"/>
  <c r="K107" i="1"/>
  <c r="L107" i="1"/>
  <c r="M107" i="1"/>
  <c r="H109" i="1"/>
  <c r="I109" i="1"/>
  <c r="J109" i="1"/>
  <c r="K109" i="1"/>
  <c r="L109" i="1"/>
  <c r="M109" i="1"/>
  <c r="H111" i="1"/>
  <c r="I111" i="1"/>
  <c r="J111" i="1"/>
  <c r="K111" i="1"/>
  <c r="L111" i="1"/>
  <c r="M111" i="1"/>
  <c r="H112" i="1"/>
  <c r="I112" i="1"/>
  <c r="J112" i="1"/>
  <c r="K112" i="1"/>
  <c r="L112" i="1"/>
  <c r="M112" i="1"/>
  <c r="H114" i="1"/>
  <c r="I114" i="1"/>
  <c r="J114" i="1"/>
  <c r="K114" i="1"/>
  <c r="L114" i="1"/>
  <c r="M114" i="1"/>
  <c r="H132" i="1"/>
  <c r="I132" i="1"/>
  <c r="J132" i="1"/>
  <c r="K132" i="1"/>
  <c r="L132" i="1"/>
  <c r="M132" i="1"/>
  <c r="H141" i="1"/>
  <c r="I141" i="1"/>
  <c r="J141" i="1"/>
  <c r="K141" i="1"/>
  <c r="L141" i="1"/>
  <c r="M141" i="1"/>
  <c r="H142" i="1"/>
  <c r="I142" i="1"/>
  <c r="J142" i="1"/>
  <c r="K142" i="1"/>
  <c r="L142" i="1"/>
  <c r="M142" i="1"/>
  <c r="H143" i="1"/>
  <c r="I143" i="1"/>
  <c r="J143" i="1"/>
  <c r="K143" i="1"/>
  <c r="L143" i="1"/>
  <c r="M143" i="1"/>
  <c r="H151" i="1"/>
  <c r="I151" i="1"/>
  <c r="J151" i="1"/>
  <c r="K151" i="1"/>
  <c r="L151" i="1"/>
  <c r="M151" i="1"/>
  <c r="H154" i="1"/>
  <c r="I154" i="1"/>
  <c r="J154" i="1"/>
  <c r="K154" i="1"/>
  <c r="L154" i="1"/>
  <c r="M154" i="1"/>
  <c r="H157" i="1"/>
  <c r="I157" i="1"/>
  <c r="J157" i="1"/>
  <c r="K157" i="1"/>
  <c r="L157" i="1"/>
  <c r="M157" i="1"/>
  <c r="H159" i="1"/>
  <c r="I159" i="1"/>
  <c r="J159" i="1"/>
  <c r="K159" i="1"/>
  <c r="L159" i="1"/>
  <c r="M159" i="1"/>
  <c r="I189" i="1"/>
  <c r="J189" i="1"/>
  <c r="K189" i="1"/>
  <c r="L189" i="1"/>
  <c r="M189" i="1"/>
  <c r="H190" i="1"/>
  <c r="I190" i="1"/>
  <c r="J190" i="1"/>
  <c r="K190" i="1"/>
  <c r="L190" i="1"/>
  <c r="M190" i="1"/>
  <c r="H192" i="1"/>
  <c r="I192" i="1"/>
  <c r="J192" i="1"/>
  <c r="K192" i="1"/>
  <c r="L192" i="1"/>
  <c r="M192" i="1"/>
  <c r="H194" i="1"/>
  <c r="I194" i="1"/>
  <c r="J194" i="1"/>
  <c r="K194" i="1"/>
  <c r="L194" i="1"/>
  <c r="M194" i="1"/>
  <c r="H195" i="1"/>
  <c r="I195" i="1"/>
  <c r="J195" i="1"/>
  <c r="K195" i="1"/>
  <c r="L195" i="1"/>
  <c r="M195" i="1"/>
  <c r="H196" i="1"/>
  <c r="I196" i="1"/>
  <c r="J196" i="1"/>
  <c r="K196" i="1"/>
  <c r="L196" i="1"/>
  <c r="M196" i="1"/>
  <c r="H198" i="1"/>
  <c r="I198" i="1"/>
  <c r="J198" i="1"/>
  <c r="K198" i="1"/>
  <c r="L198" i="1"/>
  <c r="M198" i="1"/>
  <c r="H200" i="1"/>
  <c r="I200" i="1"/>
  <c r="J200" i="1"/>
  <c r="K200" i="1"/>
  <c r="L200" i="1"/>
  <c r="M200" i="1"/>
  <c r="I203" i="1"/>
  <c r="J203" i="1"/>
  <c r="K203" i="1"/>
  <c r="L203" i="1"/>
  <c r="M203" i="1"/>
  <c r="H204" i="1"/>
  <c r="I204" i="1"/>
  <c r="J204" i="1"/>
  <c r="K204" i="1"/>
  <c r="L204" i="1"/>
  <c r="M204" i="1"/>
  <c r="I206" i="1"/>
  <c r="J206" i="1"/>
  <c r="K206" i="1"/>
  <c r="L206" i="1"/>
  <c r="M206" i="1"/>
  <c r="H207" i="1"/>
  <c r="I207" i="1"/>
  <c r="J207" i="1"/>
  <c r="K207" i="1"/>
  <c r="L207" i="1"/>
  <c r="M207" i="1"/>
  <c r="H208" i="1"/>
  <c r="I208" i="1"/>
  <c r="J208" i="1"/>
  <c r="K208" i="1"/>
  <c r="L208" i="1"/>
  <c r="M208" i="1"/>
  <c r="H210" i="1"/>
  <c r="I210" i="1"/>
  <c r="J210" i="1"/>
  <c r="K210" i="1"/>
  <c r="L210" i="1"/>
  <c r="M210" i="1"/>
  <c r="I232" i="1"/>
  <c r="J232" i="1"/>
  <c r="K232" i="1"/>
  <c r="L232" i="1"/>
  <c r="M232" i="1"/>
  <c r="H233" i="1"/>
  <c r="I233" i="1"/>
  <c r="J233" i="1"/>
  <c r="K233" i="1"/>
  <c r="L233" i="1"/>
  <c r="M233" i="1"/>
  <c r="H234" i="1"/>
  <c r="I234" i="1"/>
  <c r="J234" i="1"/>
  <c r="K234" i="1"/>
  <c r="L234" i="1"/>
  <c r="M234" i="1"/>
  <c r="H235" i="1"/>
  <c r="I235" i="1"/>
  <c r="J235" i="1"/>
  <c r="K235" i="1"/>
  <c r="L235" i="1"/>
  <c r="M235" i="1"/>
  <c r="H237" i="1"/>
  <c r="I237" i="1"/>
  <c r="J237" i="1"/>
  <c r="K237" i="1"/>
  <c r="L237" i="1"/>
  <c r="M237" i="1"/>
  <c r="H239" i="1"/>
  <c r="I239" i="1"/>
  <c r="J239" i="1"/>
  <c r="K239" i="1"/>
  <c r="L239" i="1"/>
  <c r="M239" i="1"/>
</calcChain>
</file>

<file path=xl/sharedStrings.xml><?xml version="1.0" encoding="utf-8"?>
<sst xmlns="http://schemas.openxmlformats.org/spreadsheetml/2006/main" count="241" uniqueCount="171">
  <si>
    <t>Case</t>
  </si>
  <si>
    <t>(1 = Wall Street, 2= Bear, 3= Bullish)</t>
  </si>
  <si>
    <t>INCOME STATEMENT</t>
  </si>
  <si>
    <t>(Amounts in millions, except per share data)</t>
  </si>
  <si>
    <t>Historicals</t>
  </si>
  <si>
    <t>For the Fiscal Year Ending January 31,</t>
  </si>
  <si>
    <t>2016A</t>
  </si>
  <si>
    <t>2017A</t>
  </si>
  <si>
    <t>2018A</t>
  </si>
  <si>
    <t>2019E</t>
  </si>
  <si>
    <t>2020E</t>
  </si>
  <si>
    <t>2021E</t>
  </si>
  <si>
    <t>2022E</t>
  </si>
  <si>
    <t>2023E</t>
  </si>
  <si>
    <t>2024E</t>
  </si>
  <si>
    <t>Net sales</t>
  </si>
  <si>
    <t>Membership and other income</t>
  </si>
  <si>
    <t>Total revenues</t>
  </si>
  <si>
    <t>Cost and Expenses</t>
  </si>
  <si>
    <t>Cost of sales</t>
  </si>
  <si>
    <t>Gross Profit</t>
  </si>
  <si>
    <t>SG&amp;A</t>
  </si>
  <si>
    <t>Operating income</t>
  </si>
  <si>
    <t>Interest:</t>
  </si>
  <si>
    <t>Debt</t>
  </si>
  <si>
    <t>Capital lease and financing obligations</t>
  </si>
  <si>
    <t>Interest income</t>
  </si>
  <si>
    <t>Interest, net</t>
  </si>
  <si>
    <t>Loss on extinguishment of debt</t>
  </si>
  <si>
    <t>Pre-Tax Income:</t>
  </si>
  <si>
    <t>Provision for income taxes</t>
  </si>
  <si>
    <t>Income from Continuing Operations</t>
  </si>
  <si>
    <t>Discontinued Operations</t>
  </si>
  <si>
    <t>Consolidated net income</t>
  </si>
  <si>
    <t>Noncontrolling interest</t>
  </si>
  <si>
    <t>Net Income</t>
  </si>
  <si>
    <t>Earnings Per Share</t>
  </si>
  <si>
    <t>Basic EPS</t>
  </si>
  <si>
    <t>Diluted EPS</t>
  </si>
  <si>
    <t>Sanity Basic EPS Check</t>
  </si>
  <si>
    <t>Weighted-average common shares outstanding:</t>
  </si>
  <si>
    <t>Basic</t>
  </si>
  <si>
    <t>Dilution Impact</t>
  </si>
  <si>
    <t>Diluted</t>
  </si>
  <si>
    <t>Dividends declared per common share</t>
  </si>
  <si>
    <t>Payout Ratio</t>
  </si>
  <si>
    <t>D&amp;A</t>
  </si>
  <si>
    <t>EBIT</t>
  </si>
  <si>
    <t>EBITDA</t>
  </si>
  <si>
    <t>Revenue Growth</t>
  </si>
  <si>
    <t>Margins as % of Revenue</t>
  </si>
  <si>
    <t>Sanity Gross Profit Check</t>
  </si>
  <si>
    <t>Operating Income "EBIT"</t>
  </si>
  <si>
    <t>Sanity EBIT Check</t>
  </si>
  <si>
    <t>Income Tax Rate</t>
  </si>
  <si>
    <t>Noncontrolling Interest</t>
  </si>
  <si>
    <t>Capex</t>
  </si>
  <si>
    <t>Sanity EBITDA Check</t>
  </si>
  <si>
    <t>Operating Activites as % of EBIT</t>
  </si>
  <si>
    <t>As of % Total Revenue</t>
  </si>
  <si>
    <t>Net Sales</t>
  </si>
  <si>
    <t>Membership and Other Income</t>
  </si>
  <si>
    <t>Total Revenue</t>
  </si>
  <si>
    <t>BALANCE SHEET STATEMENT</t>
  </si>
  <si>
    <t>Current Assets:</t>
  </si>
  <si>
    <t>Cash and cash equivalents</t>
  </si>
  <si>
    <t>Receivables, net</t>
  </si>
  <si>
    <t>Inventories</t>
  </si>
  <si>
    <t>Prepaid expenses and other</t>
  </si>
  <si>
    <t>Total current assets</t>
  </si>
  <si>
    <t>Property and equipment, net</t>
  </si>
  <si>
    <t>Property under capital lease and financing obligations, net Intangibles</t>
  </si>
  <si>
    <t>Goodwill</t>
  </si>
  <si>
    <t>Other assets and deferred charges</t>
  </si>
  <si>
    <t>Total assets</t>
  </si>
  <si>
    <t>Current liabilities:</t>
  </si>
  <si>
    <t>Completely Deleted</t>
  </si>
  <si>
    <t>Short-term borrowings</t>
  </si>
  <si>
    <t>LT Debt Due in a year</t>
  </si>
  <si>
    <t>Accounts payable</t>
  </si>
  <si>
    <t>Capital Lease</t>
  </si>
  <si>
    <t>Accrued liabilities</t>
  </si>
  <si>
    <t>Accrued income taxes</t>
  </si>
  <si>
    <t>Total current liabilities</t>
  </si>
  <si>
    <t>Long-term debt</t>
  </si>
  <si>
    <t>Long-term capital lease and financing obligations</t>
  </si>
  <si>
    <t>Deferred income taxes and other</t>
  </si>
  <si>
    <t>Total Liabilities</t>
  </si>
  <si>
    <t>Equity:</t>
  </si>
  <si>
    <t>Common stock</t>
  </si>
  <si>
    <t>Capital in excess of par value</t>
  </si>
  <si>
    <t xml:space="preserve">Where did Treasury </t>
  </si>
  <si>
    <t>Treasury Stock</t>
  </si>
  <si>
    <t>Stock Come from</t>
  </si>
  <si>
    <t>Retained earnings</t>
  </si>
  <si>
    <t>Accumulated other comprehensive loss</t>
  </si>
  <si>
    <t>Total Walmart shareholders' equity</t>
  </si>
  <si>
    <t>Total equity</t>
  </si>
  <si>
    <t>Total liabilities and equity</t>
  </si>
  <si>
    <t>Check</t>
  </si>
  <si>
    <t>Working Capital</t>
  </si>
  <si>
    <t>Accrued income taxes (as % of current taxes)</t>
  </si>
  <si>
    <t>CASH FLOW STATEMENT</t>
  </si>
  <si>
    <t>Cash flow from operating activities</t>
  </si>
  <si>
    <t>Other Operating Activities</t>
  </si>
  <si>
    <t>Changes in Working Capital</t>
  </si>
  <si>
    <t>Receiables, net</t>
  </si>
  <si>
    <t>Accrued Liabilities</t>
  </si>
  <si>
    <t>Accrued Income Tax (as % of current taxes)</t>
  </si>
  <si>
    <t>Net changes in working capital</t>
  </si>
  <si>
    <t>Investing Activities</t>
  </si>
  <si>
    <t>Capital Expenditure (PP&amp;E)</t>
  </si>
  <si>
    <t>Other</t>
  </si>
  <si>
    <t>Cash flow from investing activities</t>
  </si>
  <si>
    <t>Financing Activities</t>
  </si>
  <si>
    <t>Paydown / drawdown on short-term debt</t>
  </si>
  <si>
    <t>Paydown / drawdown on long-term debt</t>
  </si>
  <si>
    <t>Paydown / drawdown on capital lease</t>
  </si>
  <si>
    <t>Dividends Paid</t>
  </si>
  <si>
    <t>Shsares repurchase</t>
  </si>
  <si>
    <t>Cash flow from financing activities</t>
  </si>
  <si>
    <t>Net change in cash and cash equivalents</t>
  </si>
  <si>
    <t>Free Cash Flow</t>
  </si>
  <si>
    <t>SHARES REPURCHASE SCHEDULE</t>
  </si>
  <si>
    <t>Q1-2019</t>
  </si>
  <si>
    <t>Basic Shares Oustanding</t>
  </si>
  <si>
    <t>Beginning Balance</t>
  </si>
  <si>
    <t>Repurcahses</t>
  </si>
  <si>
    <t>Issurances</t>
  </si>
  <si>
    <t>Basic Ending Shares Balance</t>
  </si>
  <si>
    <t>Basic Shares Weighted average Balance</t>
  </si>
  <si>
    <t>Beginning Balance - Buyback program outstanding</t>
  </si>
  <si>
    <t>Repurachase Amount</t>
  </si>
  <si>
    <t>Ending Balance</t>
  </si>
  <si>
    <t>Share price repurchase as of 5/21/2018</t>
  </si>
  <si>
    <t>Issuance stock price as of 5/21/2018</t>
  </si>
  <si>
    <t>Debt SCHEDULE</t>
  </si>
  <si>
    <t>Cash &amp; Equivalents - Beginning of Year</t>
  </si>
  <si>
    <t>Free Cash Flow (Cash Available to Service Total Debt)</t>
  </si>
  <si>
    <t>Minimum Cash</t>
  </si>
  <si>
    <t>Common Stock Dividends</t>
  </si>
  <si>
    <t>Equity Issuances / (Repurchases)</t>
  </si>
  <si>
    <t>Net Cash Available to Service Debt</t>
  </si>
  <si>
    <t>Short-term debt Drawdown / (Repayments)</t>
  </si>
  <si>
    <t>Cash Available to Service LT Debt</t>
  </si>
  <si>
    <t>Optional Repayments on Other LT Debt</t>
  </si>
  <si>
    <t>Cash Available to Serivce Capital Lease</t>
  </si>
  <si>
    <t>Optional Repayments on Capital Lease</t>
  </si>
  <si>
    <t>Cash &amp; Equivalents - End of Year</t>
  </si>
  <si>
    <t>Short-term Debt</t>
  </si>
  <si>
    <t>Revolver Drawdown - Cash Inflow Borrowing</t>
  </si>
  <si>
    <t>Mandatory Repayment</t>
  </si>
  <si>
    <t>Optional Revolver Repayment</t>
  </si>
  <si>
    <t>Averaging Balance</t>
  </si>
  <si>
    <t>Interest Rate on Revolver Debt</t>
  </si>
  <si>
    <t>Interest Expense</t>
  </si>
  <si>
    <t>Long Term Bank Debt</t>
  </si>
  <si>
    <t>Additional Borrowing</t>
  </si>
  <si>
    <t>Mandatory Repayments</t>
  </si>
  <si>
    <t>Optional Repayments</t>
  </si>
  <si>
    <t>Average Balance</t>
  </si>
  <si>
    <t>Interest Rate on Long-term Debt</t>
  </si>
  <si>
    <t>Long-term &amp; capital lease due in one year and financialing obligations</t>
  </si>
  <si>
    <t>Additional Borrowing / (Mandatory Repayments)</t>
  </si>
  <si>
    <t>Endning Balance</t>
  </si>
  <si>
    <t xml:space="preserve">Average Balance </t>
  </si>
  <si>
    <t>Interest Rate</t>
  </si>
  <si>
    <t>Cash &amp; Equivalents</t>
  </si>
  <si>
    <t>Change in cash &amp; Equivalents</t>
  </si>
  <si>
    <t>Interest Rate on Cash &amp; Equivalents</t>
  </si>
  <si>
    <t>Interest Income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</si>
</sst>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4">
    <numFmt numFmtId="5" formatCode="&quot;$&quot;#,##0_);\(&quot;$&quot;#,##0\)"/>
    <numFmt numFmtId="7" formatCode="&quot;$&quot;#,##0.00_);\(&quot;$&quot;#,##0.00\)"/>
    <numFmt numFmtId="164" formatCode="#.#\x"/>
    <numFmt numFmtId="165" formatCode="0.0%"/>
  </numFmts>
  <fonts count="12" x14ac:knownFonts="1">
    <font>
      <sz val="12"/>
      <color theme="1"/>
      <name val="Calibri"/>
      <family val="2"/>
      <scheme val="minor"/>
    </font>
    <font>
      <sz val="11"/>
      <color theme="1"/>
      <name val="Palatino"/>
    </font>
    <font>
      <b/>
      <sz val="11"/>
      <color theme="1"/>
      <name val="Palatino"/>
    </font>
    <font>
      <sz val="11"/>
      <color rgb="FF0070C0"/>
      <name val="Palatino"/>
    </font>
    <font>
      <sz val="11"/>
      <color rgb="FF00B050"/>
      <name val="Palatino"/>
    </font>
    <font>
      <b/>
      <sz val="11"/>
      <color rgb="FFFF0000"/>
      <name val="Palatino"/>
    </font>
    <font>
      <b/>
      <u/>
      <sz val="11"/>
      <color theme="1"/>
      <name val="Palatino"/>
    </font>
    <font>
      <i/>
      <sz val="11"/>
      <color theme="1"/>
      <name val="Inherit"/>
    </font>
    <font>
      <sz val="11"/>
      <color theme="1"/>
      <name val="Inherit"/>
    </font>
    <font>
      <b/>
      <sz val="11"/>
      <color theme="1"/>
      <name val="Inherit"/>
    </font>
    <font>
      <sz val="11"/>
      <color rgb="FF0000FF"/>
      <name val="Palatino"/>
    </font>
    <font>
      <b/>
      <sz val="11"/>
      <color rgb="FF00B050"/>
      <name val="Palatino"/>
    </font>
  </fonts>
  <fills count="4">
    <fill>
      <patternFill patternType="none"/>
    </fill>
    <fill>
      <patternFill patternType="gray125"/>
    </fill>
    <fill>
      <patternFill patternType="solid">
        <fgColor theme="6"/>
        <bgColor indexed="64"/>
      </patternFill>
    </fill>
    <fill>
      <patternFill patternType="solid">
        <fgColor rgb="FFFFFF00"/>
        <bgColor indexed="64"/>
      </patternFill>
    </fill>
  </fills>
  <borders count="17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/>
      <right/>
      <top style="thin">
        <color auto="1"/>
      </top>
      <bottom style="medium">
        <color auto="1"/>
      </bottom>
      <diagonal/>
    </border>
    <border>
      <left/>
      <right/>
      <top/>
      <bottom style="medium">
        <color auto="1"/>
      </bottom>
      <diagonal/>
    </border>
    <border>
      <left/>
      <right/>
      <top style="medium">
        <color auto="1"/>
      </top>
      <bottom style="thin">
        <color auto="1"/>
      </bottom>
      <diagonal/>
    </border>
    <border>
      <left/>
      <right style="thin">
        <color auto="1"/>
      </right>
      <top style="medium">
        <color auto="1"/>
      </top>
      <bottom style="thin">
        <color auto="1"/>
      </bottom>
      <diagonal/>
    </border>
    <border>
      <left/>
      <right style="thin">
        <color auto="1"/>
      </right>
      <top/>
      <bottom/>
      <diagonal/>
    </border>
    <border>
      <left/>
      <right style="thin">
        <color auto="1"/>
      </right>
      <top/>
      <bottom style="thin">
        <color auto="1"/>
      </bottom>
      <diagonal/>
    </border>
    <border>
      <left/>
      <right style="thin">
        <color auto="1"/>
      </right>
      <top/>
      <bottom style="medium">
        <color auto="1"/>
      </bottom>
      <diagonal/>
    </border>
    <border>
      <left style="thin">
        <color auto="1"/>
      </left>
      <right/>
      <top/>
      <bottom style="thin">
        <color auto="1"/>
      </bottom>
      <diagonal/>
    </border>
    <border>
      <left style="thin">
        <color auto="1"/>
      </left>
      <right/>
      <top/>
      <bottom style="medium">
        <color auto="1"/>
      </bottom>
      <diagonal/>
    </border>
    <border>
      <left/>
      <right style="thin">
        <color auto="1"/>
      </right>
      <top style="medium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/>
      <diagonal/>
    </border>
  </borders>
  <cellStyleXfs count="1">
    <xf numFmtId="0" fontId="0" fillId="0" borderId="0"/>
  </cellStyleXfs>
  <cellXfs count="159">
    <xf numFmtId="0" fontId="0" fillId="0" borderId="0" xfId="0"/>
    <xf numFmtId="0" fontId="1" fillId="0" borderId="0" xfId="0" applyFont="1"/>
    <xf numFmtId="0" fontId="1" fillId="0" borderId="0" xfId="0" applyFont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2" fillId="0" borderId="0" xfId="0" applyFont="1"/>
    <xf numFmtId="0" fontId="1" fillId="0" borderId="2" xfId="0" applyFont="1" applyBorder="1" applyAlignment="1"/>
    <xf numFmtId="0" fontId="1" fillId="0" borderId="2" xfId="0" applyFont="1" applyBorder="1" applyAlignment="1">
      <alignment horizontal="center" vertical="center"/>
    </xf>
    <xf numFmtId="0" fontId="1" fillId="0" borderId="2" xfId="0" applyFont="1" applyBorder="1"/>
    <xf numFmtId="0" fontId="1" fillId="0" borderId="0" xfId="0" applyFont="1" applyAlignment="1"/>
    <xf numFmtId="0" fontId="1" fillId="0" borderId="0" xfId="0" applyFont="1" applyBorder="1"/>
    <xf numFmtId="0" fontId="2" fillId="0" borderId="3" xfId="0" applyFont="1" applyBorder="1" applyAlignment="1">
      <alignment horizontal="center"/>
    </xf>
    <xf numFmtId="0" fontId="2" fillId="0" borderId="4" xfId="0" applyFont="1" applyBorder="1" applyAlignment="1">
      <alignment horizontal="center"/>
    </xf>
    <xf numFmtId="0" fontId="2" fillId="0" borderId="2" xfId="0" applyFont="1" applyBorder="1" applyAlignment="1">
      <alignment horizontal="center" vertical="center"/>
    </xf>
    <xf numFmtId="0" fontId="2" fillId="0" borderId="5" xfId="0" applyFont="1" applyBorder="1" applyAlignment="1">
      <alignment horizontal="center" vertical="center"/>
    </xf>
    <xf numFmtId="0" fontId="2" fillId="0" borderId="6" xfId="0" applyFont="1" applyBorder="1" applyAlignment="1">
      <alignment horizontal="center" vertical="center"/>
    </xf>
    <xf numFmtId="0" fontId="1" fillId="0" borderId="0" xfId="0" applyFont="1" applyAlignment="1">
      <alignment horizontal="left" indent="1"/>
    </xf>
    <xf numFmtId="7" fontId="3" fillId="0" borderId="0" xfId="0" applyNumberFormat="1" applyFont="1" applyAlignment="1">
      <alignment horizontal="center" vertical="center"/>
    </xf>
    <xf numFmtId="7" fontId="3" fillId="0" borderId="7" xfId="0" applyNumberFormat="1" applyFont="1" applyBorder="1" applyAlignment="1">
      <alignment horizontal="center" vertical="center"/>
    </xf>
    <xf numFmtId="7" fontId="1" fillId="0" borderId="0" xfId="0" applyNumberFormat="1" applyFont="1" applyAlignment="1">
      <alignment horizontal="center" vertical="center"/>
    </xf>
    <xf numFmtId="7" fontId="3" fillId="0" borderId="2" xfId="0" applyNumberFormat="1" applyFont="1" applyBorder="1" applyAlignment="1">
      <alignment horizontal="center" vertical="center"/>
    </xf>
    <xf numFmtId="7" fontId="3" fillId="0" borderId="8" xfId="0" applyNumberFormat="1" applyFont="1" applyBorder="1" applyAlignment="1">
      <alignment horizontal="center" vertical="center"/>
    </xf>
    <xf numFmtId="7" fontId="1" fillId="0" borderId="2" xfId="0" applyNumberFormat="1" applyFont="1" applyBorder="1" applyAlignment="1">
      <alignment horizontal="center" vertical="center"/>
    </xf>
    <xf numFmtId="0" fontId="2" fillId="0" borderId="0" xfId="0" applyFont="1" applyAlignment="1"/>
    <xf numFmtId="7" fontId="2" fillId="0" borderId="0" xfId="0" applyNumberFormat="1" applyFont="1" applyAlignment="1">
      <alignment horizontal="center" vertical="center"/>
    </xf>
    <xf numFmtId="7" fontId="2" fillId="0" borderId="7" xfId="0" applyNumberFormat="1" applyFont="1" applyBorder="1" applyAlignment="1">
      <alignment horizontal="center" vertical="center"/>
    </xf>
    <xf numFmtId="7" fontId="3" fillId="0" borderId="4" xfId="0" applyNumberFormat="1" applyFont="1" applyBorder="1" applyAlignment="1">
      <alignment horizontal="center" vertical="center"/>
    </xf>
    <xf numFmtId="7" fontId="3" fillId="0" borderId="9" xfId="0" applyNumberFormat="1" applyFont="1" applyBorder="1" applyAlignment="1">
      <alignment horizontal="center" vertical="center"/>
    </xf>
    <xf numFmtId="7" fontId="1" fillId="0" borderId="4" xfId="0" applyNumberFormat="1" applyFont="1" applyBorder="1" applyAlignment="1">
      <alignment horizontal="center" vertical="center"/>
    </xf>
    <xf numFmtId="7" fontId="1" fillId="0" borderId="10" xfId="0" applyNumberFormat="1" applyFont="1" applyBorder="1" applyAlignment="1">
      <alignment horizontal="center" vertical="center"/>
    </xf>
    <xf numFmtId="39" fontId="1" fillId="0" borderId="0" xfId="0" applyNumberFormat="1" applyFont="1" applyAlignment="1">
      <alignment horizontal="center" vertical="center"/>
    </xf>
    <xf numFmtId="39" fontId="4" fillId="0" borderId="0" xfId="0" applyNumberFormat="1" applyFont="1" applyAlignment="1">
      <alignment horizontal="center" vertical="center"/>
    </xf>
    <xf numFmtId="39" fontId="4" fillId="0" borderId="2" xfId="0" applyNumberFormat="1" applyFont="1" applyBorder="1" applyAlignment="1">
      <alignment horizontal="center" vertical="center"/>
    </xf>
    <xf numFmtId="0" fontId="1" fillId="0" borderId="0" xfId="0" applyFont="1" applyAlignment="1">
      <alignment horizontal="left"/>
    </xf>
    <xf numFmtId="7" fontId="1" fillId="0" borderId="8" xfId="0" applyNumberFormat="1" applyFont="1" applyBorder="1" applyAlignment="1">
      <alignment horizontal="center" vertical="center"/>
    </xf>
    <xf numFmtId="0" fontId="3" fillId="0" borderId="10" xfId="0" applyFont="1" applyBorder="1" applyAlignment="1">
      <alignment horizontal="center" vertical="center"/>
    </xf>
    <xf numFmtId="0" fontId="3" fillId="0" borderId="2" xfId="0" applyFont="1" applyBorder="1" applyAlignment="1">
      <alignment horizontal="center" vertical="center"/>
    </xf>
    <xf numFmtId="7" fontId="2" fillId="0" borderId="0" xfId="0" applyNumberFormat="1" applyFont="1" applyBorder="1" applyAlignment="1">
      <alignment horizontal="center" vertical="center"/>
    </xf>
    <xf numFmtId="7" fontId="1" fillId="0" borderId="11" xfId="0" applyNumberFormat="1" applyFont="1" applyBorder="1" applyAlignment="1">
      <alignment horizontal="center" vertical="center"/>
    </xf>
    <xf numFmtId="0" fontId="2" fillId="2" borderId="0" xfId="0" applyFont="1" applyFill="1" applyAlignment="1">
      <alignment horizontal="left"/>
    </xf>
    <xf numFmtId="7" fontId="2" fillId="0" borderId="12" xfId="0" applyNumberFormat="1" applyFont="1" applyBorder="1" applyAlignment="1">
      <alignment horizontal="center" vertical="center"/>
    </xf>
    <xf numFmtId="0" fontId="1" fillId="2" borderId="0" xfId="0" applyFont="1" applyFill="1" applyAlignment="1">
      <alignment horizontal="left" indent="1"/>
    </xf>
    <xf numFmtId="7" fontId="2" fillId="0" borderId="13" xfId="0" applyNumberFormat="1" applyFont="1" applyBorder="1" applyAlignment="1">
      <alignment horizontal="center" vertical="center"/>
    </xf>
    <xf numFmtId="3" fontId="1" fillId="0" borderId="0" xfId="0" applyNumberFormat="1" applyFont="1" applyAlignment="1">
      <alignment horizontal="center" vertical="center"/>
    </xf>
    <xf numFmtId="3" fontId="1" fillId="0" borderId="7" xfId="0" applyNumberFormat="1" applyFont="1" applyBorder="1" applyAlignment="1">
      <alignment horizontal="center" vertical="center"/>
    </xf>
    <xf numFmtId="7" fontId="1" fillId="0" borderId="7" xfId="0" applyNumberFormat="1" applyFont="1" applyBorder="1" applyAlignment="1">
      <alignment horizontal="center" vertical="center"/>
    </xf>
    <xf numFmtId="0" fontId="5" fillId="0" borderId="0" xfId="0" applyFont="1" applyAlignment="1"/>
    <xf numFmtId="0" fontId="1" fillId="0" borderId="7" xfId="0" applyFont="1" applyBorder="1" applyAlignment="1">
      <alignment horizontal="center" vertical="center"/>
    </xf>
    <xf numFmtId="7" fontId="5" fillId="0" borderId="0" xfId="0" applyNumberFormat="1" applyFont="1" applyAlignment="1">
      <alignment horizontal="center" vertical="center"/>
    </xf>
    <xf numFmtId="3" fontId="3" fillId="0" borderId="0" xfId="0" applyNumberFormat="1" applyFont="1" applyAlignment="1">
      <alignment horizontal="center" vertical="center"/>
    </xf>
    <xf numFmtId="3" fontId="3" fillId="0" borderId="7" xfId="0" applyNumberFormat="1" applyFont="1" applyBorder="1" applyAlignment="1">
      <alignment horizontal="center" vertical="center"/>
    </xf>
    <xf numFmtId="3" fontId="4" fillId="0" borderId="0" xfId="0" applyNumberFormat="1" applyFont="1" applyFill="1" applyAlignment="1">
      <alignment horizontal="center" vertical="center"/>
    </xf>
    <xf numFmtId="0" fontId="1" fillId="2" borderId="0" xfId="0" applyFont="1" applyFill="1" applyAlignment="1"/>
    <xf numFmtId="3" fontId="3" fillId="0" borderId="0" xfId="0" applyNumberFormat="1" applyFont="1" applyFill="1" applyAlignment="1">
      <alignment horizontal="center" vertical="center"/>
    </xf>
    <xf numFmtId="3" fontId="3" fillId="0" borderId="7" xfId="0" applyNumberFormat="1" applyFont="1" applyFill="1" applyBorder="1" applyAlignment="1">
      <alignment horizontal="center" vertical="center"/>
    </xf>
    <xf numFmtId="3" fontId="4" fillId="0" borderId="0" xfId="0" applyNumberFormat="1" applyFont="1" applyAlignment="1">
      <alignment horizontal="center" vertical="center"/>
    </xf>
    <xf numFmtId="3" fontId="4" fillId="3" borderId="0" xfId="0" applyNumberFormat="1" applyFont="1" applyFill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3" fillId="0" borderId="7" xfId="0" applyFont="1" applyBorder="1" applyAlignment="1">
      <alignment horizontal="center" vertical="center"/>
    </xf>
    <xf numFmtId="0" fontId="1" fillId="0" borderId="0" xfId="0" applyNumberFormat="1" applyFont="1" applyAlignment="1">
      <alignment horizontal="center" vertical="center"/>
    </xf>
    <xf numFmtId="10" fontId="1" fillId="0" borderId="0" xfId="0" applyNumberFormat="1" applyFont="1" applyAlignment="1">
      <alignment horizontal="center" vertical="center"/>
    </xf>
    <xf numFmtId="10" fontId="1" fillId="0" borderId="7" xfId="0" applyNumberFormat="1" applyFont="1" applyBorder="1" applyAlignment="1">
      <alignment horizontal="center" vertical="center"/>
    </xf>
    <xf numFmtId="10" fontId="3" fillId="0" borderId="0" xfId="0" applyNumberFormat="1" applyFont="1" applyAlignment="1">
      <alignment horizontal="center" vertical="center"/>
    </xf>
    <xf numFmtId="10" fontId="4" fillId="0" borderId="0" xfId="0" applyNumberFormat="1" applyFont="1" applyAlignment="1">
      <alignment horizontal="center" vertical="center"/>
    </xf>
    <xf numFmtId="0" fontId="1" fillId="0" borderId="0" xfId="0" applyFont="1" applyFill="1"/>
    <xf numFmtId="7" fontId="4" fillId="0" borderId="0" xfId="0" applyNumberFormat="1" applyFont="1" applyAlignment="1">
      <alignment horizontal="center" vertical="center"/>
    </xf>
    <xf numFmtId="7" fontId="4" fillId="0" borderId="7" xfId="0" applyNumberFormat="1" applyFont="1" applyBorder="1" applyAlignment="1">
      <alignment horizontal="center" vertical="center"/>
    </xf>
    <xf numFmtId="7" fontId="4" fillId="0" borderId="2" xfId="0" applyNumberFormat="1" applyFont="1" applyBorder="1" applyAlignment="1">
      <alignment horizontal="center" vertical="center"/>
    </xf>
    <xf numFmtId="7" fontId="4" fillId="0" borderId="8" xfId="0" applyNumberFormat="1" applyFont="1" applyBorder="1" applyAlignment="1">
      <alignment horizontal="center" vertical="center"/>
    </xf>
    <xf numFmtId="0" fontId="6" fillId="0" borderId="0" xfId="0" applyFont="1"/>
    <xf numFmtId="10" fontId="1" fillId="0" borderId="0" xfId="0" applyNumberFormat="1" applyFont="1" applyAlignment="1">
      <alignment horizontal="center"/>
    </xf>
    <xf numFmtId="10" fontId="1" fillId="0" borderId="7" xfId="0" applyNumberFormat="1" applyFont="1" applyBorder="1" applyAlignment="1">
      <alignment horizontal="center"/>
    </xf>
    <xf numFmtId="0" fontId="5" fillId="0" borderId="0" xfId="0" applyFont="1" applyAlignment="1">
      <alignment horizontal="left" indent="1"/>
    </xf>
    <xf numFmtId="10" fontId="5" fillId="0" borderId="0" xfId="0" applyNumberFormat="1" applyFont="1" applyAlignment="1">
      <alignment horizontal="center"/>
    </xf>
    <xf numFmtId="10" fontId="5" fillId="0" borderId="7" xfId="0" applyNumberFormat="1" applyFont="1" applyBorder="1" applyAlignment="1">
      <alignment horizontal="center"/>
    </xf>
    <xf numFmtId="10" fontId="5" fillId="0" borderId="0" xfId="0" applyNumberFormat="1" applyFont="1" applyAlignment="1">
      <alignment horizontal="center" vertical="center"/>
    </xf>
    <xf numFmtId="10" fontId="1" fillId="0" borderId="0" xfId="0" applyNumberFormat="1" applyFont="1" applyFill="1" applyAlignment="1">
      <alignment horizontal="center" vertical="center"/>
    </xf>
    <xf numFmtId="10" fontId="5" fillId="0" borderId="7" xfId="0" applyNumberFormat="1" applyFont="1" applyBorder="1" applyAlignment="1">
      <alignment horizontal="center" vertical="center"/>
    </xf>
    <xf numFmtId="0" fontId="1" fillId="2" borderId="2" xfId="0" applyFont="1" applyFill="1" applyBorder="1"/>
    <xf numFmtId="10" fontId="1" fillId="0" borderId="2" xfId="0" applyNumberFormat="1" applyFont="1" applyBorder="1" applyAlignment="1">
      <alignment horizontal="center" vertical="center"/>
    </xf>
    <xf numFmtId="10" fontId="1" fillId="0" borderId="8" xfId="0" applyNumberFormat="1" applyFont="1" applyBorder="1" applyAlignment="1">
      <alignment horizontal="center" vertical="center"/>
    </xf>
    <xf numFmtId="10" fontId="3" fillId="0" borderId="2" xfId="0" applyNumberFormat="1" applyFont="1" applyBorder="1" applyAlignment="1">
      <alignment horizontal="center" vertical="center"/>
    </xf>
    <xf numFmtId="10" fontId="4" fillId="0" borderId="2" xfId="0" applyNumberFormat="1" applyFont="1" applyBorder="1" applyAlignment="1">
      <alignment horizontal="center" vertical="center"/>
    </xf>
    <xf numFmtId="0" fontId="1" fillId="0" borderId="7" xfId="0" applyFont="1" applyBorder="1"/>
    <xf numFmtId="0" fontId="1" fillId="0" borderId="0" xfId="0" applyFont="1" applyBorder="1" applyAlignment="1">
      <alignment horizontal="center" vertical="center"/>
    </xf>
    <xf numFmtId="10" fontId="1" fillId="0" borderId="0" xfId="0" applyNumberFormat="1" applyFont="1"/>
    <xf numFmtId="10" fontId="1" fillId="0" borderId="7" xfId="0" applyNumberFormat="1" applyFont="1" applyBorder="1"/>
    <xf numFmtId="0" fontId="1" fillId="0" borderId="4" xfId="0" applyFont="1" applyBorder="1"/>
    <xf numFmtId="0" fontId="1" fillId="0" borderId="9" xfId="0" applyFont="1" applyBorder="1"/>
    <xf numFmtId="0" fontId="1" fillId="0" borderId="4" xfId="0" applyFont="1" applyBorder="1" applyAlignment="1">
      <alignment horizontal="center" vertical="center"/>
    </xf>
    <xf numFmtId="0" fontId="2" fillId="0" borderId="4" xfId="0" applyFont="1" applyBorder="1" applyAlignment="1">
      <alignment horizontal="center" vertical="center"/>
    </xf>
    <xf numFmtId="0" fontId="2" fillId="0" borderId="0" xfId="0" applyFont="1" applyBorder="1" applyAlignment="1">
      <alignment horizontal="center" vertical="center"/>
    </xf>
    <xf numFmtId="0" fontId="2" fillId="0" borderId="7" xfId="0" applyFont="1" applyBorder="1" applyAlignment="1">
      <alignment horizontal="center" vertical="center"/>
    </xf>
    <xf numFmtId="5" fontId="3" fillId="0" borderId="0" xfId="0" applyNumberFormat="1" applyFont="1" applyAlignment="1">
      <alignment horizontal="center" vertical="center"/>
    </xf>
    <xf numFmtId="5" fontId="3" fillId="0" borderId="7" xfId="0" applyNumberFormat="1" applyFont="1" applyBorder="1" applyAlignment="1">
      <alignment horizontal="center" vertical="center"/>
    </xf>
    <xf numFmtId="5" fontId="1" fillId="0" borderId="0" xfId="0" applyNumberFormat="1" applyFont="1" applyFill="1" applyAlignment="1">
      <alignment horizontal="center" vertical="center"/>
    </xf>
    <xf numFmtId="0" fontId="0" fillId="0" borderId="0" xfId="0" applyFont="1"/>
    <xf numFmtId="0" fontId="7" fillId="0" borderId="0" xfId="0" applyFont="1"/>
    <xf numFmtId="0" fontId="8" fillId="0" borderId="0" xfId="0" applyFont="1"/>
    <xf numFmtId="0" fontId="9" fillId="0" borderId="0" xfId="0" applyFont="1"/>
    <xf numFmtId="0" fontId="1" fillId="0" borderId="2" xfId="0" applyFont="1" applyBorder="1" applyAlignment="1">
      <alignment horizontal="left" indent="1"/>
    </xf>
    <xf numFmtId="5" fontId="3" fillId="0" borderId="2" xfId="0" applyNumberFormat="1" applyFont="1" applyBorder="1" applyAlignment="1">
      <alignment horizontal="center" vertical="center"/>
    </xf>
    <xf numFmtId="5" fontId="3" fillId="0" borderId="8" xfId="0" applyNumberFormat="1" applyFont="1" applyBorder="1" applyAlignment="1">
      <alignment horizontal="center" vertical="center"/>
    </xf>
    <xf numFmtId="5" fontId="2" fillId="0" borderId="0" xfId="0" applyNumberFormat="1" applyFont="1" applyAlignment="1">
      <alignment horizontal="center" vertical="center"/>
    </xf>
    <xf numFmtId="5" fontId="2" fillId="0" borderId="7" xfId="0" applyNumberFormat="1" applyFont="1" applyBorder="1" applyAlignment="1">
      <alignment horizontal="center" vertical="center"/>
    </xf>
    <xf numFmtId="5" fontId="2" fillId="0" borderId="0" xfId="0" applyNumberFormat="1" applyFont="1" applyFill="1" applyAlignment="1">
      <alignment horizontal="center" vertical="center"/>
    </xf>
    <xf numFmtId="5" fontId="4" fillId="0" borderId="0" xfId="0" applyNumberFormat="1" applyFont="1" applyAlignment="1">
      <alignment horizontal="center" vertical="center"/>
    </xf>
    <xf numFmtId="0" fontId="1" fillId="0" borderId="4" xfId="0" applyFont="1" applyBorder="1" applyAlignment="1">
      <alignment horizontal="left" indent="1"/>
    </xf>
    <xf numFmtId="5" fontId="3" fillId="0" borderId="4" xfId="0" applyNumberFormat="1" applyFont="1" applyBorder="1" applyAlignment="1">
      <alignment horizontal="center" vertical="center"/>
    </xf>
    <xf numFmtId="5" fontId="3" fillId="0" borderId="9" xfId="0" applyNumberFormat="1" applyFont="1" applyBorder="1" applyAlignment="1">
      <alignment horizontal="center" vertical="center"/>
    </xf>
    <xf numFmtId="5" fontId="4" fillId="0" borderId="4" xfId="0" applyNumberFormat="1" applyFont="1" applyBorder="1" applyAlignment="1">
      <alignment horizontal="center" vertical="center"/>
    </xf>
    <xf numFmtId="0" fontId="1" fillId="0" borderId="0" xfId="0" applyFont="1" applyFill="1" applyAlignment="1">
      <alignment horizontal="center" vertical="center"/>
    </xf>
    <xf numFmtId="5" fontId="1" fillId="0" borderId="0" xfId="0" applyNumberFormat="1" applyFont="1" applyAlignment="1">
      <alignment horizontal="center" vertical="center"/>
    </xf>
    <xf numFmtId="5" fontId="1" fillId="0" borderId="7" xfId="0" applyNumberFormat="1" applyFont="1" applyBorder="1" applyAlignment="1">
      <alignment horizontal="center" vertical="center"/>
    </xf>
    <xf numFmtId="0" fontId="1" fillId="2" borderId="0" xfId="0" applyFont="1" applyFill="1"/>
    <xf numFmtId="7" fontId="1" fillId="0" borderId="0" xfId="0" applyNumberFormat="1" applyFont="1" applyFill="1" applyAlignment="1">
      <alignment horizontal="center" vertical="center"/>
    </xf>
    <xf numFmtId="7" fontId="1" fillId="0" borderId="2" xfId="0" applyNumberFormat="1" applyFont="1" applyFill="1" applyBorder="1" applyAlignment="1">
      <alignment horizontal="center" vertical="center"/>
    </xf>
    <xf numFmtId="5" fontId="1" fillId="0" borderId="2" xfId="0" applyNumberFormat="1" applyFont="1" applyFill="1" applyBorder="1" applyAlignment="1">
      <alignment horizontal="center" vertical="center"/>
    </xf>
    <xf numFmtId="5" fontId="4" fillId="0" borderId="10" xfId="0" applyNumberFormat="1" applyFont="1" applyBorder="1" applyAlignment="1">
      <alignment horizontal="center" vertical="center"/>
    </xf>
    <xf numFmtId="5" fontId="4" fillId="0" borderId="2" xfId="0" applyNumberFormat="1" applyFont="1" applyBorder="1" applyAlignment="1">
      <alignment horizontal="center" vertical="center"/>
    </xf>
    <xf numFmtId="0" fontId="2" fillId="0" borderId="14" xfId="0" applyFont="1" applyBorder="1"/>
    <xf numFmtId="0" fontId="1" fillId="0" borderId="14" xfId="0" applyFont="1" applyBorder="1" applyAlignment="1">
      <alignment horizontal="center" vertical="center"/>
    </xf>
    <xf numFmtId="5" fontId="2" fillId="0" borderId="14" xfId="0" applyNumberFormat="1" applyFont="1" applyBorder="1" applyAlignment="1">
      <alignment horizontal="center" vertical="center"/>
    </xf>
    <xf numFmtId="5" fontId="2" fillId="0" borderId="15" xfId="0" applyNumberFormat="1" applyFont="1" applyBorder="1" applyAlignment="1">
      <alignment horizontal="center" vertical="center"/>
    </xf>
    <xf numFmtId="5" fontId="2" fillId="0" borderId="13" xfId="0" applyNumberFormat="1" applyFont="1" applyBorder="1" applyAlignment="1">
      <alignment horizontal="center" vertical="center"/>
    </xf>
    <xf numFmtId="0" fontId="2" fillId="0" borderId="2" xfId="0" applyFont="1" applyBorder="1"/>
    <xf numFmtId="164" fontId="1" fillId="0" borderId="0" xfId="0" applyNumberFormat="1" applyFont="1" applyAlignment="1">
      <alignment horizontal="center" vertical="center"/>
    </xf>
    <xf numFmtId="164" fontId="1" fillId="0" borderId="7" xfId="0" applyNumberFormat="1" applyFont="1" applyBorder="1" applyAlignment="1">
      <alignment horizontal="center" vertical="center"/>
    </xf>
    <xf numFmtId="164" fontId="4" fillId="0" borderId="0" xfId="0" applyNumberFormat="1" applyFont="1" applyAlignment="1">
      <alignment horizontal="center" vertical="center"/>
    </xf>
    <xf numFmtId="165" fontId="1" fillId="0" borderId="4" xfId="0" applyNumberFormat="1" applyFont="1" applyBorder="1" applyAlignment="1">
      <alignment horizontal="center" vertical="center"/>
    </xf>
    <xf numFmtId="165" fontId="1" fillId="0" borderId="9" xfId="0" applyNumberFormat="1" applyFont="1" applyBorder="1" applyAlignment="1">
      <alignment horizontal="center" vertical="center"/>
    </xf>
    <xf numFmtId="165" fontId="4" fillId="0" borderId="11" xfId="0" applyNumberFormat="1" applyFont="1" applyBorder="1" applyAlignment="1">
      <alignment horizontal="center" vertical="center"/>
    </xf>
    <xf numFmtId="165" fontId="4" fillId="0" borderId="4" xfId="0" applyNumberFormat="1" applyFont="1" applyBorder="1" applyAlignment="1">
      <alignment horizontal="center" vertical="center"/>
    </xf>
    <xf numFmtId="0" fontId="1" fillId="0" borderId="13" xfId="0" applyFont="1" applyBorder="1" applyAlignment="1">
      <alignment horizontal="center" vertical="center"/>
    </xf>
    <xf numFmtId="0" fontId="2" fillId="3" borderId="0" xfId="0" applyFont="1" applyFill="1"/>
    <xf numFmtId="0" fontId="1" fillId="3" borderId="0" xfId="0" applyFont="1" applyFill="1" applyAlignment="1">
      <alignment horizontal="center" vertical="center"/>
    </xf>
    <xf numFmtId="0" fontId="1" fillId="3" borderId="7" xfId="0" applyFont="1" applyFill="1" applyBorder="1" applyAlignment="1">
      <alignment horizontal="center" vertical="center"/>
    </xf>
    <xf numFmtId="7" fontId="1" fillId="3" borderId="0" xfId="0" applyNumberFormat="1" applyFont="1" applyFill="1" applyAlignment="1">
      <alignment horizontal="center" vertical="center"/>
    </xf>
    <xf numFmtId="0" fontId="1" fillId="0" borderId="8" xfId="0" applyFont="1" applyBorder="1" applyAlignment="1">
      <alignment horizontal="center" vertical="center"/>
    </xf>
    <xf numFmtId="37" fontId="1" fillId="0" borderId="0" xfId="0" applyNumberFormat="1" applyFont="1" applyAlignment="1">
      <alignment horizontal="center" vertical="center"/>
    </xf>
    <xf numFmtId="37" fontId="1" fillId="0" borderId="13" xfId="0" applyNumberFormat="1" applyFont="1" applyBorder="1" applyAlignment="1">
      <alignment horizontal="center" vertical="center"/>
    </xf>
    <xf numFmtId="37" fontId="1" fillId="0" borderId="7" xfId="0" applyNumberFormat="1" applyFont="1" applyBorder="1" applyAlignment="1">
      <alignment horizontal="center" vertical="center"/>
    </xf>
    <xf numFmtId="37" fontId="4" fillId="0" borderId="0" xfId="0" applyNumberFormat="1" applyFont="1" applyAlignment="1">
      <alignment horizontal="center" vertical="center"/>
    </xf>
    <xf numFmtId="37" fontId="3" fillId="0" borderId="0" xfId="0" applyNumberFormat="1" applyFont="1" applyAlignment="1">
      <alignment horizontal="center" vertical="center"/>
    </xf>
    <xf numFmtId="37" fontId="1" fillId="0" borderId="2" xfId="0" applyNumberFormat="1" applyFont="1" applyBorder="1" applyAlignment="1">
      <alignment horizontal="center" vertical="center"/>
    </xf>
    <xf numFmtId="37" fontId="1" fillId="0" borderId="8" xfId="0" applyNumberFormat="1" applyFont="1" applyBorder="1" applyAlignment="1">
      <alignment horizontal="center" vertical="center"/>
    </xf>
    <xf numFmtId="37" fontId="3" fillId="0" borderId="7" xfId="0" applyNumberFormat="1" applyFont="1" applyBorder="1" applyAlignment="1">
      <alignment horizontal="center" vertical="center"/>
    </xf>
    <xf numFmtId="37" fontId="3" fillId="0" borderId="2" xfId="0" applyNumberFormat="1" applyFont="1" applyBorder="1" applyAlignment="1">
      <alignment horizontal="center" vertical="center"/>
    </xf>
    <xf numFmtId="7" fontId="2" fillId="3" borderId="0" xfId="0" applyNumberFormat="1" applyFont="1" applyFill="1" applyAlignment="1">
      <alignment horizontal="center" vertical="center"/>
    </xf>
    <xf numFmtId="5" fontId="4" fillId="0" borderId="7" xfId="0" applyNumberFormat="1" applyFont="1" applyBorder="1" applyAlignment="1">
      <alignment horizontal="center" vertical="center"/>
    </xf>
    <xf numFmtId="7" fontId="1" fillId="0" borderId="0" xfId="0" applyNumberFormat="1" applyFont="1"/>
    <xf numFmtId="7" fontId="10" fillId="0" borderId="0" xfId="0" applyNumberFormat="1" applyFont="1" applyAlignment="1">
      <alignment horizontal="center" vertical="center"/>
    </xf>
    <xf numFmtId="5" fontId="11" fillId="0" borderId="16" xfId="0" applyNumberFormat="1" applyFont="1" applyBorder="1" applyAlignment="1">
      <alignment horizontal="center" vertical="center"/>
    </xf>
    <xf numFmtId="5" fontId="11" fillId="0" borderId="7" xfId="0" applyNumberFormat="1" applyFont="1" applyBorder="1" applyAlignment="1">
      <alignment horizontal="center" vertical="center"/>
    </xf>
    <xf numFmtId="5" fontId="4" fillId="3" borderId="0" xfId="0" applyNumberFormat="1" applyFont="1" applyFill="1" applyBorder="1" applyAlignment="1">
      <alignment horizontal="center" vertical="center"/>
    </xf>
    <xf numFmtId="5" fontId="4" fillId="3" borderId="16" xfId="0" applyNumberFormat="1" applyFont="1" applyFill="1" applyBorder="1" applyAlignment="1">
      <alignment horizontal="center" vertical="center"/>
    </xf>
    <xf numFmtId="5" fontId="4" fillId="3" borderId="7" xfId="0" applyNumberFormat="1" applyFont="1" applyFill="1" applyBorder="1" applyAlignment="1">
      <alignment horizontal="center" vertical="center"/>
    </xf>
    <xf numFmtId="0" fontId="2" fillId="0" borderId="4" xfId="0" applyFont="1" applyBorder="1"/>
    <xf numFmtId="5" fontId="2" fillId="0" borderId="4" xfId="0" applyNumberFormat="1" applyFont="1" applyFill="1" applyBorder="1" applyAlignment="1">
      <alignment horizontal="center" vertical="center"/>
    </xf>
    <xf numFmtId="5" fontId="2" fillId="0" borderId="9" xfId="0" applyNumberFormat="1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Relationship Id="rId6" Type="http://schemas.openxmlformats.org/officeDocument/2006/relationships/calcChain" Target="calcChain.xml"/><Relationship Id="rId1" Type="http://schemas.openxmlformats.org/officeDocument/2006/relationships/worksheet" Target="worksheets/sheet1.xml"/><Relationship Id="rId2" Type="http://schemas.openxmlformats.org/officeDocument/2006/relationships/externalLink" Target="externalLinks/externalLink1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Users/jalenwang/Google%20Drive/School/Romero%20Mentoring/Internship%20Project/Walmart/Walmart%20Financial%20Model%20Final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Walmart Model"/>
      <sheetName val="Operating Model"/>
      <sheetName val="Scenario"/>
      <sheetName val="Wall Street Estimates"/>
      <sheetName val="Depreciation Schedule"/>
      <sheetName val="Valuation --&gt;"/>
      <sheetName val="Comp Output"/>
      <sheetName val="Comp Valuation"/>
      <sheetName val="WMT"/>
      <sheetName val="TGT"/>
      <sheetName val="COST"/>
      <sheetName val="DCF"/>
      <sheetName val="Football Field"/>
    </sheetNames>
    <sheetDataSet>
      <sheetData sheetId="0"/>
      <sheetData sheetId="1"/>
      <sheetData sheetId="2">
        <row r="11">
          <cell r="F11">
            <v>2.6767637400743061E-2</v>
          </cell>
          <cell r="G11">
            <v>3.0015416478502477E-2</v>
          </cell>
          <cell r="H11">
            <v>2.0906878122897599E-2</v>
          </cell>
          <cell r="I11">
            <v>3.4865489736569888E-2</v>
          </cell>
          <cell r="J11">
            <v>2.865555026884703E-2</v>
          </cell>
          <cell r="K11">
            <v>2.7E-2</v>
          </cell>
        </row>
        <row r="12">
          <cell r="F12">
            <v>0.752</v>
          </cell>
          <cell r="G12">
            <v>0.752</v>
          </cell>
          <cell r="H12">
            <v>0.751</v>
          </cell>
          <cell r="I12">
            <v>0.75600000000000001</v>
          </cell>
          <cell r="J12">
            <v>0.75600000000000001</v>
          </cell>
          <cell r="K12">
            <v>0.75600000000000001</v>
          </cell>
        </row>
        <row r="13">
          <cell r="F13">
            <v>0.2072</v>
          </cell>
          <cell r="G13">
            <v>0.20599999999999999</v>
          </cell>
          <cell r="H13">
            <v>0.20499999999999999</v>
          </cell>
          <cell r="I13">
            <v>0.19900000000000001</v>
          </cell>
          <cell r="J13">
            <v>0.19950000000000001</v>
          </cell>
          <cell r="K13">
            <v>0.2</v>
          </cell>
        </row>
        <row r="14">
          <cell r="F14">
            <v>0.27500000000000002</v>
          </cell>
          <cell r="G14">
            <v>0.26500000000000001</v>
          </cell>
          <cell r="H14">
            <v>0.27500000000000002</v>
          </cell>
          <cell r="I14">
            <v>0.27500000000000002</v>
          </cell>
          <cell r="J14">
            <v>0.23300000000000001</v>
          </cell>
          <cell r="K14">
            <v>0.28000000000000003</v>
          </cell>
        </row>
        <row r="15">
          <cell r="F15">
            <v>2.1073080336982419E-2</v>
          </cell>
          <cell r="G15">
            <v>2.0763253180536553E-2</v>
          </cell>
          <cell r="H15">
            <v>2.0399134425112778E-2</v>
          </cell>
          <cell r="I15">
            <v>1.9590236363571319E-2</v>
          </cell>
          <cell r="J15">
            <v>1.8980166030806472E-2</v>
          </cell>
          <cell r="K15">
            <v>0.02</v>
          </cell>
        </row>
      </sheetData>
      <sheetData sheetId="3">
        <row r="17">
          <cell r="D17">
            <v>4.2695080741859633E-2</v>
          </cell>
          <cell r="E17">
            <v>4.2240851469131979E-2</v>
          </cell>
          <cell r="F17">
            <v>4.3661922294476872E-2</v>
          </cell>
          <cell r="G17">
            <v>4.5813105710718463E-2</v>
          </cell>
          <cell r="H17">
            <v>4.5637604899543362E-2</v>
          </cell>
        </row>
        <row r="18">
          <cell r="D18">
            <v>6.3651369575034644E-2</v>
          </cell>
          <cell r="E18">
            <v>6.3189305233239346E-2</v>
          </cell>
          <cell r="F18">
            <v>6.3624196853498308E-2</v>
          </cell>
        </row>
        <row r="24">
          <cell r="D24">
            <v>0.248</v>
          </cell>
          <cell r="E24">
            <v>0.248</v>
          </cell>
          <cell r="F24">
            <v>0.249</v>
          </cell>
          <cell r="G24">
            <v>0.24399999999999999</v>
          </cell>
          <cell r="H24">
            <v>0.24399999999999999</v>
          </cell>
        </row>
        <row r="34">
          <cell r="D34">
            <v>4.6399999999999997</v>
          </cell>
          <cell r="E34">
            <v>5.07</v>
          </cell>
          <cell r="F34">
            <v>5.54</v>
          </cell>
          <cell r="G34">
            <v>6.04</v>
          </cell>
          <cell r="H34">
            <v>6.61</v>
          </cell>
        </row>
      </sheetData>
      <sheetData sheetId="4">
        <row r="9">
          <cell r="F9">
            <v>10726.858547036732</v>
          </cell>
          <cell r="G9">
            <v>10886.384154470035</v>
          </cell>
          <cell r="H9">
            <v>10919.081949782449</v>
          </cell>
          <cell r="I9">
            <v>10851.704674593229</v>
          </cell>
          <cell r="J9">
            <v>10815.043510152036</v>
          </cell>
          <cell r="K9">
            <v>11703.848814492378</v>
          </cell>
        </row>
        <row r="20">
          <cell r="F20">
            <v>10045.60252137034</v>
          </cell>
          <cell r="G20">
            <v>10774.020225125563</v>
          </cell>
          <cell r="H20">
            <v>11296.654141758752</v>
          </cell>
          <cell r="I20">
            <v>11684.418499534318</v>
          </cell>
          <cell r="J20">
            <v>11983.976268668581</v>
          </cell>
          <cell r="K20">
            <v>12268.062749193008</v>
          </cell>
        </row>
      </sheetData>
      <sheetData sheetId="5"/>
      <sheetData sheetId="6"/>
      <sheetData sheetId="7"/>
      <sheetData sheetId="8"/>
      <sheetData sheetId="9"/>
      <sheetData sheetId="10"/>
      <sheetData sheetId="11"/>
      <sheetData sheetId="12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5:V244"/>
  <sheetViews>
    <sheetView showGridLines="0" tabSelected="1" workbookViewId="0">
      <selection activeCell="F19" sqref="F19"/>
    </sheetView>
  </sheetViews>
  <sheetFormatPr baseColWidth="10" defaultRowHeight="15" x14ac:dyDescent="0.2"/>
  <cols>
    <col min="1" max="3" width="10.83203125" style="1"/>
    <col min="4" max="4" width="55.5" style="1" customWidth="1"/>
    <col min="5" max="7" width="11.33203125" style="2" bestFit="1" customWidth="1"/>
    <col min="8" max="13" width="11.5" style="1" bestFit="1" customWidth="1"/>
    <col min="14" max="16384" width="10.83203125" style="1"/>
  </cols>
  <sheetData>
    <row r="5" spans="4:16" x14ac:dyDescent="0.2">
      <c r="E5" s="2" t="s">
        <v>0</v>
      </c>
    </row>
    <row r="6" spans="4:16" x14ac:dyDescent="0.2">
      <c r="E6" s="3">
        <v>1</v>
      </c>
    </row>
    <row r="7" spans="4:16" x14ac:dyDescent="0.2">
      <c r="E7" s="2" t="s">
        <v>1</v>
      </c>
    </row>
    <row r="8" spans="4:16" x14ac:dyDescent="0.2">
      <c r="D8" s="4" t="s">
        <v>2</v>
      </c>
    </row>
    <row r="9" spans="4:16" x14ac:dyDescent="0.2">
      <c r="D9" s="5" t="s">
        <v>3</v>
      </c>
      <c r="E9" s="6"/>
      <c r="F9" s="6"/>
      <c r="G9" s="6"/>
      <c r="H9" s="7"/>
      <c r="I9" s="5"/>
      <c r="J9" s="5"/>
      <c r="K9" s="5"/>
      <c r="L9" s="5"/>
      <c r="M9" s="5"/>
      <c r="N9" s="8"/>
      <c r="O9" s="8"/>
      <c r="P9" s="8"/>
    </row>
    <row r="10" spans="4:16" ht="16" thickBot="1" x14ac:dyDescent="0.25">
      <c r="D10" s="9"/>
      <c r="E10" s="10" t="s">
        <v>4</v>
      </c>
      <c r="F10" s="10"/>
      <c r="G10" s="10"/>
      <c r="H10" s="11" t="s">
        <v>5</v>
      </c>
      <c r="I10" s="11"/>
      <c r="J10" s="11"/>
      <c r="K10" s="11"/>
      <c r="L10" s="11"/>
      <c r="M10" s="11"/>
      <c r="N10" s="8"/>
      <c r="O10" s="8"/>
      <c r="P10" s="8"/>
    </row>
    <row r="11" spans="4:16" x14ac:dyDescent="0.2">
      <c r="D11" s="7"/>
      <c r="E11" s="12" t="s">
        <v>6</v>
      </c>
      <c r="F11" s="13" t="s">
        <v>7</v>
      </c>
      <c r="G11" s="14" t="s">
        <v>8</v>
      </c>
      <c r="H11" s="13" t="s">
        <v>9</v>
      </c>
      <c r="I11" s="13" t="s">
        <v>10</v>
      </c>
      <c r="J11" s="13" t="s">
        <v>11</v>
      </c>
      <c r="K11" s="13" t="s">
        <v>12</v>
      </c>
      <c r="L11" s="13" t="s">
        <v>13</v>
      </c>
      <c r="M11" s="13" t="s">
        <v>14</v>
      </c>
      <c r="N11" s="8"/>
      <c r="O11" s="8"/>
      <c r="P11" s="8"/>
    </row>
    <row r="12" spans="4:16" x14ac:dyDescent="0.2">
      <c r="D12" s="15" t="s">
        <v>15</v>
      </c>
      <c r="E12" s="16">
        <v>478614</v>
      </c>
      <c r="F12" s="16">
        <v>481317</v>
      </c>
      <c r="G12" s="17">
        <v>495761</v>
      </c>
      <c r="H12" s="18">
        <f t="shared" ref="H12:M12" si="0">H14*H72</f>
        <v>509031.35068542976</v>
      </c>
      <c r="I12" s="18">
        <f t="shared" si="0"/>
        <v>524310.1386768677</v>
      </c>
      <c r="J12" s="18">
        <f t="shared" si="0"/>
        <v>535271.82684478443</v>
      </c>
      <c r="K12" s="18">
        <f t="shared" si="0"/>
        <v>553934.34122991632</v>
      </c>
      <c r="L12" s="18">
        <f t="shared" si="0"/>
        <v>569807.63459067082</v>
      </c>
      <c r="M12" s="18">
        <f t="shared" si="0"/>
        <v>585192.44072461885</v>
      </c>
      <c r="N12" s="8"/>
      <c r="P12" s="8"/>
    </row>
    <row r="13" spans="4:16" x14ac:dyDescent="0.2">
      <c r="D13" s="15" t="s">
        <v>16</v>
      </c>
      <c r="E13" s="19">
        <v>3516</v>
      </c>
      <c r="F13" s="19">
        <v>4556</v>
      </c>
      <c r="G13" s="20">
        <v>4582</v>
      </c>
      <c r="H13" s="21">
        <f>H14*H73</f>
        <v>4704.6493145702052</v>
      </c>
      <c r="I13" s="21">
        <f t="shared" ref="I13:M13" si="1">I14*I73</f>
        <v>4845.8613231323316</v>
      </c>
      <c r="J13" s="21">
        <f t="shared" si="1"/>
        <v>4947.1731552155225</v>
      </c>
      <c r="K13" s="21">
        <f t="shared" si="1"/>
        <v>5119.6587700837226</v>
      </c>
      <c r="L13" s="21">
        <f t="shared" si="1"/>
        <v>5266.3654093291998</v>
      </c>
      <c r="M13" s="21">
        <f t="shared" si="1"/>
        <v>5408.5572753810875</v>
      </c>
      <c r="N13" s="8"/>
      <c r="O13" s="8"/>
      <c r="P13" s="8"/>
    </row>
    <row r="14" spans="4:16" x14ac:dyDescent="0.2">
      <c r="D14" s="22" t="s">
        <v>17</v>
      </c>
      <c r="E14" s="23">
        <f>SUM(E12:E13)</f>
        <v>482130</v>
      </c>
      <c r="F14" s="23">
        <f t="shared" ref="F14:G14" si="2">SUM(F12:F13)</f>
        <v>485873</v>
      </c>
      <c r="G14" s="24">
        <f t="shared" si="2"/>
        <v>500343</v>
      </c>
      <c r="H14" s="23">
        <f>G14*(1+H52)</f>
        <v>513736</v>
      </c>
      <c r="I14" s="23">
        <f t="shared" ref="I14:M14" si="3">H14*(1+I52)</f>
        <v>529156</v>
      </c>
      <c r="J14" s="23">
        <f>I14*(1+J52)</f>
        <v>540219</v>
      </c>
      <c r="K14" s="23">
        <f t="shared" si="3"/>
        <v>559054</v>
      </c>
      <c r="L14" s="23">
        <f t="shared" si="3"/>
        <v>575074</v>
      </c>
      <c r="M14" s="23">
        <f t="shared" si="3"/>
        <v>590600.99799999991</v>
      </c>
      <c r="N14" s="8"/>
      <c r="O14" s="8"/>
      <c r="P14" s="8"/>
    </row>
    <row r="15" spans="4:16" x14ac:dyDescent="0.2">
      <c r="D15" s="22" t="s">
        <v>18</v>
      </c>
      <c r="E15" s="23"/>
      <c r="F15" s="23"/>
      <c r="G15" s="24"/>
      <c r="H15" s="2"/>
      <c r="I15" s="2"/>
      <c r="J15" s="2"/>
      <c r="K15" s="2"/>
      <c r="L15" s="2"/>
      <c r="M15" s="2"/>
      <c r="N15" s="8"/>
      <c r="O15" s="8"/>
      <c r="P15" s="8"/>
    </row>
    <row r="16" spans="4:16" ht="16" thickBot="1" x14ac:dyDescent="0.25">
      <c r="D16" s="15" t="s">
        <v>19</v>
      </c>
      <c r="E16" s="25">
        <v>360984</v>
      </c>
      <c r="F16" s="25">
        <v>361256</v>
      </c>
      <c r="G16" s="26">
        <v>373396</v>
      </c>
      <c r="H16" s="27">
        <f>H14*H56</f>
        <v>386329.47200000001</v>
      </c>
      <c r="I16" s="27">
        <f t="shared" ref="I16:M16" si="4">I14*I56</f>
        <v>397925.31199999998</v>
      </c>
      <c r="J16" s="27">
        <f t="shared" si="4"/>
        <v>405704.46899999998</v>
      </c>
      <c r="K16" s="27">
        <f t="shared" si="4"/>
        <v>422644.82400000002</v>
      </c>
      <c r="L16" s="27">
        <f t="shared" si="4"/>
        <v>434755.94400000002</v>
      </c>
      <c r="M16" s="27">
        <f t="shared" si="4"/>
        <v>446494.35448799992</v>
      </c>
      <c r="N16" s="8"/>
      <c r="O16" s="8"/>
      <c r="P16" s="8"/>
    </row>
    <row r="17" spans="4:16" x14ac:dyDescent="0.2">
      <c r="D17" s="22" t="s">
        <v>20</v>
      </c>
      <c r="E17" s="23">
        <f>E14-E16</f>
        <v>121146</v>
      </c>
      <c r="F17" s="23">
        <f t="shared" ref="F17:M17" si="5">F14-F16</f>
        <v>124617</v>
      </c>
      <c r="G17" s="24">
        <f t="shared" si="5"/>
        <v>126947</v>
      </c>
      <c r="H17" s="23">
        <f t="shared" si="5"/>
        <v>127406.52799999999</v>
      </c>
      <c r="I17" s="23">
        <f t="shared" si="5"/>
        <v>131230.68800000002</v>
      </c>
      <c r="J17" s="23">
        <f t="shared" si="5"/>
        <v>134514.53100000002</v>
      </c>
      <c r="K17" s="23">
        <f t="shared" si="5"/>
        <v>136409.17599999998</v>
      </c>
      <c r="L17" s="23">
        <f t="shared" si="5"/>
        <v>140318.05599999998</v>
      </c>
      <c r="M17" s="23">
        <f t="shared" si="5"/>
        <v>144106.64351199998</v>
      </c>
      <c r="N17" s="8"/>
      <c r="O17" s="8"/>
      <c r="P17" s="8"/>
    </row>
    <row r="18" spans="4:16" x14ac:dyDescent="0.2">
      <c r="D18" s="15" t="s">
        <v>21</v>
      </c>
      <c r="E18" s="19">
        <v>97041</v>
      </c>
      <c r="F18" s="19">
        <v>101853</v>
      </c>
      <c r="G18" s="20">
        <v>106510</v>
      </c>
      <c r="H18" s="28">
        <f>H59*H14</f>
        <v>106446.0992</v>
      </c>
      <c r="I18" s="21">
        <f t="shared" ref="I18:M18" si="6">I59*I14</f>
        <v>109006.136</v>
      </c>
      <c r="J18" s="21">
        <f t="shared" si="6"/>
        <v>110744.89499999999</v>
      </c>
      <c r="K18" s="21">
        <f t="shared" si="6"/>
        <v>111251.746</v>
      </c>
      <c r="L18" s="21">
        <f t="shared" si="6"/>
        <v>114727.26300000001</v>
      </c>
      <c r="M18" s="21">
        <f t="shared" si="6"/>
        <v>118120.19959999999</v>
      </c>
      <c r="N18" s="8"/>
      <c r="O18" s="8"/>
      <c r="P18" s="8"/>
    </row>
    <row r="19" spans="4:16" x14ac:dyDescent="0.2">
      <c r="D19" s="22" t="s">
        <v>22</v>
      </c>
      <c r="E19" s="23">
        <f>E17-E18</f>
        <v>24105</v>
      </c>
      <c r="F19" s="23">
        <f t="shared" ref="F19:M19" si="7">F17-F18</f>
        <v>22764</v>
      </c>
      <c r="G19" s="24">
        <f t="shared" si="7"/>
        <v>20437</v>
      </c>
      <c r="H19" s="23">
        <f t="shared" si="7"/>
        <v>20960.428799999994</v>
      </c>
      <c r="I19" s="23">
        <f t="shared" si="7"/>
        <v>22224.552000000025</v>
      </c>
      <c r="J19" s="23">
        <f t="shared" si="7"/>
        <v>23769.636000000028</v>
      </c>
      <c r="K19" s="23">
        <f t="shared" si="7"/>
        <v>25157.429999999978</v>
      </c>
      <c r="L19" s="23">
        <f t="shared" si="7"/>
        <v>25590.792999999976</v>
      </c>
      <c r="M19" s="23">
        <f t="shared" si="7"/>
        <v>25986.443911999988</v>
      </c>
      <c r="N19" s="8"/>
      <c r="O19" s="8"/>
      <c r="P19" s="8"/>
    </row>
    <row r="20" spans="4:16" x14ac:dyDescent="0.2">
      <c r="D20" s="22" t="s">
        <v>23</v>
      </c>
      <c r="E20" s="23"/>
      <c r="F20" s="23"/>
      <c r="G20" s="24"/>
      <c r="H20" s="2"/>
      <c r="I20" s="2"/>
      <c r="J20" s="2"/>
      <c r="K20" s="2"/>
      <c r="L20" s="2"/>
      <c r="M20" s="2"/>
      <c r="N20" s="8"/>
      <c r="O20" s="8"/>
      <c r="P20" s="8"/>
    </row>
    <row r="21" spans="4:16" x14ac:dyDescent="0.2">
      <c r="D21" s="15" t="s">
        <v>24</v>
      </c>
      <c r="E21" s="16">
        <v>2027</v>
      </c>
      <c r="F21" s="16">
        <v>2044</v>
      </c>
      <c r="G21" s="17">
        <v>1978</v>
      </c>
      <c r="H21" s="29">
        <f ca="1">H210+H220</f>
        <v>1430.421</v>
      </c>
      <c r="I21" s="29">
        <f t="shared" ref="I21:M21" ca="1" si="8">I210+I220</f>
        <v>1466.127</v>
      </c>
      <c r="J21" s="29">
        <f t="shared" ca="1" si="8"/>
        <v>1402.752</v>
      </c>
      <c r="K21" s="29">
        <f t="shared" ca="1" si="8"/>
        <v>1325.8634999999999</v>
      </c>
      <c r="L21" s="29">
        <f t="shared" ca="1" si="8"/>
        <v>1256.8140000000001</v>
      </c>
      <c r="M21" s="29">
        <f t="shared" ca="1" si="8"/>
        <v>1142.3879999999999</v>
      </c>
      <c r="N21" s="8"/>
      <c r="O21" s="8"/>
      <c r="P21" s="8"/>
    </row>
    <row r="22" spans="4:16" x14ac:dyDescent="0.2">
      <c r="D22" s="15" t="s">
        <v>25</v>
      </c>
      <c r="E22" s="16">
        <v>521</v>
      </c>
      <c r="F22" s="16">
        <v>323</v>
      </c>
      <c r="G22" s="17">
        <v>352</v>
      </c>
      <c r="H22" s="30">
        <f>H229</f>
        <v>332.52</v>
      </c>
      <c r="I22" s="30">
        <f t="shared" ref="I22:M22" si="9">I229</f>
        <v>283.89600000000002</v>
      </c>
      <c r="J22" s="30">
        <f t="shared" si="9"/>
        <v>237.6</v>
      </c>
      <c r="K22" s="30">
        <f t="shared" si="9"/>
        <v>194.76</v>
      </c>
      <c r="L22" s="30">
        <f t="shared" si="9"/>
        <v>157.82400000000001</v>
      </c>
      <c r="M22" s="30">
        <f t="shared" si="9"/>
        <v>124.416</v>
      </c>
      <c r="N22" s="8"/>
      <c r="O22" s="8"/>
      <c r="P22" s="8"/>
    </row>
    <row r="23" spans="4:16" x14ac:dyDescent="0.2">
      <c r="D23" s="15" t="s">
        <v>26</v>
      </c>
      <c r="E23" s="19">
        <v>-81</v>
      </c>
      <c r="F23" s="19">
        <v>-100</v>
      </c>
      <c r="G23" s="20">
        <v>-152</v>
      </c>
      <c r="H23" s="31">
        <f ca="1">-H237</f>
        <v>-116.57214507946486</v>
      </c>
      <c r="I23" s="31">
        <f t="shared" ref="I23:M23" ca="1" si="10">-I237</f>
        <v>-123.8570415193311</v>
      </c>
      <c r="J23" s="31">
        <f t="shared" ca="1" si="10"/>
        <v>-166.02754671559106</v>
      </c>
      <c r="K23" s="31">
        <f t="shared" ca="1" si="10"/>
        <v>-288.61191044605226</v>
      </c>
      <c r="L23" s="31">
        <f t="shared" ca="1" si="10"/>
        <v>-481.91761349258707</v>
      </c>
      <c r="M23" s="31">
        <f t="shared" ca="1" si="10"/>
        <v>-663.39553393409369</v>
      </c>
      <c r="N23" s="8"/>
      <c r="O23" s="8"/>
      <c r="P23" s="8"/>
    </row>
    <row r="24" spans="4:16" x14ac:dyDescent="0.2">
      <c r="D24" s="32" t="s">
        <v>27</v>
      </c>
      <c r="E24" s="21">
        <f>SUM(E21:E23)</f>
        <v>2467</v>
      </c>
      <c r="F24" s="21">
        <f t="shared" ref="F24:G24" si="11">SUM(F21:F23)</f>
        <v>2267</v>
      </c>
      <c r="G24" s="33">
        <f t="shared" si="11"/>
        <v>2178</v>
      </c>
      <c r="H24" s="31">
        <f ca="1">SUM(H21:H23)</f>
        <v>1646.3688549205351</v>
      </c>
      <c r="I24" s="31">
        <f ca="1">SUM(I21:I23)</f>
        <v>1626.1659584806689</v>
      </c>
      <c r="J24" s="31">
        <f ca="1">SUM(J21:J23)</f>
        <v>1474.3244532844087</v>
      </c>
      <c r="K24" s="31">
        <f t="shared" ref="K24:M24" ca="1" si="12">SUM(K21:K23)</f>
        <v>1232.0115895539477</v>
      </c>
      <c r="L24" s="31">
        <f t="shared" ca="1" si="12"/>
        <v>932.72038650741308</v>
      </c>
      <c r="M24" s="31">
        <f t="shared" ca="1" si="12"/>
        <v>603.40846606590617</v>
      </c>
      <c r="N24" s="8"/>
      <c r="O24" s="8"/>
      <c r="P24" s="8"/>
    </row>
    <row r="25" spans="4:16" x14ac:dyDescent="0.2">
      <c r="D25" s="32" t="s">
        <v>28</v>
      </c>
      <c r="E25" s="19">
        <v>0</v>
      </c>
      <c r="F25" s="19">
        <v>0</v>
      </c>
      <c r="G25" s="33">
        <v>3136</v>
      </c>
      <c r="H25" s="34">
        <v>0</v>
      </c>
      <c r="I25" s="35">
        <f>H25</f>
        <v>0</v>
      </c>
      <c r="J25" s="35">
        <v>0</v>
      </c>
      <c r="K25" s="35">
        <v>0</v>
      </c>
      <c r="L25" s="35">
        <v>0</v>
      </c>
      <c r="M25" s="35">
        <v>0</v>
      </c>
      <c r="N25" s="8"/>
      <c r="O25" s="8"/>
      <c r="P25" s="8"/>
    </row>
    <row r="26" spans="4:16" x14ac:dyDescent="0.2">
      <c r="D26" s="22" t="s">
        <v>29</v>
      </c>
      <c r="E26" s="36">
        <f>E19-E24-E25</f>
        <v>21638</v>
      </c>
      <c r="F26" s="36">
        <f>F19-F24-F25</f>
        <v>20497</v>
      </c>
      <c r="G26" s="24">
        <f>G19-G24-G25</f>
        <v>15123</v>
      </c>
      <c r="H26" s="36">
        <f ca="1">H19-H24-H25</f>
        <v>19314.059945079458</v>
      </c>
      <c r="I26" s="36">
        <f t="shared" ref="I26:M26" ca="1" si="13">I19-I24-I25</f>
        <v>20598.386041519356</v>
      </c>
      <c r="J26" s="36">
        <f t="shared" ca="1" si="13"/>
        <v>22295.31154671562</v>
      </c>
      <c r="K26" s="36">
        <f t="shared" ca="1" si="13"/>
        <v>23925.418410446029</v>
      </c>
      <c r="L26" s="36">
        <f t="shared" ca="1" si="13"/>
        <v>24658.072613492564</v>
      </c>
      <c r="M26" s="36">
        <f t="shared" ca="1" si="13"/>
        <v>25383.035445934082</v>
      </c>
      <c r="N26" s="8"/>
      <c r="O26" s="8"/>
      <c r="P26" s="8"/>
    </row>
    <row r="27" spans="4:16" ht="16" thickBot="1" x14ac:dyDescent="0.25">
      <c r="D27" s="15" t="s">
        <v>30</v>
      </c>
      <c r="E27" s="25">
        <v>6558</v>
      </c>
      <c r="F27" s="25">
        <v>6204</v>
      </c>
      <c r="G27" s="26">
        <v>4600</v>
      </c>
      <c r="H27" s="37">
        <f ca="1">H62*H26</f>
        <v>5311.366484896851</v>
      </c>
      <c r="I27" s="27">
        <f t="shared" ref="I27:M27" ca="1" si="14">I62*I26</f>
        <v>5458.5723010026295</v>
      </c>
      <c r="J27" s="27">
        <f t="shared" ca="1" si="14"/>
        <v>6131.2106753467961</v>
      </c>
      <c r="K27" s="27">
        <f t="shared" ca="1" si="14"/>
        <v>6579.4900628726582</v>
      </c>
      <c r="L27" s="27">
        <f t="shared" ca="1" si="14"/>
        <v>5745.3309189437678</v>
      </c>
      <c r="M27" s="27">
        <f t="shared" ca="1" si="14"/>
        <v>7107.2499248615431</v>
      </c>
      <c r="N27" s="8"/>
      <c r="O27" s="8"/>
      <c r="P27" s="8"/>
    </row>
    <row r="28" spans="4:16" x14ac:dyDescent="0.2">
      <c r="D28" s="38" t="s">
        <v>31</v>
      </c>
      <c r="E28" s="36">
        <f>E26-E27</f>
        <v>15080</v>
      </c>
      <c r="F28" s="36">
        <f t="shared" ref="F28:M28" si="15">F26-F27</f>
        <v>14293</v>
      </c>
      <c r="G28" s="39">
        <f t="shared" si="15"/>
        <v>10523</v>
      </c>
      <c r="H28" s="36">
        <f t="shared" ca="1" si="15"/>
        <v>14002.693460182607</v>
      </c>
      <c r="I28" s="36">
        <f t="shared" ca="1" si="15"/>
        <v>15139.813740516725</v>
      </c>
      <c r="J28" s="36">
        <f t="shared" ca="1" si="15"/>
        <v>16164.100871368824</v>
      </c>
      <c r="K28" s="36">
        <f t="shared" ca="1" si="15"/>
        <v>17345.928347573372</v>
      </c>
      <c r="L28" s="36">
        <f t="shared" ca="1" si="15"/>
        <v>18912.741694548797</v>
      </c>
      <c r="M28" s="36">
        <f t="shared" ca="1" si="15"/>
        <v>18275.785521072539</v>
      </c>
      <c r="N28" s="8"/>
      <c r="O28" s="8"/>
      <c r="P28" s="8"/>
    </row>
    <row r="29" spans="4:16" x14ac:dyDescent="0.2">
      <c r="D29" s="40" t="s">
        <v>32</v>
      </c>
      <c r="E29" s="19">
        <v>0</v>
      </c>
      <c r="F29" s="19">
        <v>0</v>
      </c>
      <c r="G29" s="20">
        <v>0</v>
      </c>
      <c r="H29" s="19">
        <f>F29</f>
        <v>0</v>
      </c>
      <c r="I29" s="19">
        <f t="shared" ref="I29:M29" si="16">G29</f>
        <v>0</v>
      </c>
      <c r="J29" s="19">
        <f t="shared" si="16"/>
        <v>0</v>
      </c>
      <c r="K29" s="19">
        <f t="shared" si="16"/>
        <v>0</v>
      </c>
      <c r="L29" s="19">
        <f t="shared" si="16"/>
        <v>0</v>
      </c>
      <c r="M29" s="19">
        <f t="shared" si="16"/>
        <v>0</v>
      </c>
      <c r="N29" s="8"/>
      <c r="O29" s="8"/>
      <c r="P29" s="8"/>
    </row>
    <row r="30" spans="4:16" x14ac:dyDescent="0.2">
      <c r="D30" s="22" t="s">
        <v>33</v>
      </c>
      <c r="E30" s="23">
        <f>E28+E29</f>
        <v>15080</v>
      </c>
      <c r="F30" s="23">
        <f t="shared" ref="F30:M30" si="17">F28+F29</f>
        <v>14293</v>
      </c>
      <c r="G30" s="41">
        <f t="shared" si="17"/>
        <v>10523</v>
      </c>
      <c r="H30" s="23">
        <f t="shared" ca="1" si="17"/>
        <v>14002.693460182607</v>
      </c>
      <c r="I30" s="23">
        <f t="shared" ca="1" si="17"/>
        <v>15139.813740516725</v>
      </c>
      <c r="J30" s="23">
        <f t="shared" ca="1" si="17"/>
        <v>16164.100871368824</v>
      </c>
      <c r="K30" s="23">
        <f t="shared" ca="1" si="17"/>
        <v>17345.928347573372</v>
      </c>
      <c r="L30" s="23">
        <f t="shared" ca="1" si="17"/>
        <v>18912.741694548797</v>
      </c>
      <c r="M30" s="23">
        <f t="shared" ca="1" si="17"/>
        <v>18275.785521072539</v>
      </c>
      <c r="N30" s="8"/>
      <c r="O30" s="8"/>
      <c r="P30" s="8"/>
    </row>
    <row r="31" spans="4:16" x14ac:dyDescent="0.2">
      <c r="D31" s="15" t="s">
        <v>34</v>
      </c>
      <c r="E31" s="19">
        <v>-386</v>
      </c>
      <c r="F31" s="19">
        <v>-650</v>
      </c>
      <c r="G31" s="20">
        <v>-661</v>
      </c>
      <c r="H31" s="28">
        <f ca="1">-H30*H64</f>
        <v>-560.10773840730428</v>
      </c>
      <c r="I31" s="21">
        <f t="shared" ref="I31:M31" ca="1" si="18">-I30*I64</f>
        <v>-605.59254962066905</v>
      </c>
      <c r="J31" s="21">
        <f t="shared" ca="1" si="18"/>
        <v>-646.564034854753</v>
      </c>
      <c r="K31" s="21">
        <f t="shared" ca="1" si="18"/>
        <v>-693.83713390293485</v>
      </c>
      <c r="L31" s="21">
        <f t="shared" ca="1" si="18"/>
        <v>-756.50966778195186</v>
      </c>
      <c r="M31" s="21">
        <f t="shared" ca="1" si="18"/>
        <v>-731.03142084290164</v>
      </c>
      <c r="N31" s="8"/>
      <c r="O31" s="8"/>
      <c r="P31" s="8"/>
    </row>
    <row r="32" spans="4:16" x14ac:dyDescent="0.2">
      <c r="D32" s="22" t="s">
        <v>35</v>
      </c>
      <c r="E32" s="23">
        <f>E30+E31</f>
        <v>14694</v>
      </c>
      <c r="F32" s="23">
        <f>F30+F31</f>
        <v>13643</v>
      </c>
      <c r="G32" s="24">
        <f t="shared" ref="G32" si="19">G30+G31</f>
        <v>9862</v>
      </c>
      <c r="H32" s="23">
        <f ca="1">H30+H31</f>
        <v>13442.585721775302</v>
      </c>
      <c r="I32" s="23">
        <f t="shared" ref="I32:M32" ca="1" si="20">I30+I31</f>
        <v>14534.221190896056</v>
      </c>
      <c r="J32" s="23">
        <f t="shared" ca="1" si="20"/>
        <v>15517.536836514071</v>
      </c>
      <c r="K32" s="23">
        <f t="shared" ca="1" si="20"/>
        <v>16652.091213670436</v>
      </c>
      <c r="L32" s="23">
        <f t="shared" ca="1" si="20"/>
        <v>18156.232026766844</v>
      </c>
      <c r="M32" s="23">
        <f t="shared" ca="1" si="20"/>
        <v>17544.754100229638</v>
      </c>
      <c r="N32" s="8"/>
      <c r="P32" s="8"/>
    </row>
    <row r="33" spans="4:16" x14ac:dyDescent="0.2">
      <c r="D33" s="22"/>
      <c r="E33" s="42"/>
      <c r="F33" s="42"/>
      <c r="G33" s="43"/>
      <c r="H33" s="2"/>
      <c r="I33" s="2"/>
      <c r="J33" s="2"/>
      <c r="K33" s="2"/>
      <c r="L33" s="2"/>
      <c r="M33" s="2"/>
      <c r="N33" s="8"/>
      <c r="P33" s="8"/>
    </row>
    <row r="34" spans="4:16" x14ac:dyDescent="0.2">
      <c r="D34" s="22" t="s">
        <v>36</v>
      </c>
      <c r="E34" s="42"/>
      <c r="F34" s="42"/>
      <c r="G34" s="43"/>
      <c r="H34" s="2"/>
      <c r="I34" s="2"/>
      <c r="J34" s="2"/>
      <c r="K34" s="2"/>
      <c r="L34" s="2"/>
      <c r="M34" s="2"/>
      <c r="N34" s="8"/>
      <c r="P34" s="8"/>
    </row>
    <row r="35" spans="4:16" x14ac:dyDescent="0.2">
      <c r="D35" s="8" t="s">
        <v>37</v>
      </c>
      <c r="E35" s="18">
        <f>E32/E39</f>
        <v>4.5818521983161835</v>
      </c>
      <c r="F35" s="18">
        <f>F32/F39</f>
        <v>4.3995485327313766</v>
      </c>
      <c r="G35" s="44">
        <f>G32/G39</f>
        <v>3.2928213689482471</v>
      </c>
      <c r="H35" s="18">
        <f ca="1">H32/H39</f>
        <v>4.6216929281084393</v>
      </c>
      <c r="I35" s="18">
        <f t="shared" ref="I35:M35" ca="1" si="21">I32/I39</f>
        <v>5.1434836145994973</v>
      </c>
      <c r="J35" s="18">
        <f t="shared" ca="1" si="21"/>
        <v>5.6245409719898367</v>
      </c>
      <c r="K35" s="18">
        <f t="shared" ca="1" si="21"/>
        <v>6.0919515787237417</v>
      </c>
      <c r="L35" s="18">
        <f t="shared" ca="1" si="21"/>
        <v>6.6422219852083666</v>
      </c>
      <c r="M35" s="18">
        <f t="shared" ca="1" si="21"/>
        <v>6.4185207171739371</v>
      </c>
      <c r="N35" s="8"/>
      <c r="P35" s="8"/>
    </row>
    <row r="36" spans="4:16" x14ac:dyDescent="0.2">
      <c r="D36" s="8" t="s">
        <v>38</v>
      </c>
      <c r="E36" s="18">
        <f>E32/E41</f>
        <v>4.5676095741373954</v>
      </c>
      <c r="F36" s="18">
        <f>F32/F41</f>
        <v>4.3839974293059125</v>
      </c>
      <c r="G36" s="44">
        <f>G32/G41</f>
        <v>3.2764119601328905</v>
      </c>
      <c r="H36" s="18">
        <f ca="1">H32/H41</f>
        <v>4.5979804658162839</v>
      </c>
      <c r="I36" s="18">
        <f t="shared" ref="I36:M36" ca="1" si="22">I32/I41</f>
        <v>5.1163245417789014</v>
      </c>
      <c r="J36" s="18">
        <f t="shared" ca="1" si="22"/>
        <v>5.5941259733937443</v>
      </c>
      <c r="K36" s="18">
        <f t="shared" ca="1" si="22"/>
        <v>6.0587041040748471</v>
      </c>
      <c r="L36" s="18">
        <f t="shared" ca="1" si="22"/>
        <v>6.6059713512018812</v>
      </c>
      <c r="M36" s="18">
        <f t="shared" ca="1" si="22"/>
        <v>6.3834909566661642</v>
      </c>
      <c r="N36" s="8"/>
      <c r="O36" s="8"/>
      <c r="P36" s="8"/>
    </row>
    <row r="37" spans="4:16" x14ac:dyDescent="0.2">
      <c r="D37" s="45" t="s">
        <v>39</v>
      </c>
      <c r="G37" s="46"/>
      <c r="H37" s="47">
        <f>'[1]Wall Street Estimates'!D34</f>
        <v>4.6399999999999997</v>
      </c>
      <c r="I37" s="47">
        <f>'[1]Wall Street Estimates'!E34</f>
        <v>5.07</v>
      </c>
      <c r="J37" s="47">
        <f>'[1]Wall Street Estimates'!F34</f>
        <v>5.54</v>
      </c>
      <c r="K37" s="47">
        <f>'[1]Wall Street Estimates'!G34</f>
        <v>6.04</v>
      </c>
      <c r="L37" s="47">
        <f>'[1]Wall Street Estimates'!H34</f>
        <v>6.61</v>
      </c>
      <c r="M37" s="18"/>
      <c r="N37" s="8"/>
      <c r="O37" s="8"/>
      <c r="P37" s="8"/>
    </row>
    <row r="38" spans="4:16" x14ac:dyDescent="0.2">
      <c r="D38" s="22" t="s">
        <v>40</v>
      </c>
      <c r="G38" s="46"/>
      <c r="H38" s="2"/>
      <c r="I38" s="2"/>
      <c r="J38" s="2"/>
      <c r="K38" s="2"/>
      <c r="L38" s="2"/>
      <c r="M38" s="2"/>
      <c r="N38" s="8"/>
      <c r="O38" s="8"/>
      <c r="P38" s="8"/>
    </row>
    <row r="39" spans="4:16" x14ac:dyDescent="0.2">
      <c r="D39" s="8" t="s">
        <v>41</v>
      </c>
      <c r="E39" s="48">
        <v>3207</v>
      </c>
      <c r="F39" s="48">
        <v>3101</v>
      </c>
      <c r="G39" s="49">
        <v>2995</v>
      </c>
      <c r="H39" s="50">
        <f>H174</f>
        <v>2908.584782865933</v>
      </c>
      <c r="I39" s="50">
        <f t="shared" ref="I39:M39" si="23">I174</f>
        <v>2825.754348597799</v>
      </c>
      <c r="J39" s="50">
        <f t="shared" si="23"/>
        <v>2758.8983552242335</v>
      </c>
      <c r="K39" s="50">
        <f t="shared" si="23"/>
        <v>2733.4575789847354</v>
      </c>
      <c r="L39" s="50">
        <f t="shared" si="23"/>
        <v>2733.4575789847354</v>
      </c>
      <c r="M39" s="50">
        <f t="shared" si="23"/>
        <v>2733.4575789847354</v>
      </c>
      <c r="N39" s="8"/>
      <c r="O39" s="8"/>
      <c r="P39" s="8"/>
    </row>
    <row r="40" spans="4:16" x14ac:dyDescent="0.2">
      <c r="D40" s="51" t="s">
        <v>42</v>
      </c>
      <c r="E40" s="52">
        <v>10</v>
      </c>
      <c r="F40" s="52">
        <v>11</v>
      </c>
      <c r="G40" s="53">
        <v>15</v>
      </c>
      <c r="H40" s="54">
        <f>G40</f>
        <v>15</v>
      </c>
      <c r="I40" s="54">
        <f t="shared" ref="I40:M40" si="24">H40</f>
        <v>15</v>
      </c>
      <c r="J40" s="54">
        <f t="shared" si="24"/>
        <v>15</v>
      </c>
      <c r="K40" s="54">
        <f t="shared" si="24"/>
        <v>15</v>
      </c>
      <c r="L40" s="54">
        <f t="shared" si="24"/>
        <v>15</v>
      </c>
      <c r="M40" s="54">
        <f t="shared" si="24"/>
        <v>15</v>
      </c>
      <c r="N40" s="8"/>
      <c r="O40" s="8"/>
      <c r="P40" s="8"/>
    </row>
    <row r="41" spans="4:16" x14ac:dyDescent="0.2">
      <c r="D41" s="8" t="s">
        <v>43</v>
      </c>
      <c r="E41" s="48">
        <v>3217</v>
      </c>
      <c r="F41" s="48">
        <v>3112</v>
      </c>
      <c r="G41" s="49">
        <v>3010</v>
      </c>
      <c r="H41" s="55">
        <f>H39+H40</f>
        <v>2923.584782865933</v>
      </c>
      <c r="I41" s="55">
        <f t="shared" ref="I41:M41" si="25">I39+I40</f>
        <v>2840.754348597799</v>
      </c>
      <c r="J41" s="55">
        <f t="shared" si="25"/>
        <v>2773.8983552242335</v>
      </c>
      <c r="K41" s="55">
        <f t="shared" si="25"/>
        <v>2748.4575789847354</v>
      </c>
      <c r="L41" s="55">
        <f t="shared" si="25"/>
        <v>2748.4575789847354</v>
      </c>
      <c r="M41" s="55">
        <f t="shared" si="25"/>
        <v>2748.4575789847354</v>
      </c>
      <c r="N41" s="8"/>
      <c r="O41" s="8"/>
      <c r="P41" s="8"/>
    </row>
    <row r="42" spans="4:16" x14ac:dyDescent="0.2">
      <c r="D42" s="8"/>
      <c r="E42" s="48"/>
      <c r="F42" s="48"/>
      <c r="G42" s="49"/>
      <c r="H42" s="2"/>
      <c r="I42" s="2"/>
      <c r="J42" s="2"/>
      <c r="K42" s="2"/>
      <c r="L42" s="2"/>
      <c r="M42" s="2"/>
      <c r="N42" s="8"/>
      <c r="O42" s="8"/>
      <c r="P42" s="8"/>
    </row>
    <row r="43" spans="4:16" x14ac:dyDescent="0.2">
      <c r="D43" s="22" t="s">
        <v>44</v>
      </c>
      <c r="E43" s="56">
        <v>1.96</v>
      </c>
      <c r="F43" s="56">
        <v>2</v>
      </c>
      <c r="G43" s="57">
        <v>2.04</v>
      </c>
      <c r="H43" s="58">
        <f ca="1">H44*H35</f>
        <v>1.8948941005244599</v>
      </c>
      <c r="I43" s="18">
        <f t="shared" ref="I43:M43" ca="1" si="26">I44*I35</f>
        <v>2.1088282819857938</v>
      </c>
      <c r="J43" s="18">
        <f t="shared" ca="1" si="26"/>
        <v>2.3060617985158327</v>
      </c>
      <c r="K43" s="18">
        <f t="shared" ca="1" si="26"/>
        <v>2.497700147276734</v>
      </c>
      <c r="L43" s="18">
        <f t="shared" ca="1" si="26"/>
        <v>2.72331101393543</v>
      </c>
      <c r="M43" s="18">
        <f t="shared" ca="1" si="26"/>
        <v>2.6315934940413142</v>
      </c>
      <c r="N43" s="8"/>
      <c r="P43" s="8"/>
    </row>
    <row r="44" spans="4:16" x14ac:dyDescent="0.2">
      <c r="D44" s="22" t="s">
        <v>45</v>
      </c>
      <c r="E44" s="59">
        <f>E43/E35</f>
        <v>0.42777460187831767</v>
      </c>
      <c r="F44" s="59">
        <f>F43/F35</f>
        <v>0.45459209851205751</v>
      </c>
      <c r="G44" s="60">
        <f>G43/G35</f>
        <v>0.61952950719935107</v>
      </c>
      <c r="H44" s="61">
        <v>0.41</v>
      </c>
      <c r="I44" s="62">
        <f>H44</f>
        <v>0.41</v>
      </c>
      <c r="J44" s="62">
        <f t="shared" ref="J44:M44" si="27">I44</f>
        <v>0.41</v>
      </c>
      <c r="K44" s="62">
        <f t="shared" si="27"/>
        <v>0.41</v>
      </c>
      <c r="L44" s="62">
        <f t="shared" si="27"/>
        <v>0.41</v>
      </c>
      <c r="M44" s="62">
        <f t="shared" si="27"/>
        <v>0.41</v>
      </c>
      <c r="N44" s="8"/>
      <c r="O44" s="8"/>
      <c r="P44" s="8"/>
    </row>
    <row r="45" spans="4:16" x14ac:dyDescent="0.2">
      <c r="G45" s="46"/>
      <c r="H45" s="2"/>
      <c r="I45" s="2"/>
      <c r="J45" s="2"/>
      <c r="K45" s="2"/>
      <c r="L45" s="2"/>
      <c r="M45" s="2"/>
    </row>
    <row r="46" spans="4:16" x14ac:dyDescent="0.2">
      <c r="G46" s="46"/>
      <c r="H46" s="2"/>
      <c r="I46" s="2"/>
      <c r="J46" s="2"/>
      <c r="K46" s="2"/>
      <c r="L46" s="2"/>
      <c r="M46" s="2"/>
    </row>
    <row r="47" spans="4:16" x14ac:dyDescent="0.2">
      <c r="D47" s="63" t="s">
        <v>46</v>
      </c>
      <c r="E47" s="64">
        <f>E133</f>
        <v>9454</v>
      </c>
      <c r="F47" s="64">
        <f t="shared" ref="F47:G47" si="28">F133</f>
        <v>10080</v>
      </c>
      <c r="G47" s="65">
        <f t="shared" si="28"/>
        <v>10529</v>
      </c>
      <c r="H47" s="64">
        <f>'[1]Depreciation Schedule'!F20</f>
        <v>10045.60252137034</v>
      </c>
      <c r="I47" s="64">
        <f>'[1]Depreciation Schedule'!G20</f>
        <v>10774.020225125563</v>
      </c>
      <c r="J47" s="64">
        <f>'[1]Depreciation Schedule'!H20</f>
        <v>11296.654141758752</v>
      </c>
      <c r="K47" s="64">
        <f>'[1]Depreciation Schedule'!I20</f>
        <v>11684.418499534318</v>
      </c>
      <c r="L47" s="64">
        <f>'[1]Depreciation Schedule'!J20</f>
        <v>11983.976268668581</v>
      </c>
      <c r="M47" s="64">
        <f>'[1]Depreciation Schedule'!K20</f>
        <v>12268.062749193008</v>
      </c>
    </row>
    <row r="48" spans="4:16" x14ac:dyDescent="0.2">
      <c r="D48" s="63" t="s">
        <v>47</v>
      </c>
      <c r="E48" s="66">
        <f>E19</f>
        <v>24105</v>
      </c>
      <c r="F48" s="66">
        <f t="shared" ref="F48:M48" si="29">F19</f>
        <v>22764</v>
      </c>
      <c r="G48" s="67">
        <f t="shared" si="29"/>
        <v>20437</v>
      </c>
      <c r="H48" s="66">
        <f t="shared" si="29"/>
        <v>20960.428799999994</v>
      </c>
      <c r="I48" s="66">
        <f t="shared" si="29"/>
        <v>22224.552000000025</v>
      </c>
      <c r="J48" s="66">
        <f t="shared" si="29"/>
        <v>23769.636000000028</v>
      </c>
      <c r="K48" s="66">
        <f t="shared" si="29"/>
        <v>25157.429999999978</v>
      </c>
      <c r="L48" s="66">
        <f t="shared" si="29"/>
        <v>25590.792999999976</v>
      </c>
      <c r="M48" s="66">
        <f t="shared" si="29"/>
        <v>25986.443911999988</v>
      </c>
    </row>
    <row r="49" spans="4:13" x14ac:dyDescent="0.2">
      <c r="D49" s="1" t="s">
        <v>48</v>
      </c>
      <c r="E49" s="18">
        <f>SUM(E47:E48)</f>
        <v>33559</v>
      </c>
      <c r="F49" s="18">
        <f t="shared" ref="F49:M49" si="30">SUM(F47:F48)</f>
        <v>32844</v>
      </c>
      <c r="G49" s="44">
        <f t="shared" si="30"/>
        <v>30966</v>
      </c>
      <c r="H49" s="18">
        <f t="shared" si="30"/>
        <v>31006.031321370334</v>
      </c>
      <c r="I49" s="18">
        <f t="shared" si="30"/>
        <v>32998.572225125587</v>
      </c>
      <c r="J49" s="18">
        <f t="shared" si="30"/>
        <v>35066.290141758778</v>
      </c>
      <c r="K49" s="18">
        <f t="shared" si="30"/>
        <v>36841.848499534295</v>
      </c>
      <c r="L49" s="18">
        <f t="shared" si="30"/>
        <v>37574.769268668555</v>
      </c>
      <c r="M49" s="18">
        <f t="shared" si="30"/>
        <v>38254.506661192994</v>
      </c>
    </row>
    <row r="50" spans="4:13" x14ac:dyDescent="0.2">
      <c r="G50" s="46"/>
      <c r="H50" s="2"/>
      <c r="I50" s="2"/>
      <c r="J50" s="2"/>
      <c r="K50" s="2"/>
      <c r="L50" s="2"/>
      <c r="M50" s="2"/>
    </row>
    <row r="51" spans="4:13" x14ac:dyDescent="0.2">
      <c r="G51" s="46"/>
      <c r="H51" s="2"/>
      <c r="I51" s="2"/>
      <c r="J51" s="2"/>
      <c r="K51" s="2"/>
      <c r="L51" s="2"/>
      <c r="M51" s="2"/>
    </row>
    <row r="52" spans="4:13" x14ac:dyDescent="0.2">
      <c r="D52" s="1" t="s">
        <v>49</v>
      </c>
      <c r="F52" s="59">
        <f>F14/E14-1</f>
        <v>7.7634662850267766E-3</v>
      </c>
      <c r="G52" s="60">
        <f>G14/F14-1</f>
        <v>2.9781444945489843E-2</v>
      </c>
      <c r="H52" s="62">
        <f>[1]Scenario!F11</f>
        <v>2.6767637400743061E-2</v>
      </c>
      <c r="I52" s="62">
        <f>[1]Scenario!G11</f>
        <v>3.0015416478502477E-2</v>
      </c>
      <c r="J52" s="62">
        <f>[1]Scenario!H11</f>
        <v>2.0906878122897599E-2</v>
      </c>
      <c r="K52" s="62">
        <f>[1]Scenario!I11</f>
        <v>3.4865489736569888E-2</v>
      </c>
      <c r="L52" s="62">
        <f>[1]Scenario!J11</f>
        <v>2.865555026884703E-2</v>
      </c>
      <c r="M52" s="62">
        <f>[1]Scenario!K11</f>
        <v>2.7E-2</v>
      </c>
    </row>
    <row r="53" spans="4:13" x14ac:dyDescent="0.2">
      <c r="F53" s="59"/>
      <c r="G53" s="60"/>
      <c r="H53" s="62"/>
      <c r="I53" s="62"/>
      <c r="J53" s="62"/>
      <c r="K53" s="62"/>
      <c r="L53" s="62"/>
      <c r="M53" s="62"/>
    </row>
    <row r="54" spans="4:13" x14ac:dyDescent="0.2">
      <c r="G54" s="46"/>
      <c r="H54" s="2"/>
      <c r="I54" s="2"/>
      <c r="J54" s="2"/>
      <c r="K54" s="2"/>
      <c r="L54" s="2"/>
      <c r="M54" s="2"/>
    </row>
    <row r="55" spans="4:13" x14ac:dyDescent="0.2">
      <c r="D55" s="68" t="s">
        <v>50</v>
      </c>
      <c r="G55" s="46"/>
      <c r="H55" s="2"/>
      <c r="I55" s="2"/>
      <c r="J55" s="2"/>
      <c r="K55" s="2"/>
      <c r="L55" s="2"/>
      <c r="M55" s="2"/>
    </row>
    <row r="56" spans="4:13" x14ac:dyDescent="0.2">
      <c r="D56" s="15" t="str">
        <f>D16</f>
        <v>Cost of sales</v>
      </c>
      <c r="E56" s="69">
        <f>E16/E14</f>
        <v>0.74872752162279888</v>
      </c>
      <c r="F56" s="69">
        <f>F16/F14</f>
        <v>0.74351939704408354</v>
      </c>
      <c r="G56" s="70">
        <f>G16/G14</f>
        <v>0.74628005188440727</v>
      </c>
      <c r="H56" s="62">
        <f>[1]Scenario!F12</f>
        <v>0.752</v>
      </c>
      <c r="I56" s="62">
        <f>[1]Scenario!G12</f>
        <v>0.752</v>
      </c>
      <c r="J56" s="62">
        <f>[1]Scenario!H12</f>
        <v>0.751</v>
      </c>
      <c r="K56" s="62">
        <f>[1]Scenario!I12</f>
        <v>0.75600000000000001</v>
      </c>
      <c r="L56" s="62">
        <f>[1]Scenario!J12</f>
        <v>0.75600000000000001</v>
      </c>
      <c r="M56" s="62">
        <f>[1]Scenario!K12</f>
        <v>0.75600000000000001</v>
      </c>
    </row>
    <row r="57" spans="4:13" x14ac:dyDescent="0.2">
      <c r="D57" s="15" t="s">
        <v>20</v>
      </c>
      <c r="E57" s="69">
        <f>E17/E14</f>
        <v>0.25127247837720118</v>
      </c>
      <c r="F57" s="69">
        <f t="shared" ref="F57:M57" si="31">F17/F14</f>
        <v>0.25648060295591646</v>
      </c>
      <c r="G57" s="70">
        <f t="shared" si="31"/>
        <v>0.25371994811559273</v>
      </c>
      <c r="H57" s="69">
        <f t="shared" si="31"/>
        <v>0.24799999999999997</v>
      </c>
      <c r="I57" s="69">
        <f t="shared" si="31"/>
        <v>0.24800000000000005</v>
      </c>
      <c r="J57" s="69">
        <f t="shared" si="31"/>
        <v>0.24900000000000003</v>
      </c>
      <c r="K57" s="69">
        <f t="shared" si="31"/>
        <v>0.24399999999999997</v>
      </c>
      <c r="L57" s="69">
        <f t="shared" si="31"/>
        <v>0.24399999999999997</v>
      </c>
      <c r="M57" s="69">
        <f t="shared" si="31"/>
        <v>0.24399999999999999</v>
      </c>
    </row>
    <row r="58" spans="4:13" x14ac:dyDescent="0.2">
      <c r="D58" s="71" t="s">
        <v>51</v>
      </c>
      <c r="E58" s="72"/>
      <c r="F58" s="72"/>
      <c r="G58" s="73"/>
      <c r="H58" s="74">
        <f>'[1]Wall Street Estimates'!D24</f>
        <v>0.248</v>
      </c>
      <c r="I58" s="74">
        <f>'[1]Wall Street Estimates'!E24</f>
        <v>0.248</v>
      </c>
      <c r="J58" s="74">
        <f>'[1]Wall Street Estimates'!F24</f>
        <v>0.249</v>
      </c>
      <c r="K58" s="74">
        <f>'[1]Wall Street Estimates'!G24</f>
        <v>0.24399999999999999</v>
      </c>
      <c r="L58" s="74">
        <f>'[1]Wall Street Estimates'!H24</f>
        <v>0.24399999999999999</v>
      </c>
      <c r="M58" s="74"/>
    </row>
    <row r="59" spans="4:13" x14ac:dyDescent="0.2">
      <c r="D59" s="15" t="str">
        <f>D18</f>
        <v>SG&amp;A</v>
      </c>
      <c r="E59" s="69">
        <f>E18/E14</f>
        <v>0.20127558957127745</v>
      </c>
      <c r="F59" s="69">
        <f>F18/F14</f>
        <v>0.20962885363047545</v>
      </c>
      <c r="G59" s="70">
        <f>G18/G14</f>
        <v>0.21287396845763806</v>
      </c>
      <c r="H59" s="62">
        <f>[1]Scenario!F13</f>
        <v>0.2072</v>
      </c>
      <c r="I59" s="62">
        <f>[1]Scenario!G13</f>
        <v>0.20599999999999999</v>
      </c>
      <c r="J59" s="62">
        <f>[1]Scenario!H13</f>
        <v>0.20499999999999999</v>
      </c>
      <c r="K59" s="62">
        <f>[1]Scenario!I13</f>
        <v>0.19900000000000001</v>
      </c>
      <c r="L59" s="62">
        <f>[1]Scenario!J13</f>
        <v>0.19950000000000001</v>
      </c>
      <c r="M59" s="62">
        <f>[1]Scenario!K13</f>
        <v>0.2</v>
      </c>
    </row>
    <row r="60" spans="4:13" x14ac:dyDescent="0.2">
      <c r="D60" s="15" t="s">
        <v>52</v>
      </c>
      <c r="E60" s="69">
        <f>E19/E14</f>
        <v>4.9996888805923713E-2</v>
      </c>
      <c r="F60" s="69">
        <f>F19/F14</f>
        <v>4.6851749325441013E-2</v>
      </c>
      <c r="G60" s="70">
        <f>G19/G14</f>
        <v>4.084597965795464E-2</v>
      </c>
      <c r="H60" s="69">
        <f>H19/H14</f>
        <v>4.0799999999999989E-2</v>
      </c>
      <c r="I60" s="69">
        <f t="shared" ref="I60:M60" si="32">I19/I14</f>
        <v>4.2000000000000044E-2</v>
      </c>
      <c r="J60" s="69">
        <f t="shared" si="32"/>
        <v>4.4000000000000053E-2</v>
      </c>
      <c r="K60" s="69">
        <f t="shared" si="32"/>
        <v>4.4999999999999964E-2</v>
      </c>
      <c r="L60" s="69">
        <f t="shared" si="32"/>
        <v>4.4499999999999956E-2</v>
      </c>
      <c r="M60" s="69">
        <f t="shared" si="32"/>
        <v>4.3999999999999984E-2</v>
      </c>
    </row>
    <row r="61" spans="4:13" x14ac:dyDescent="0.2">
      <c r="D61" s="71" t="s">
        <v>53</v>
      </c>
      <c r="E61" s="72"/>
      <c r="F61" s="72"/>
      <c r="G61" s="73"/>
      <c r="H61" s="74">
        <f>'[1]Wall Street Estimates'!D17</f>
        <v>4.2695080741859633E-2</v>
      </c>
      <c r="I61" s="74">
        <f>'[1]Wall Street Estimates'!E17</f>
        <v>4.2240851469131979E-2</v>
      </c>
      <c r="J61" s="74">
        <f>'[1]Wall Street Estimates'!F17</f>
        <v>4.3661922294476872E-2</v>
      </c>
      <c r="K61" s="74">
        <f>'[1]Wall Street Estimates'!G17</f>
        <v>4.5813105710718463E-2</v>
      </c>
      <c r="L61" s="74">
        <f>'[1]Wall Street Estimates'!H17</f>
        <v>4.5637604899543362E-2</v>
      </c>
      <c r="M61" s="74"/>
    </row>
    <row r="62" spans="4:13" x14ac:dyDescent="0.2">
      <c r="D62" s="15" t="s">
        <v>54</v>
      </c>
      <c r="E62" s="69">
        <f>E27/E26</f>
        <v>0.30307791847675386</v>
      </c>
      <c r="F62" s="69">
        <f>F27/F26</f>
        <v>0.30267844074742645</v>
      </c>
      <c r="G62" s="70">
        <f>G27/G26</f>
        <v>0.30417245255570985</v>
      </c>
      <c r="H62" s="62">
        <f>[1]Scenario!F14</f>
        <v>0.27500000000000002</v>
      </c>
      <c r="I62" s="62">
        <f>[1]Scenario!G14</f>
        <v>0.26500000000000001</v>
      </c>
      <c r="J62" s="62">
        <f>[1]Scenario!H14</f>
        <v>0.27500000000000002</v>
      </c>
      <c r="K62" s="62">
        <f>[1]Scenario!I14</f>
        <v>0.27500000000000002</v>
      </c>
      <c r="L62" s="62">
        <f>[1]Scenario!J14</f>
        <v>0.23300000000000001</v>
      </c>
      <c r="M62" s="62">
        <f>[1]Scenario!K14</f>
        <v>0.28000000000000003</v>
      </c>
    </row>
    <row r="63" spans="4:13" x14ac:dyDescent="0.2">
      <c r="D63" s="15" t="s">
        <v>35</v>
      </c>
      <c r="E63" s="69">
        <f>E32/E14</f>
        <v>3.0477257171302344E-2</v>
      </c>
      <c r="F63" s="69">
        <f>F32/F14</f>
        <v>2.8079354069890691E-2</v>
      </c>
      <c r="G63" s="70">
        <f>G32/G14</f>
        <v>1.9710478611672393E-2</v>
      </c>
      <c r="H63" s="69">
        <f ca="1">H32/H14</f>
        <v>2.6166330025101027E-2</v>
      </c>
      <c r="I63" s="69">
        <f t="shared" ref="I63:M63" ca="1" si="33">I32/I14</f>
        <v>2.7466798431645973E-2</v>
      </c>
      <c r="J63" s="69">
        <f t="shared" ca="1" si="33"/>
        <v>2.8724529934182379E-2</v>
      </c>
      <c r="K63" s="69">
        <f t="shared" ca="1" si="33"/>
        <v>2.9786194560222152E-2</v>
      </c>
      <c r="L63" s="69">
        <f t="shared" ca="1" si="33"/>
        <v>3.1571992520557084E-2</v>
      </c>
      <c r="M63" s="69">
        <f t="shared" ca="1" si="33"/>
        <v>2.9706610993958465E-2</v>
      </c>
    </row>
    <row r="64" spans="4:13" x14ac:dyDescent="0.2">
      <c r="D64" s="40" t="s">
        <v>55</v>
      </c>
      <c r="E64" s="69">
        <f>-E31/E30</f>
        <v>2.5596816976127319E-2</v>
      </c>
      <c r="F64" s="69">
        <f>-F31/F30</f>
        <v>4.5476806828517458E-2</v>
      </c>
      <c r="G64" s="70">
        <f>-G31/G30</f>
        <v>6.2814786657797203E-2</v>
      </c>
      <c r="H64" s="61">
        <v>0.04</v>
      </c>
      <c r="I64" s="62">
        <f>H64</f>
        <v>0.04</v>
      </c>
      <c r="J64" s="62">
        <f t="shared" ref="J64:M64" si="34">I64</f>
        <v>0.04</v>
      </c>
      <c r="K64" s="62">
        <f t="shared" si="34"/>
        <v>0.04</v>
      </c>
      <c r="L64" s="62">
        <f t="shared" si="34"/>
        <v>0.04</v>
      </c>
      <c r="M64" s="62">
        <f t="shared" si="34"/>
        <v>0.04</v>
      </c>
    </row>
    <row r="65" spans="4:13" x14ac:dyDescent="0.2">
      <c r="D65" s="15" t="s">
        <v>56</v>
      </c>
      <c r="E65" s="59">
        <f>-E146/E14</f>
        <v>2.3804782942359944E-2</v>
      </c>
      <c r="F65" s="59">
        <f t="shared" ref="F65:G65" si="35">-F146/F14</f>
        <v>2.1855505451012919E-2</v>
      </c>
      <c r="G65" s="60">
        <f t="shared" si="35"/>
        <v>2.1223440719666309E-2</v>
      </c>
      <c r="H65" s="62">
        <f>[1]Scenario!F15</f>
        <v>2.1073080336982419E-2</v>
      </c>
      <c r="I65" s="62">
        <f>[1]Scenario!G15</f>
        <v>2.0763253180536553E-2</v>
      </c>
      <c r="J65" s="62">
        <f>[1]Scenario!H15</f>
        <v>2.0399134425112778E-2</v>
      </c>
      <c r="K65" s="62">
        <f>[1]Scenario!I15</f>
        <v>1.9590236363571319E-2</v>
      </c>
      <c r="L65" s="62">
        <f>[1]Scenario!J15</f>
        <v>1.8980166030806472E-2</v>
      </c>
      <c r="M65" s="62">
        <f>[1]Scenario!K15</f>
        <v>0.02</v>
      </c>
    </row>
    <row r="66" spans="4:13" x14ac:dyDescent="0.2">
      <c r="D66" s="15" t="s">
        <v>46</v>
      </c>
      <c r="E66" s="59">
        <f>E47/E12</f>
        <v>1.9752869744721215E-2</v>
      </c>
      <c r="F66" s="59">
        <f>F47/F12</f>
        <v>2.0942538908868793E-2</v>
      </c>
      <c r="G66" s="60">
        <f>G47/G12</f>
        <v>2.1238056240809582E-2</v>
      </c>
      <c r="H66" s="75">
        <f t="shared" ref="H66:M66" si="36">H47/H12</f>
        <v>1.973474228619428E-2</v>
      </c>
      <c r="I66" s="75">
        <f t="shared" si="36"/>
        <v>2.0548945042936868E-2</v>
      </c>
      <c r="J66" s="75">
        <f t="shared" si="36"/>
        <v>2.1104518443176914E-2</v>
      </c>
      <c r="K66" s="75">
        <f t="shared" si="36"/>
        <v>2.1093508074605138E-2</v>
      </c>
      <c r="L66" s="75">
        <f t="shared" si="36"/>
        <v>2.1031617586657007E-2</v>
      </c>
      <c r="M66" s="75">
        <f t="shared" si="36"/>
        <v>2.0964151098742816E-2</v>
      </c>
    </row>
    <row r="67" spans="4:13" x14ac:dyDescent="0.2">
      <c r="D67" s="15" t="s">
        <v>48</v>
      </c>
      <c r="E67" s="59">
        <f t="shared" ref="E67:M67" si="37">E49/E14</f>
        <v>6.9605708004065292E-2</v>
      </c>
      <c r="F67" s="59">
        <f t="shared" si="37"/>
        <v>6.7597911388366919E-2</v>
      </c>
      <c r="G67" s="60">
        <f t="shared" si="37"/>
        <v>6.188954377297174E-2</v>
      </c>
      <c r="H67" s="59">
        <f t="shared" si="37"/>
        <v>6.0354017085371345E-2</v>
      </c>
      <c r="I67" s="59">
        <f t="shared" si="37"/>
        <v>6.2360763603031215E-2</v>
      </c>
      <c r="J67" s="59">
        <f t="shared" si="37"/>
        <v>6.491124921885158E-2</v>
      </c>
      <c r="K67" s="59">
        <f t="shared" si="37"/>
        <v>6.5900339680128026E-2</v>
      </c>
      <c r="L67" s="59">
        <f t="shared" si="37"/>
        <v>6.5339015967803366E-2</v>
      </c>
      <c r="M67" s="59">
        <f t="shared" si="37"/>
        <v>6.4772167318946861E-2</v>
      </c>
    </row>
    <row r="68" spans="4:13" x14ac:dyDescent="0.2">
      <c r="D68" s="71" t="s">
        <v>57</v>
      </c>
      <c r="E68" s="74"/>
      <c r="F68" s="74"/>
      <c r="G68" s="76"/>
      <c r="H68" s="74">
        <f>'[1]Wall Street Estimates'!D18</f>
        <v>6.3651369575034644E-2</v>
      </c>
      <c r="I68" s="74">
        <f>'[1]Wall Street Estimates'!E18</f>
        <v>6.3189305233239346E-2</v>
      </c>
      <c r="J68" s="74">
        <f>'[1]Wall Street Estimates'!F18</f>
        <v>6.3624196853498308E-2</v>
      </c>
      <c r="K68" s="74"/>
      <c r="L68" s="74"/>
      <c r="M68" s="74"/>
    </row>
    <row r="69" spans="4:13" x14ac:dyDescent="0.2">
      <c r="D69" s="77" t="s">
        <v>58</v>
      </c>
      <c r="E69" s="78">
        <f>E134/E19</f>
        <v>5.8494088363410079E-2</v>
      </c>
      <c r="F69" s="78">
        <f t="shared" ref="F69:G69" si="38">F134/F19</f>
        <v>9.0493762080477956E-3</v>
      </c>
      <c r="G69" s="79">
        <f t="shared" si="38"/>
        <v>5.9206341439545923E-2</v>
      </c>
      <c r="H69" s="80">
        <v>0.05</v>
      </c>
      <c r="I69" s="81">
        <f>H69</f>
        <v>0.05</v>
      </c>
      <c r="J69" s="81">
        <f t="shared" ref="J69:M69" si="39">I69</f>
        <v>0.05</v>
      </c>
      <c r="K69" s="81">
        <f t="shared" si="39"/>
        <v>0.05</v>
      </c>
      <c r="L69" s="81">
        <f t="shared" si="39"/>
        <v>0.05</v>
      </c>
      <c r="M69" s="81">
        <f t="shared" si="39"/>
        <v>0.05</v>
      </c>
    </row>
    <row r="70" spans="4:13" x14ac:dyDescent="0.2">
      <c r="D70" s="9"/>
      <c r="E70" s="9"/>
      <c r="F70" s="9"/>
      <c r="G70" s="82"/>
      <c r="H70" s="83"/>
      <c r="I70" s="83"/>
      <c r="J70" s="83"/>
      <c r="K70" s="83"/>
      <c r="L70" s="83"/>
      <c r="M70" s="83"/>
    </row>
    <row r="71" spans="4:13" x14ac:dyDescent="0.2">
      <c r="D71" s="9" t="s">
        <v>59</v>
      </c>
      <c r="E71" s="9"/>
      <c r="F71" s="9"/>
      <c r="G71" s="82"/>
      <c r="H71" s="83"/>
      <c r="I71" s="83"/>
      <c r="J71" s="83"/>
      <c r="K71" s="83"/>
      <c r="L71" s="83"/>
      <c r="M71" s="83"/>
    </row>
    <row r="72" spans="4:13" x14ac:dyDescent="0.2">
      <c r="D72" s="15" t="s">
        <v>60</v>
      </c>
      <c r="E72" s="84">
        <f>E12/E14</f>
        <v>0.99270736108518454</v>
      </c>
      <c r="F72" s="84">
        <f t="shared" ref="F72:G72" si="40">F12/F14</f>
        <v>0.99062306405171718</v>
      </c>
      <c r="G72" s="85">
        <f t="shared" si="40"/>
        <v>0.99084228219441461</v>
      </c>
      <c r="H72" s="62">
        <f>G72</f>
        <v>0.99084228219441461</v>
      </c>
      <c r="I72" s="62">
        <f t="shared" ref="I72:M73" si="41">H72</f>
        <v>0.99084228219441461</v>
      </c>
      <c r="J72" s="62">
        <f t="shared" si="41"/>
        <v>0.99084228219441461</v>
      </c>
      <c r="K72" s="62">
        <f t="shared" si="41"/>
        <v>0.99084228219441461</v>
      </c>
      <c r="L72" s="62">
        <f t="shared" si="41"/>
        <v>0.99084228219441461</v>
      </c>
      <c r="M72" s="62">
        <f t="shared" si="41"/>
        <v>0.99084228219441461</v>
      </c>
    </row>
    <row r="73" spans="4:13" x14ac:dyDescent="0.2">
      <c r="D73" s="15" t="s">
        <v>61</v>
      </c>
      <c r="E73" s="84">
        <f>E13/E14</f>
        <v>7.2926389148155061E-3</v>
      </c>
      <c r="F73" s="84">
        <f t="shared" ref="F73:G73" si="42">F13/F14</f>
        <v>9.3769359482827816E-3</v>
      </c>
      <c r="G73" s="85">
        <f t="shared" si="42"/>
        <v>9.1577178055853685E-3</v>
      </c>
      <c r="H73" s="62">
        <f>G73</f>
        <v>9.1577178055853685E-3</v>
      </c>
      <c r="I73" s="62">
        <f t="shared" si="41"/>
        <v>9.1577178055853685E-3</v>
      </c>
      <c r="J73" s="62">
        <f t="shared" si="41"/>
        <v>9.1577178055853685E-3</v>
      </c>
      <c r="K73" s="62">
        <f t="shared" si="41"/>
        <v>9.1577178055853685E-3</v>
      </c>
      <c r="L73" s="62">
        <f t="shared" si="41"/>
        <v>9.1577178055853685E-3</v>
      </c>
      <c r="M73" s="62">
        <f t="shared" si="41"/>
        <v>9.1577178055853685E-3</v>
      </c>
    </row>
    <row r="74" spans="4:13" x14ac:dyDescent="0.2">
      <c r="D74" s="32" t="s">
        <v>62</v>
      </c>
      <c r="E74" s="84">
        <f>SUM(E72:E73)</f>
        <v>1</v>
      </c>
      <c r="F74" s="84">
        <f t="shared" ref="F74:M74" si="43">SUM(F72:F73)</f>
        <v>1</v>
      </c>
      <c r="G74" s="85">
        <f t="shared" si="43"/>
        <v>1</v>
      </c>
      <c r="H74" s="59">
        <f t="shared" si="43"/>
        <v>1</v>
      </c>
      <c r="I74" s="59">
        <f t="shared" si="43"/>
        <v>1</v>
      </c>
      <c r="J74" s="59">
        <f t="shared" si="43"/>
        <v>1</v>
      </c>
      <c r="K74" s="59">
        <f t="shared" si="43"/>
        <v>1</v>
      </c>
      <c r="L74" s="59">
        <f t="shared" si="43"/>
        <v>1</v>
      </c>
      <c r="M74" s="59">
        <f t="shared" si="43"/>
        <v>1</v>
      </c>
    </row>
    <row r="75" spans="4:13" ht="16" thickBot="1" x14ac:dyDescent="0.25">
      <c r="D75" s="86"/>
      <c r="E75" s="86"/>
      <c r="F75" s="86"/>
      <c r="G75" s="87"/>
      <c r="H75" s="88"/>
      <c r="I75" s="88"/>
      <c r="J75" s="88"/>
      <c r="K75" s="88"/>
      <c r="L75" s="88"/>
      <c r="M75" s="88"/>
    </row>
    <row r="76" spans="4:13" x14ac:dyDescent="0.2">
      <c r="D76" s="4" t="s">
        <v>63</v>
      </c>
      <c r="H76" s="2"/>
      <c r="I76" s="2"/>
      <c r="J76" s="2"/>
      <c r="K76" s="2"/>
      <c r="L76" s="2"/>
      <c r="M76" s="2"/>
    </row>
    <row r="77" spans="4:13" x14ac:dyDescent="0.2">
      <c r="D77" s="5" t="s">
        <v>3</v>
      </c>
      <c r="E77" s="6"/>
      <c r="F77" s="6"/>
      <c r="G77" s="6"/>
      <c r="H77" s="6"/>
      <c r="I77" s="6"/>
      <c r="J77" s="6"/>
      <c r="K77" s="6"/>
      <c r="L77" s="6"/>
      <c r="M77" s="6"/>
    </row>
    <row r="78" spans="4:13" ht="16" thickBot="1" x14ac:dyDescent="0.25">
      <c r="D78" s="9"/>
      <c r="E78" s="10" t="s">
        <v>4</v>
      </c>
      <c r="F78" s="10"/>
      <c r="G78" s="10"/>
      <c r="H78" s="89" t="s">
        <v>5</v>
      </c>
      <c r="I78" s="89"/>
      <c r="J78" s="89"/>
      <c r="K78" s="89"/>
      <c r="L78" s="89"/>
      <c r="M78" s="89"/>
    </row>
    <row r="79" spans="4:13" x14ac:dyDescent="0.2">
      <c r="D79" s="7"/>
      <c r="E79" s="12"/>
      <c r="F79" s="13" t="s">
        <v>7</v>
      </c>
      <c r="G79" s="14" t="s">
        <v>8</v>
      </c>
      <c r="H79" s="13" t="s">
        <v>9</v>
      </c>
      <c r="I79" s="13" t="s">
        <v>10</v>
      </c>
      <c r="J79" s="13" t="s">
        <v>11</v>
      </c>
      <c r="K79" s="13" t="s">
        <v>12</v>
      </c>
      <c r="L79" s="13" t="s">
        <v>13</v>
      </c>
      <c r="M79" s="13" t="s">
        <v>14</v>
      </c>
    </row>
    <row r="80" spans="4:13" x14ac:dyDescent="0.2">
      <c r="D80" s="4" t="s">
        <v>64</v>
      </c>
      <c r="E80" s="83"/>
      <c r="F80" s="90"/>
      <c r="G80" s="91"/>
      <c r="H80" s="90"/>
      <c r="I80" s="90"/>
      <c r="J80" s="90"/>
      <c r="K80" s="90"/>
      <c r="L80" s="90"/>
      <c r="M80" s="90"/>
    </row>
    <row r="81" spans="2:22" ht="18" customHeight="1" x14ac:dyDescent="0.2">
      <c r="D81" s="15" t="s">
        <v>65</v>
      </c>
      <c r="F81" s="92">
        <v>6867</v>
      </c>
      <c r="G81" s="93">
        <v>6756</v>
      </c>
      <c r="H81" s="94">
        <f ca="1">G81+H159</f>
        <v>5514.752113627881</v>
      </c>
      <c r="I81" s="94">
        <f ca="1">H81+I159</f>
        <v>7522.8312041964437</v>
      </c>
      <c r="J81" s="94">
        <f t="shared" ref="J81:M81" ca="1" si="44">I81+J159</f>
        <v>9953.7526606026167</v>
      </c>
      <c r="K81" s="94">
        <f t="shared" ca="1" si="44"/>
        <v>20426.448438981832</v>
      </c>
      <c r="L81" s="94">
        <f t="shared" ca="1" si="44"/>
        <v>30301.72140234313</v>
      </c>
      <c r="M81" s="94">
        <f t="shared" ca="1" si="44"/>
        <v>39529.387432824638</v>
      </c>
      <c r="N81" s="95"/>
      <c r="O81" s="95"/>
      <c r="P81" s="95"/>
      <c r="Q81" s="95"/>
      <c r="R81" s="95"/>
      <c r="S81" s="95"/>
      <c r="T81" s="95"/>
      <c r="U81" s="95"/>
      <c r="V81" s="95"/>
    </row>
    <row r="82" spans="2:22" ht="18" customHeight="1" x14ac:dyDescent="0.2">
      <c r="D82" s="15" t="s">
        <v>66</v>
      </c>
      <c r="F82" s="92">
        <v>5835</v>
      </c>
      <c r="G82" s="93">
        <v>5614</v>
      </c>
      <c r="H82" s="18">
        <f>H118/365*H14</f>
        <v>5764.2735163677726</v>
      </c>
      <c r="I82" s="18">
        <f t="shared" ref="I82:M82" si="45">I118/365*I14</f>
        <v>5937.2905866575538</v>
      </c>
      <c r="J82" s="18">
        <f t="shared" si="45"/>
        <v>6061.4207973330304</v>
      </c>
      <c r="K82" s="18">
        <f t="shared" si="45"/>
        <v>6272.7552019314762</v>
      </c>
      <c r="L82" s="18">
        <f t="shared" si="45"/>
        <v>6452.5044539445953</v>
      </c>
      <c r="M82" s="18">
        <f t="shared" si="45"/>
        <v>6626.7220742010986</v>
      </c>
      <c r="N82" s="96"/>
      <c r="O82" s="97"/>
      <c r="P82" s="98"/>
      <c r="Q82" s="97"/>
      <c r="R82" s="98"/>
      <c r="S82" s="95"/>
      <c r="T82" s="95"/>
      <c r="U82" s="95"/>
      <c r="V82" s="95"/>
    </row>
    <row r="83" spans="2:22" ht="18" customHeight="1" x14ac:dyDescent="0.2">
      <c r="D83" s="15" t="s">
        <v>67</v>
      </c>
      <c r="F83" s="92">
        <v>43046</v>
      </c>
      <c r="G83" s="93">
        <v>43783</v>
      </c>
      <c r="H83" s="18">
        <f>H119/365*H16</f>
        <v>45299.529916164072</v>
      </c>
      <c r="I83" s="18">
        <f t="shared" ref="I83:M83" si="46">I119/365*I16</f>
        <v>46659.214172878121</v>
      </c>
      <c r="J83" s="18">
        <f t="shared" si="46"/>
        <v>47571.368644085633</v>
      </c>
      <c r="K83" s="18">
        <f t="shared" si="46"/>
        <v>49557.730477005651</v>
      </c>
      <c r="L83" s="18">
        <f t="shared" si="46"/>
        <v>50977.834513899455</v>
      </c>
      <c r="M83" s="18">
        <f t="shared" si="46"/>
        <v>52354.236045774735</v>
      </c>
      <c r="O83" s="97"/>
      <c r="P83" s="97"/>
      <c r="Q83" s="97"/>
      <c r="R83" s="97"/>
      <c r="S83" s="95"/>
      <c r="T83" s="95"/>
      <c r="U83" s="95"/>
      <c r="V83" s="95"/>
    </row>
    <row r="84" spans="2:22" ht="18" customHeight="1" x14ac:dyDescent="0.2">
      <c r="D84" s="99" t="s">
        <v>68</v>
      </c>
      <c r="E84" s="6"/>
      <c r="F84" s="100">
        <v>1941</v>
      </c>
      <c r="G84" s="101">
        <v>3511</v>
      </c>
      <c r="H84" s="21">
        <f>H120/365*H18</f>
        <v>3508.893571413013</v>
      </c>
      <c r="I84" s="21">
        <f t="shared" ref="I84:M84" si="47">I120/365*I18</f>
        <v>3593.2827292836355</v>
      </c>
      <c r="J84" s="21">
        <f t="shared" si="47"/>
        <v>3650.5992521359494</v>
      </c>
      <c r="K84" s="21">
        <f t="shared" si="47"/>
        <v>3667.3071092479581</v>
      </c>
      <c r="L84" s="21">
        <f t="shared" si="47"/>
        <v>3781.8741939066758</v>
      </c>
      <c r="M84" s="21">
        <f t="shared" si="47"/>
        <v>3893.7190948793541</v>
      </c>
      <c r="O84" s="97"/>
      <c r="R84" s="97"/>
      <c r="T84" s="97"/>
      <c r="V84" s="97"/>
    </row>
    <row r="85" spans="2:22" ht="18" customHeight="1" x14ac:dyDescent="0.2">
      <c r="D85" s="4" t="s">
        <v>69</v>
      </c>
      <c r="F85" s="102">
        <f>SUM(F81:F84)</f>
        <v>57689</v>
      </c>
      <c r="G85" s="103">
        <f>SUM(G81:G84)</f>
        <v>59664</v>
      </c>
      <c r="H85" s="104">
        <f ca="1">SUM(H81:H84)</f>
        <v>60087.449117572738</v>
      </c>
      <c r="I85" s="104">
        <f t="shared" ref="I85:M85" ca="1" si="48">SUM(I81:I84)</f>
        <v>63712.618693015756</v>
      </c>
      <c r="J85" s="104">
        <f t="shared" ca="1" si="48"/>
        <v>67237.141354157226</v>
      </c>
      <c r="K85" s="104">
        <f t="shared" ca="1" si="48"/>
        <v>79924.241227166902</v>
      </c>
      <c r="L85" s="104">
        <f t="shared" ca="1" si="48"/>
        <v>91513.93456409387</v>
      </c>
      <c r="M85" s="104">
        <f t="shared" ca="1" si="48"/>
        <v>102404.06464767983</v>
      </c>
      <c r="O85" s="97"/>
      <c r="Q85" s="97"/>
      <c r="R85" s="97"/>
      <c r="T85" s="97"/>
      <c r="U85" s="95"/>
      <c r="V85" s="95"/>
    </row>
    <row r="86" spans="2:22" ht="18" customHeight="1" x14ac:dyDescent="0.2">
      <c r="D86" s="15" t="s">
        <v>70</v>
      </c>
      <c r="F86" s="92">
        <v>107710</v>
      </c>
      <c r="G86" s="93">
        <v>107675</v>
      </c>
      <c r="H86" s="94">
        <f>G86-H133-H146</f>
        <v>108356.2560256664</v>
      </c>
      <c r="I86" s="94">
        <f t="shared" ref="I86:M86" si="49">H86-I133-I146</f>
        <v>108468.61995501087</v>
      </c>
      <c r="J86" s="94">
        <f t="shared" si="49"/>
        <v>108091.04776303456</v>
      </c>
      <c r="K86" s="94">
        <f t="shared" si="49"/>
        <v>107258.33393809346</v>
      </c>
      <c r="L86" s="94">
        <f t="shared" si="49"/>
        <v>106089.40117957692</v>
      </c>
      <c r="M86" s="94">
        <f t="shared" si="49"/>
        <v>105525.18724487629</v>
      </c>
      <c r="O86" s="97"/>
      <c r="Q86" s="97"/>
      <c r="R86" s="97"/>
      <c r="T86" s="97"/>
      <c r="U86" s="95"/>
      <c r="V86" s="95"/>
    </row>
    <row r="87" spans="2:22" ht="18" customHeight="1" x14ac:dyDescent="0.2">
      <c r="D87" s="15" t="s">
        <v>71</v>
      </c>
      <c r="F87" s="92">
        <v>6468</v>
      </c>
      <c r="G87" s="93">
        <v>7143</v>
      </c>
      <c r="H87" s="94">
        <f>G87</f>
        <v>7143</v>
      </c>
      <c r="I87" s="94">
        <f t="shared" ref="I87:M89" si="50">H87</f>
        <v>7143</v>
      </c>
      <c r="J87" s="94">
        <f t="shared" si="50"/>
        <v>7143</v>
      </c>
      <c r="K87" s="94">
        <f t="shared" si="50"/>
        <v>7143</v>
      </c>
      <c r="L87" s="94">
        <f t="shared" si="50"/>
        <v>7143</v>
      </c>
      <c r="M87" s="94">
        <f t="shared" si="50"/>
        <v>7143</v>
      </c>
      <c r="O87" s="97"/>
      <c r="Q87" s="97"/>
      <c r="R87" s="97"/>
      <c r="T87" s="97"/>
      <c r="U87" s="95"/>
      <c r="V87" s="95"/>
    </row>
    <row r="88" spans="2:22" ht="18" customHeight="1" x14ac:dyDescent="0.2">
      <c r="D88" s="15" t="s">
        <v>72</v>
      </c>
      <c r="F88" s="92">
        <v>17037</v>
      </c>
      <c r="G88" s="93">
        <v>18242</v>
      </c>
      <c r="H88" s="105">
        <f>G88</f>
        <v>18242</v>
      </c>
      <c r="I88" s="105">
        <f t="shared" si="50"/>
        <v>18242</v>
      </c>
      <c r="J88" s="105">
        <f t="shared" si="50"/>
        <v>18242</v>
      </c>
      <c r="K88" s="105">
        <f t="shared" si="50"/>
        <v>18242</v>
      </c>
      <c r="L88" s="105">
        <f t="shared" si="50"/>
        <v>18242</v>
      </c>
      <c r="M88" s="105">
        <f t="shared" si="50"/>
        <v>18242</v>
      </c>
      <c r="O88" s="97"/>
      <c r="Q88" s="97"/>
      <c r="R88" s="97"/>
      <c r="T88" s="97"/>
      <c r="U88" s="95"/>
      <c r="V88" s="95"/>
    </row>
    <row r="89" spans="2:22" ht="18" customHeight="1" thickBot="1" x14ac:dyDescent="0.25">
      <c r="D89" s="106" t="s">
        <v>73</v>
      </c>
      <c r="E89" s="88"/>
      <c r="F89" s="107">
        <v>9921</v>
      </c>
      <c r="G89" s="108">
        <v>11798</v>
      </c>
      <c r="H89" s="109">
        <f>G89</f>
        <v>11798</v>
      </c>
      <c r="I89" s="109">
        <f t="shared" si="50"/>
        <v>11798</v>
      </c>
      <c r="J89" s="109">
        <f t="shared" si="50"/>
        <v>11798</v>
      </c>
      <c r="K89" s="109">
        <f t="shared" si="50"/>
        <v>11798</v>
      </c>
      <c r="L89" s="109">
        <f t="shared" si="50"/>
        <v>11798</v>
      </c>
      <c r="M89" s="109">
        <f t="shared" si="50"/>
        <v>11798</v>
      </c>
      <c r="O89" s="97"/>
      <c r="Q89" s="97"/>
      <c r="R89" s="97"/>
      <c r="T89" s="97"/>
      <c r="U89" s="95"/>
      <c r="V89" s="95"/>
    </row>
    <row r="90" spans="2:22" ht="18" customHeight="1" x14ac:dyDescent="0.2">
      <c r="D90" s="4" t="s">
        <v>74</v>
      </c>
      <c r="F90" s="102">
        <f>F85+F86+F87+F88+F89</f>
        <v>198825</v>
      </c>
      <c r="G90" s="103">
        <f>G85+G86+G87+G88+G89</f>
        <v>204522</v>
      </c>
      <c r="H90" s="102">
        <f ca="1">H85+H86+H87+H88+H89</f>
        <v>205626.70514323915</v>
      </c>
      <c r="I90" s="102">
        <f t="shared" ref="I90:M90" ca="1" si="51">I85+I86+I87+I88+I89</f>
        <v>209364.23864802663</v>
      </c>
      <c r="J90" s="102">
        <f t="shared" ca="1" si="51"/>
        <v>212511.18911719177</v>
      </c>
      <c r="K90" s="102">
        <f t="shared" ca="1" si="51"/>
        <v>224365.57516526035</v>
      </c>
      <c r="L90" s="102">
        <f t="shared" ca="1" si="51"/>
        <v>234786.33574367079</v>
      </c>
      <c r="M90" s="102">
        <f t="shared" ca="1" si="51"/>
        <v>245112.25189255612</v>
      </c>
      <c r="O90" s="97"/>
      <c r="Q90" s="97"/>
      <c r="R90" s="97"/>
      <c r="T90" s="95"/>
      <c r="U90" s="95"/>
      <c r="V90" s="95"/>
    </row>
    <row r="91" spans="2:22" ht="18" customHeight="1" x14ac:dyDescent="0.2">
      <c r="D91" s="4"/>
      <c r="F91" s="102"/>
      <c r="G91" s="103"/>
      <c r="H91" s="110"/>
      <c r="I91" s="110"/>
      <c r="J91" s="110"/>
      <c r="K91" s="110"/>
      <c r="L91" s="110"/>
      <c r="M91" s="110"/>
      <c r="O91" s="97"/>
      <c r="Q91" s="97"/>
      <c r="R91" s="97"/>
      <c r="T91" s="95"/>
      <c r="U91" s="95"/>
      <c r="V91" s="95"/>
    </row>
    <row r="92" spans="2:22" ht="18" customHeight="1" x14ac:dyDescent="0.2">
      <c r="D92" s="4" t="s">
        <v>75</v>
      </c>
      <c r="F92" s="111"/>
      <c r="G92" s="112"/>
      <c r="H92" s="110"/>
      <c r="I92" s="110"/>
      <c r="J92" s="110"/>
      <c r="K92" s="110"/>
      <c r="L92" s="110"/>
      <c r="M92" s="110"/>
      <c r="O92" s="97"/>
      <c r="Q92" s="97"/>
      <c r="R92" s="97"/>
      <c r="T92" s="97"/>
      <c r="U92" s="95"/>
      <c r="V92" s="95"/>
    </row>
    <row r="93" spans="2:22" ht="18" customHeight="1" x14ac:dyDescent="0.2">
      <c r="B93" s="113" t="s">
        <v>76</v>
      </c>
      <c r="C93" s="113"/>
      <c r="D93" s="15" t="s">
        <v>77</v>
      </c>
      <c r="F93" s="92">
        <v>3355</v>
      </c>
      <c r="G93" s="93">
        <v>5257</v>
      </c>
      <c r="H93" s="94">
        <f ca="1">G93+H151</f>
        <v>0</v>
      </c>
      <c r="I93" s="94">
        <f t="shared" ref="I93:M93" ca="1" si="52">H93+I151</f>
        <v>0</v>
      </c>
      <c r="J93" s="94">
        <f t="shared" ca="1" si="52"/>
        <v>0</v>
      </c>
      <c r="K93" s="94">
        <f t="shared" ca="1" si="52"/>
        <v>0</v>
      </c>
      <c r="L93" s="94">
        <f t="shared" ca="1" si="52"/>
        <v>0</v>
      </c>
      <c r="M93" s="94">
        <f t="shared" ca="1" si="52"/>
        <v>0</v>
      </c>
      <c r="O93" s="97"/>
      <c r="R93" s="97"/>
      <c r="V93" s="97"/>
    </row>
    <row r="94" spans="2:22" ht="18" customHeight="1" x14ac:dyDescent="0.2">
      <c r="B94" s="113" t="s">
        <v>78</v>
      </c>
      <c r="C94" s="113"/>
      <c r="D94" s="15" t="s">
        <v>79</v>
      </c>
      <c r="F94" s="92">
        <v>41433</v>
      </c>
      <c r="G94" s="93">
        <v>46092</v>
      </c>
      <c r="H94" s="114">
        <f>H121/365*H16</f>
        <v>47688.50770609219</v>
      </c>
      <c r="I94" s="114">
        <f t="shared" ref="I94:M94" si="53">I121/365*I16</f>
        <v>49119.898126128821</v>
      </c>
      <c r="J94" s="114">
        <f t="shared" si="53"/>
        <v>50080.157219541717</v>
      </c>
      <c r="K94" s="114">
        <f t="shared" si="53"/>
        <v>52171.274539116646</v>
      </c>
      <c r="L94" s="114">
        <f t="shared" si="53"/>
        <v>53666.271119262121</v>
      </c>
      <c r="M94" s="114">
        <f t="shared" si="53"/>
        <v>55115.26043948219</v>
      </c>
      <c r="O94" s="97"/>
      <c r="Q94" s="97"/>
      <c r="R94" s="97"/>
      <c r="T94" s="95"/>
      <c r="U94" s="95"/>
      <c r="V94" s="95"/>
    </row>
    <row r="95" spans="2:22" ht="18" customHeight="1" x14ac:dyDescent="0.2">
      <c r="B95" s="113" t="s">
        <v>80</v>
      </c>
      <c r="C95" s="113"/>
      <c r="D95" s="15" t="s">
        <v>81</v>
      </c>
      <c r="F95" s="92">
        <v>20654</v>
      </c>
      <c r="G95" s="93">
        <v>22122</v>
      </c>
      <c r="H95" s="114">
        <f>H122/365*H18</f>
        <v>22108.727880033799</v>
      </c>
      <c r="I95" s="114">
        <f t="shared" ref="I95:M95" si="54">I122/365*I18</f>
        <v>22640.444470866583</v>
      </c>
      <c r="J95" s="114">
        <f t="shared" si="54"/>
        <v>23001.582641911555</v>
      </c>
      <c r="K95" s="114">
        <f t="shared" si="54"/>
        <v>23106.854990254436</v>
      </c>
      <c r="L95" s="114">
        <f t="shared" si="54"/>
        <v>23828.715727030325</v>
      </c>
      <c r="M95" s="114">
        <f t="shared" si="54"/>
        <v>24533.424613193125</v>
      </c>
      <c r="O95" s="97"/>
      <c r="Q95" s="97"/>
      <c r="R95" s="97"/>
      <c r="T95" s="95"/>
      <c r="U95" s="95"/>
      <c r="V95" s="95"/>
    </row>
    <row r="96" spans="2:22" ht="18" customHeight="1" x14ac:dyDescent="0.2">
      <c r="D96" s="99" t="s">
        <v>82</v>
      </c>
      <c r="E96" s="6"/>
      <c r="F96" s="100">
        <v>921</v>
      </c>
      <c r="G96" s="101">
        <v>645</v>
      </c>
      <c r="H96" s="115">
        <f ca="1">H123*H27</f>
        <v>744.74595277358014</v>
      </c>
      <c r="I96" s="115">
        <f t="shared" ref="I96:M96" ca="1" si="55">I123*I27</f>
        <v>765.38676829275994</v>
      </c>
      <c r="J96" s="115">
        <f t="shared" ca="1" si="55"/>
        <v>859.70236643449641</v>
      </c>
      <c r="K96" s="115">
        <f t="shared" ca="1" si="55"/>
        <v>922.55893272888352</v>
      </c>
      <c r="L96" s="115">
        <f t="shared" ca="1" si="55"/>
        <v>805.59531363450651</v>
      </c>
      <c r="M96" s="115">
        <f t="shared" ca="1" si="55"/>
        <v>996.56004381210766</v>
      </c>
      <c r="O96" s="97"/>
      <c r="R96" s="97"/>
      <c r="T96" s="97"/>
      <c r="V96" s="97"/>
    </row>
    <row r="97" spans="2:22" ht="18" customHeight="1" x14ac:dyDescent="0.2">
      <c r="D97" s="4" t="s">
        <v>83</v>
      </c>
      <c r="F97" s="102">
        <f>SUM(F93:F96)</f>
        <v>66363</v>
      </c>
      <c r="G97" s="103">
        <f>SUM(G93:G96)</f>
        <v>74116</v>
      </c>
      <c r="H97" s="104">
        <f ca="1">SUM(H93:H96)</f>
        <v>70541.981538899563</v>
      </c>
      <c r="I97" s="104">
        <f t="shared" ref="I97:M97" ca="1" si="56">SUM(I93:I96)</f>
        <v>72525.729365288178</v>
      </c>
      <c r="J97" s="104">
        <f t="shared" ca="1" si="56"/>
        <v>73941.442227887776</v>
      </c>
      <c r="K97" s="104">
        <f t="shared" ca="1" si="56"/>
        <v>76200.688462099963</v>
      </c>
      <c r="L97" s="104">
        <f t="shared" ca="1" si="56"/>
        <v>78300.582159926955</v>
      </c>
      <c r="M97" s="104">
        <f t="shared" ca="1" si="56"/>
        <v>80645.245096487415</v>
      </c>
      <c r="O97" s="97"/>
      <c r="Q97" s="97"/>
      <c r="R97" s="97"/>
      <c r="T97" s="97"/>
      <c r="U97" s="95"/>
      <c r="V97" s="95"/>
    </row>
    <row r="98" spans="2:22" ht="18" customHeight="1" x14ac:dyDescent="0.2">
      <c r="D98" s="15" t="s">
        <v>84</v>
      </c>
      <c r="F98" s="92">
        <v>36015</v>
      </c>
      <c r="G98" s="93">
        <v>33783</v>
      </c>
      <c r="H98" s="94">
        <f>G98+H152</f>
        <v>37550</v>
      </c>
      <c r="I98" s="94">
        <f t="shared" ref="I98:M99" si="57">H98+I152</f>
        <v>37636</v>
      </c>
      <c r="J98" s="94">
        <f t="shared" si="57"/>
        <v>34300</v>
      </c>
      <c r="K98" s="94">
        <f t="shared" si="57"/>
        <v>33693</v>
      </c>
      <c r="L98" s="94">
        <f t="shared" si="57"/>
        <v>30759</v>
      </c>
      <c r="M98" s="94">
        <f t="shared" si="57"/>
        <v>27825</v>
      </c>
      <c r="O98" s="97"/>
      <c r="Q98" s="97"/>
      <c r="R98" s="97"/>
      <c r="T98" s="97"/>
      <c r="U98" s="95"/>
      <c r="V98" s="95"/>
    </row>
    <row r="99" spans="2:22" ht="18" customHeight="1" x14ac:dyDescent="0.2">
      <c r="D99" s="15" t="s">
        <v>85</v>
      </c>
      <c r="F99" s="92">
        <v>6568</v>
      </c>
      <c r="G99" s="93">
        <v>7447</v>
      </c>
      <c r="H99" s="94">
        <f>G99+H153</f>
        <v>6408</v>
      </c>
      <c r="I99" s="94">
        <f t="shared" si="57"/>
        <v>5421</v>
      </c>
      <c r="J99" s="94">
        <f t="shared" si="57"/>
        <v>4479</v>
      </c>
      <c r="K99" s="94">
        <f t="shared" si="57"/>
        <v>3636</v>
      </c>
      <c r="L99" s="94">
        <f t="shared" si="57"/>
        <v>2940</v>
      </c>
      <c r="M99" s="94">
        <f t="shared" si="57"/>
        <v>2244</v>
      </c>
      <c r="O99" s="97"/>
      <c r="Q99" s="97"/>
      <c r="R99" s="97"/>
      <c r="T99" s="97"/>
      <c r="U99" s="95"/>
      <c r="V99" s="95"/>
    </row>
    <row r="100" spans="2:22" ht="18" customHeight="1" x14ac:dyDescent="0.2">
      <c r="D100" s="99" t="s">
        <v>86</v>
      </c>
      <c r="E100" s="6"/>
      <c r="F100" s="100">
        <v>9344</v>
      </c>
      <c r="G100" s="101">
        <v>8354</v>
      </c>
      <c r="H100" s="116">
        <f>G100</f>
        <v>8354</v>
      </c>
      <c r="I100" s="116">
        <f t="shared" ref="I100:M100" si="58">H100</f>
        <v>8354</v>
      </c>
      <c r="J100" s="116">
        <f t="shared" si="58"/>
        <v>8354</v>
      </c>
      <c r="K100" s="116">
        <f t="shared" si="58"/>
        <v>8354</v>
      </c>
      <c r="L100" s="116">
        <f t="shared" si="58"/>
        <v>8354</v>
      </c>
      <c r="M100" s="116">
        <f t="shared" si="58"/>
        <v>8354</v>
      </c>
      <c r="O100" s="97"/>
      <c r="Q100" s="97"/>
      <c r="R100" s="97"/>
      <c r="T100" s="95"/>
      <c r="U100" s="95"/>
      <c r="V100" s="95"/>
    </row>
    <row r="101" spans="2:22" ht="18" customHeight="1" x14ac:dyDescent="0.2">
      <c r="D101" s="4" t="s">
        <v>87</v>
      </c>
      <c r="F101" s="102">
        <f>F97+SUM(F98:F100)</f>
        <v>118290</v>
      </c>
      <c r="G101" s="103">
        <f>G97+SUM(G98:G100)</f>
        <v>123700</v>
      </c>
      <c r="H101" s="102">
        <f ca="1">H97+SUM(H98:H100)</f>
        <v>122853.98153889956</v>
      </c>
      <c r="I101" s="102">
        <f t="shared" ref="I101:M101" ca="1" si="59">I97+SUM(I98:I100)</f>
        <v>123936.72936528818</v>
      </c>
      <c r="J101" s="102">
        <f t="shared" ca="1" si="59"/>
        <v>121074.44222788778</v>
      </c>
      <c r="K101" s="102">
        <f t="shared" ca="1" si="59"/>
        <v>121883.68846209996</v>
      </c>
      <c r="L101" s="102">
        <f t="shared" ca="1" si="59"/>
        <v>120353.58215992695</v>
      </c>
      <c r="M101" s="102">
        <f t="shared" ca="1" si="59"/>
        <v>119068.24509648742</v>
      </c>
      <c r="O101" s="97"/>
      <c r="Q101" s="97"/>
      <c r="R101" s="97"/>
      <c r="T101" s="97"/>
      <c r="U101" s="95"/>
      <c r="V101" s="95"/>
    </row>
    <row r="102" spans="2:22" ht="18" customHeight="1" x14ac:dyDescent="0.2">
      <c r="D102" s="4"/>
      <c r="F102" s="102"/>
      <c r="G102" s="103"/>
      <c r="H102" s="2"/>
      <c r="I102" s="2"/>
      <c r="J102" s="2"/>
      <c r="K102" s="2"/>
      <c r="L102" s="2"/>
      <c r="M102" s="2"/>
      <c r="O102" s="97"/>
      <c r="Q102" s="97"/>
      <c r="R102" s="97"/>
      <c r="T102" s="97"/>
      <c r="U102" s="95"/>
      <c r="V102" s="95"/>
    </row>
    <row r="103" spans="2:22" ht="18" customHeight="1" x14ac:dyDescent="0.2">
      <c r="D103" s="4" t="s">
        <v>88</v>
      </c>
      <c r="F103" s="102"/>
      <c r="G103" s="103"/>
      <c r="H103" s="2"/>
      <c r="I103" s="2"/>
      <c r="J103" s="2"/>
      <c r="K103" s="2"/>
      <c r="L103" s="2"/>
      <c r="M103" s="2"/>
      <c r="O103" s="97"/>
      <c r="Q103" s="97"/>
      <c r="R103" s="97"/>
      <c r="T103" s="97"/>
      <c r="U103" s="95"/>
      <c r="V103" s="95"/>
    </row>
    <row r="104" spans="2:22" ht="18" customHeight="1" x14ac:dyDescent="0.2">
      <c r="D104" s="15" t="s">
        <v>89</v>
      </c>
      <c r="F104" s="92">
        <v>305</v>
      </c>
      <c r="G104" s="93">
        <v>295</v>
      </c>
      <c r="H104" s="105">
        <f>G104</f>
        <v>295</v>
      </c>
      <c r="I104" s="105">
        <f t="shared" ref="I104:M104" si="60">H104</f>
        <v>295</v>
      </c>
      <c r="J104" s="105">
        <f t="shared" si="60"/>
        <v>295</v>
      </c>
      <c r="K104" s="105">
        <f t="shared" si="60"/>
        <v>295</v>
      </c>
      <c r="L104" s="105">
        <f t="shared" si="60"/>
        <v>295</v>
      </c>
      <c r="M104" s="105">
        <f t="shared" si="60"/>
        <v>295</v>
      </c>
      <c r="O104" s="97"/>
      <c r="Q104" s="97"/>
      <c r="R104" s="97"/>
      <c r="T104" s="95"/>
      <c r="U104" s="95"/>
      <c r="V104" s="95"/>
    </row>
    <row r="105" spans="2:22" ht="18" customHeight="1" x14ac:dyDescent="0.2">
      <c r="D105" s="15" t="s">
        <v>90</v>
      </c>
      <c r="F105" s="92">
        <v>2371</v>
      </c>
      <c r="G105" s="93">
        <v>2648</v>
      </c>
      <c r="H105" s="105">
        <f t="shared" ref="H105:M108" si="61">G105</f>
        <v>2648</v>
      </c>
      <c r="I105" s="105">
        <f t="shared" si="61"/>
        <v>2648</v>
      </c>
      <c r="J105" s="105">
        <f t="shared" si="61"/>
        <v>2648</v>
      </c>
      <c r="K105" s="105">
        <f t="shared" si="61"/>
        <v>2648</v>
      </c>
      <c r="L105" s="105">
        <f t="shared" si="61"/>
        <v>2648</v>
      </c>
      <c r="M105" s="105">
        <f t="shared" si="61"/>
        <v>2648</v>
      </c>
      <c r="O105" s="97"/>
      <c r="Q105" s="97"/>
      <c r="R105" s="97"/>
      <c r="T105" s="95"/>
      <c r="U105" s="95"/>
      <c r="V105" s="95"/>
    </row>
    <row r="106" spans="2:22" ht="18" customHeight="1" x14ac:dyDescent="0.2">
      <c r="B106" s="113" t="s">
        <v>91</v>
      </c>
      <c r="C106" s="113"/>
      <c r="D106" s="15" t="s">
        <v>92</v>
      </c>
      <c r="F106" s="92">
        <v>0</v>
      </c>
      <c r="G106" s="93">
        <v>0</v>
      </c>
      <c r="H106" s="94">
        <f>G106+H155</f>
        <v>-7000</v>
      </c>
      <c r="I106" s="94">
        <f>H106+I155</f>
        <v>-14000</v>
      </c>
      <c r="J106" s="94">
        <f t="shared" ref="J106:M106" si="62">I106+J155</f>
        <v>-18300</v>
      </c>
      <c r="K106" s="94">
        <f t="shared" si="62"/>
        <v>-18300</v>
      </c>
      <c r="L106" s="94">
        <f t="shared" si="62"/>
        <v>-18300</v>
      </c>
      <c r="M106" s="94">
        <f t="shared" si="62"/>
        <v>-18300</v>
      </c>
      <c r="O106" s="97"/>
      <c r="Q106" s="97"/>
      <c r="R106" s="97"/>
      <c r="T106" s="95"/>
      <c r="U106" s="95"/>
      <c r="V106" s="95"/>
    </row>
    <row r="107" spans="2:22" ht="18" customHeight="1" x14ac:dyDescent="0.2">
      <c r="B107" s="113" t="s">
        <v>93</v>
      </c>
      <c r="C107" s="113"/>
      <c r="D107" s="15" t="s">
        <v>94</v>
      </c>
      <c r="F107" s="92">
        <v>89354</v>
      </c>
      <c r="G107" s="93">
        <v>85107</v>
      </c>
      <c r="H107" s="94">
        <f ca="1">G107+H132+H134+H154</f>
        <v>94057.723604339568</v>
      </c>
      <c r="I107" s="94">
        <f t="shared" ref="I107:M107" ca="1" si="63">H107+I132+I134+I154</f>
        <v>103712.50928273845</v>
      </c>
      <c r="J107" s="94">
        <f t="shared" ca="1" si="63"/>
        <v>114021.74688930402</v>
      </c>
      <c r="K107" s="94">
        <f t="shared" ca="1" si="63"/>
        <v>125066.88670316045</v>
      </c>
      <c r="L107" s="94">
        <f t="shared" ca="1" si="63"/>
        <v>137017.75358374385</v>
      </c>
      <c r="M107" s="94">
        <f t="shared" ca="1" si="63"/>
        <v>148629.00679606872</v>
      </c>
      <c r="O107" s="97"/>
      <c r="Q107" s="97"/>
      <c r="R107" s="97"/>
      <c r="T107" s="95"/>
      <c r="U107" s="95"/>
      <c r="V107" s="95"/>
    </row>
    <row r="108" spans="2:22" ht="18" customHeight="1" x14ac:dyDescent="0.2">
      <c r="D108" s="99" t="s">
        <v>95</v>
      </c>
      <c r="E108" s="6"/>
      <c r="F108" s="100">
        <v>-14232</v>
      </c>
      <c r="G108" s="101">
        <v>-10181</v>
      </c>
      <c r="H108" s="117">
        <f t="shared" si="61"/>
        <v>-10181</v>
      </c>
      <c r="I108" s="118">
        <f t="shared" si="61"/>
        <v>-10181</v>
      </c>
      <c r="J108" s="118">
        <f t="shared" si="61"/>
        <v>-10181</v>
      </c>
      <c r="K108" s="118">
        <f t="shared" si="61"/>
        <v>-10181</v>
      </c>
      <c r="L108" s="118">
        <f t="shared" si="61"/>
        <v>-10181</v>
      </c>
      <c r="M108" s="118">
        <f t="shared" si="61"/>
        <v>-10181</v>
      </c>
      <c r="O108" s="97"/>
      <c r="Q108" s="97"/>
      <c r="R108" s="97"/>
      <c r="T108" s="97"/>
      <c r="U108" s="95"/>
      <c r="V108" s="95"/>
    </row>
    <row r="109" spans="2:22" ht="18" customHeight="1" x14ac:dyDescent="0.2">
      <c r="D109" s="4" t="s">
        <v>96</v>
      </c>
      <c r="F109" s="102">
        <f>SUM(F104:F108)</f>
        <v>77798</v>
      </c>
      <c r="G109" s="103">
        <f>SUM(G104:G108)</f>
        <v>77869</v>
      </c>
      <c r="H109" s="102">
        <f ca="1">SUM(H104:H108)</f>
        <v>79819.723604339568</v>
      </c>
      <c r="I109" s="102">
        <f t="shared" ref="I109:M109" ca="1" si="64">SUM(I104:I108)</f>
        <v>82474.509282738451</v>
      </c>
      <c r="J109" s="102">
        <f t="shared" ca="1" si="64"/>
        <v>88483.74688930402</v>
      </c>
      <c r="K109" s="102">
        <f t="shared" ca="1" si="64"/>
        <v>99528.886703160446</v>
      </c>
      <c r="L109" s="102">
        <f t="shared" ca="1" si="64"/>
        <v>111479.75358374385</v>
      </c>
      <c r="M109" s="102">
        <f t="shared" ca="1" si="64"/>
        <v>123091.00679606872</v>
      </c>
      <c r="O109" s="97"/>
      <c r="Q109" s="97"/>
      <c r="R109" s="97"/>
      <c r="T109" s="97"/>
      <c r="U109" s="95"/>
      <c r="V109" s="95"/>
    </row>
    <row r="110" spans="2:22" ht="18" customHeight="1" x14ac:dyDescent="0.2">
      <c r="D110" s="7" t="s">
        <v>34</v>
      </c>
      <c r="E110" s="6"/>
      <c r="F110" s="100">
        <v>2737</v>
      </c>
      <c r="G110" s="101">
        <v>2953</v>
      </c>
      <c r="H110" s="118">
        <f>G110</f>
        <v>2953</v>
      </c>
      <c r="I110" s="118">
        <f t="shared" ref="I110:M110" si="65">H110</f>
        <v>2953</v>
      </c>
      <c r="J110" s="118">
        <f t="shared" si="65"/>
        <v>2953</v>
      </c>
      <c r="K110" s="118">
        <f t="shared" si="65"/>
        <v>2953</v>
      </c>
      <c r="L110" s="118">
        <f t="shared" si="65"/>
        <v>2953</v>
      </c>
      <c r="M110" s="118">
        <f t="shared" si="65"/>
        <v>2953</v>
      </c>
      <c r="O110" s="97"/>
      <c r="Q110" s="97"/>
      <c r="R110" s="97"/>
      <c r="T110" s="97"/>
      <c r="U110" s="95"/>
      <c r="V110" s="95"/>
    </row>
    <row r="111" spans="2:22" ht="18" customHeight="1" x14ac:dyDescent="0.2">
      <c r="D111" s="119" t="s">
        <v>97</v>
      </c>
      <c r="E111" s="120"/>
      <c r="F111" s="121">
        <f>F109+F110</f>
        <v>80535</v>
      </c>
      <c r="G111" s="122">
        <f>G109+G110</f>
        <v>80822</v>
      </c>
      <c r="H111" s="121">
        <f ca="1">H109+H110</f>
        <v>82772.723604339568</v>
      </c>
      <c r="I111" s="121">
        <f t="shared" ref="I111:M111" ca="1" si="66">I109+I110</f>
        <v>85427.509282738451</v>
      </c>
      <c r="J111" s="121">
        <f t="shared" ca="1" si="66"/>
        <v>91436.74688930402</v>
      </c>
      <c r="K111" s="121">
        <f t="shared" ca="1" si="66"/>
        <v>102481.88670316045</v>
      </c>
      <c r="L111" s="121">
        <f t="shared" ca="1" si="66"/>
        <v>114432.75358374385</v>
      </c>
      <c r="M111" s="121">
        <f t="shared" ca="1" si="66"/>
        <v>126044.00679606872</v>
      </c>
      <c r="O111" s="97"/>
      <c r="Q111" s="97"/>
      <c r="R111" s="97"/>
      <c r="T111" s="97"/>
      <c r="U111" s="95"/>
      <c r="V111" s="95"/>
    </row>
    <row r="112" spans="2:22" ht="18" customHeight="1" x14ac:dyDescent="0.2">
      <c r="D112" s="4" t="s">
        <v>98</v>
      </c>
      <c r="F112" s="102">
        <f>F101+F111</f>
        <v>198825</v>
      </c>
      <c r="G112" s="123">
        <f>G101+G111</f>
        <v>204522</v>
      </c>
      <c r="H112" s="102">
        <f ca="1">H101+H111</f>
        <v>205626.70514323912</v>
      </c>
      <c r="I112" s="102">
        <f t="shared" ref="I112:M112" ca="1" si="67">I101+I111</f>
        <v>209364.23864802663</v>
      </c>
      <c r="J112" s="102">
        <f t="shared" ca="1" si="67"/>
        <v>212511.1891171918</v>
      </c>
      <c r="K112" s="102">
        <f t="shared" ca="1" si="67"/>
        <v>224365.57516526041</v>
      </c>
      <c r="L112" s="102">
        <f t="shared" ca="1" si="67"/>
        <v>234786.33574367082</v>
      </c>
      <c r="M112" s="102">
        <f t="shared" ca="1" si="67"/>
        <v>245112.25189255615</v>
      </c>
      <c r="O112" s="97"/>
      <c r="Q112" s="97"/>
      <c r="R112" s="97"/>
      <c r="T112" s="97"/>
      <c r="U112" s="95"/>
      <c r="V112" s="95"/>
    </row>
    <row r="113" spans="4:22" ht="18" customHeight="1" x14ac:dyDescent="0.2">
      <c r="D113" s="98"/>
      <c r="F113" s="111"/>
      <c r="G113" s="112"/>
      <c r="H113" s="2"/>
      <c r="I113" s="2"/>
      <c r="J113" s="2"/>
      <c r="K113" s="2"/>
      <c r="L113" s="2"/>
      <c r="M113" s="2"/>
      <c r="O113" s="97"/>
      <c r="Q113" s="97"/>
      <c r="R113" s="97"/>
      <c r="T113" s="97"/>
      <c r="U113" s="95"/>
      <c r="V113" s="95"/>
    </row>
    <row r="114" spans="4:22" ht="18" customHeight="1" x14ac:dyDescent="0.2">
      <c r="D114" s="4" t="s">
        <v>99</v>
      </c>
      <c r="F114" s="102" t="str">
        <f>IF(F112-F90=0, "Check", F112-F90)</f>
        <v>Check</v>
      </c>
      <c r="G114" s="103" t="str">
        <f>IF(G112-G90=0, "Check", G112-G90)</f>
        <v>Check</v>
      </c>
      <c r="H114" s="102">
        <f ca="1">IF(H112-H90=0, "Check", H112-H90)</f>
        <v>-2.9103830456733704E-11</v>
      </c>
      <c r="I114" s="102" t="str">
        <f t="shared" ref="I114:M114" ca="1" si="68">IF(I112-I90=0, "Check", I112-I90)</f>
        <v>Check</v>
      </c>
      <c r="J114" s="102">
        <f t="shared" ca="1" si="68"/>
        <v>2.9103830456733704E-11</v>
      </c>
      <c r="K114" s="102">
        <f t="shared" ca="1" si="68"/>
        <v>5.8207660913467407E-11</v>
      </c>
      <c r="L114" s="102">
        <f t="shared" ca="1" si="68"/>
        <v>2.9103830456733704E-11</v>
      </c>
      <c r="M114" s="102">
        <f t="shared" ca="1" si="68"/>
        <v>2.9103830456733704E-11</v>
      </c>
      <c r="O114" s="97"/>
      <c r="Q114" s="97"/>
      <c r="R114" s="97"/>
      <c r="T114" s="97"/>
      <c r="U114" s="95"/>
      <c r="V114" s="95"/>
    </row>
    <row r="115" spans="4:22" ht="18" customHeight="1" x14ac:dyDescent="0.2">
      <c r="D115" s="4"/>
      <c r="F115" s="102"/>
      <c r="G115" s="103"/>
      <c r="H115" s="2"/>
      <c r="I115" s="2"/>
      <c r="J115" s="2"/>
      <c r="K115" s="2"/>
      <c r="L115" s="2"/>
      <c r="M115" s="2"/>
      <c r="O115" s="97"/>
      <c r="Q115" s="97"/>
      <c r="R115" s="97"/>
      <c r="T115" s="97"/>
      <c r="U115" s="95"/>
      <c r="V115" s="95"/>
    </row>
    <row r="116" spans="4:22" ht="18" customHeight="1" x14ac:dyDescent="0.2">
      <c r="G116" s="46"/>
      <c r="H116" s="2"/>
      <c r="I116" s="2"/>
      <c r="J116" s="2"/>
      <c r="K116" s="2"/>
      <c r="L116" s="2"/>
      <c r="M116" s="2"/>
      <c r="O116" s="97"/>
      <c r="Q116" s="97"/>
      <c r="R116" s="97"/>
      <c r="T116" s="97"/>
      <c r="U116" s="95"/>
      <c r="V116" s="95"/>
    </row>
    <row r="117" spans="4:22" ht="18" customHeight="1" x14ac:dyDescent="0.2">
      <c r="D117" s="124" t="s">
        <v>100</v>
      </c>
      <c r="G117" s="46"/>
      <c r="H117" s="2"/>
      <c r="I117" s="2"/>
      <c r="J117" s="2"/>
      <c r="K117" s="2"/>
      <c r="L117" s="2"/>
      <c r="M117" s="2"/>
    </row>
    <row r="118" spans="4:22" ht="18" customHeight="1" x14ac:dyDescent="0.2">
      <c r="D118" s="1" t="str">
        <f>D82</f>
        <v>Receivables, net</v>
      </c>
      <c r="F118" s="125">
        <f>F82/F14*365</f>
        <v>4.3833985424174626</v>
      </c>
      <c r="G118" s="126">
        <f>G82/G14*365</f>
        <v>4.095410548363823</v>
      </c>
      <c r="H118" s="127">
        <f>G118</f>
        <v>4.095410548363823</v>
      </c>
      <c r="I118" s="127">
        <f t="shared" ref="I118:M118" si="69">H118</f>
        <v>4.095410548363823</v>
      </c>
      <c r="J118" s="127">
        <f t="shared" si="69"/>
        <v>4.095410548363823</v>
      </c>
      <c r="K118" s="127">
        <f t="shared" si="69"/>
        <v>4.095410548363823</v>
      </c>
      <c r="L118" s="127">
        <f t="shared" si="69"/>
        <v>4.095410548363823</v>
      </c>
      <c r="M118" s="127">
        <f t="shared" si="69"/>
        <v>4.095410548363823</v>
      </c>
    </row>
    <row r="119" spans="4:22" ht="18" customHeight="1" x14ac:dyDescent="0.2">
      <c r="D119" s="1" t="str">
        <f>D83</f>
        <v>Inventories</v>
      </c>
      <c r="F119" s="125">
        <f>F83/F16*365</f>
        <v>43.492121930154795</v>
      </c>
      <c r="G119" s="126">
        <f>G83/G16*365</f>
        <v>42.798516856099155</v>
      </c>
      <c r="H119" s="127">
        <f t="shared" ref="H119:M123" si="70">G119</f>
        <v>42.798516856099155</v>
      </c>
      <c r="I119" s="127">
        <f t="shared" si="70"/>
        <v>42.798516856099155</v>
      </c>
      <c r="J119" s="127">
        <f t="shared" si="70"/>
        <v>42.798516856099155</v>
      </c>
      <c r="K119" s="127">
        <f t="shared" si="70"/>
        <v>42.798516856099155</v>
      </c>
      <c r="L119" s="127">
        <f t="shared" si="70"/>
        <v>42.798516856099155</v>
      </c>
      <c r="M119" s="127">
        <f t="shared" si="70"/>
        <v>42.798516856099155</v>
      </c>
    </row>
    <row r="120" spans="4:22" ht="18" customHeight="1" x14ac:dyDescent="0.2">
      <c r="D120" s="1" t="str">
        <f>D84</f>
        <v>Prepaid expenses and other</v>
      </c>
      <c r="F120" s="125">
        <f>F84/F18*365</f>
        <v>6.9557597714353037</v>
      </c>
      <c r="G120" s="126">
        <f>G84/G18*365</f>
        <v>12.031874941320064</v>
      </c>
      <c r="H120" s="127">
        <f t="shared" si="70"/>
        <v>12.031874941320064</v>
      </c>
      <c r="I120" s="127">
        <f t="shared" si="70"/>
        <v>12.031874941320064</v>
      </c>
      <c r="J120" s="127">
        <f t="shared" si="70"/>
        <v>12.031874941320064</v>
      </c>
      <c r="K120" s="127">
        <f t="shared" si="70"/>
        <v>12.031874941320064</v>
      </c>
      <c r="L120" s="127">
        <f t="shared" si="70"/>
        <v>12.031874941320064</v>
      </c>
      <c r="M120" s="127">
        <f t="shared" si="70"/>
        <v>12.031874941320064</v>
      </c>
    </row>
    <row r="121" spans="4:22" ht="17" customHeight="1" x14ac:dyDescent="0.2">
      <c r="D121" s="1" t="str">
        <f>D94</f>
        <v>Accounts payable</v>
      </c>
      <c r="F121" s="125">
        <f>F94/F16*365</f>
        <v>41.862405053480082</v>
      </c>
      <c r="G121" s="126">
        <f>G94/G16*365</f>
        <v>45.055597810367544</v>
      </c>
      <c r="H121" s="127">
        <f t="shared" si="70"/>
        <v>45.055597810367544</v>
      </c>
      <c r="I121" s="127">
        <f t="shared" si="70"/>
        <v>45.055597810367544</v>
      </c>
      <c r="J121" s="127">
        <f t="shared" si="70"/>
        <v>45.055597810367544</v>
      </c>
      <c r="K121" s="127">
        <f t="shared" si="70"/>
        <v>45.055597810367544</v>
      </c>
      <c r="L121" s="127">
        <f t="shared" si="70"/>
        <v>45.055597810367544</v>
      </c>
      <c r="M121" s="127">
        <f t="shared" si="70"/>
        <v>45.055597810367544</v>
      </c>
    </row>
    <row r="122" spans="4:22" ht="18" customHeight="1" x14ac:dyDescent="0.2">
      <c r="D122" s="1" t="str">
        <f>D95</f>
        <v>Accrued liabilities</v>
      </c>
      <c r="F122" s="125">
        <f>F95/F18*365</f>
        <v>74.015591096973097</v>
      </c>
      <c r="G122" s="126">
        <f>G95/G18*365</f>
        <v>75.810064782649519</v>
      </c>
      <c r="H122" s="127">
        <f t="shared" si="70"/>
        <v>75.810064782649519</v>
      </c>
      <c r="I122" s="127">
        <f t="shared" si="70"/>
        <v>75.810064782649519</v>
      </c>
      <c r="J122" s="127">
        <f t="shared" si="70"/>
        <v>75.810064782649519</v>
      </c>
      <c r="K122" s="127">
        <f t="shared" si="70"/>
        <v>75.810064782649519</v>
      </c>
      <c r="L122" s="127">
        <f t="shared" si="70"/>
        <v>75.810064782649519</v>
      </c>
      <c r="M122" s="127">
        <f t="shared" si="70"/>
        <v>75.810064782649519</v>
      </c>
    </row>
    <row r="123" spans="4:22" ht="18" customHeight="1" thickBot="1" x14ac:dyDescent="0.25">
      <c r="D123" s="86" t="s">
        <v>101</v>
      </c>
      <c r="E123" s="88"/>
      <c r="F123" s="128">
        <f>F96/F27</f>
        <v>0.14845261121856868</v>
      </c>
      <c r="G123" s="129">
        <f>G96/G27</f>
        <v>0.14021739130434782</v>
      </c>
      <c r="H123" s="130">
        <f t="shared" si="70"/>
        <v>0.14021739130434782</v>
      </c>
      <c r="I123" s="131">
        <f t="shared" si="70"/>
        <v>0.14021739130434782</v>
      </c>
      <c r="J123" s="131">
        <f t="shared" si="70"/>
        <v>0.14021739130434782</v>
      </c>
      <c r="K123" s="131">
        <f t="shared" si="70"/>
        <v>0.14021739130434782</v>
      </c>
      <c r="L123" s="131">
        <f t="shared" si="70"/>
        <v>0.14021739130434782</v>
      </c>
      <c r="M123" s="131">
        <f t="shared" si="70"/>
        <v>0.14021739130434782</v>
      </c>
    </row>
    <row r="124" spans="4:22" x14ac:dyDescent="0.2">
      <c r="H124" s="2"/>
      <c r="I124" s="2"/>
      <c r="J124" s="2"/>
      <c r="K124" s="2"/>
      <c r="L124" s="2"/>
      <c r="M124" s="2"/>
    </row>
    <row r="125" spans="4:22" x14ac:dyDescent="0.2">
      <c r="H125" s="2"/>
      <c r="I125" s="2"/>
      <c r="J125" s="2"/>
      <c r="K125" s="2"/>
      <c r="L125" s="2"/>
      <c r="M125" s="2"/>
    </row>
    <row r="126" spans="4:22" x14ac:dyDescent="0.2">
      <c r="H126" s="2"/>
      <c r="I126" s="2"/>
      <c r="J126" s="2"/>
      <c r="K126" s="2"/>
      <c r="L126" s="2"/>
      <c r="M126" s="2"/>
    </row>
    <row r="127" spans="4:22" x14ac:dyDescent="0.2">
      <c r="D127" s="4" t="s">
        <v>102</v>
      </c>
      <c r="H127" s="2"/>
      <c r="I127" s="2"/>
      <c r="J127" s="2"/>
      <c r="K127" s="2"/>
      <c r="L127" s="2"/>
      <c r="M127" s="2"/>
    </row>
    <row r="128" spans="4:22" x14ac:dyDescent="0.2">
      <c r="D128" s="5" t="s">
        <v>3</v>
      </c>
      <c r="E128" s="6"/>
      <c r="F128" s="6"/>
      <c r="G128" s="6"/>
      <c r="H128" s="6"/>
      <c r="I128" s="6"/>
      <c r="J128" s="6"/>
      <c r="K128" s="6"/>
      <c r="L128" s="6"/>
      <c r="M128" s="6"/>
    </row>
    <row r="129" spans="4:13" ht="16" thickBot="1" x14ac:dyDescent="0.25">
      <c r="D129" s="9"/>
      <c r="E129" s="10" t="s">
        <v>4</v>
      </c>
      <c r="F129" s="10"/>
      <c r="G129" s="10"/>
      <c r="H129" s="89" t="s">
        <v>5</v>
      </c>
      <c r="I129" s="89"/>
      <c r="J129" s="89"/>
      <c r="K129" s="89"/>
      <c r="L129" s="89"/>
      <c r="M129" s="89"/>
    </row>
    <row r="130" spans="4:13" x14ac:dyDescent="0.2">
      <c r="D130" s="7"/>
      <c r="E130" s="12" t="s">
        <v>6</v>
      </c>
      <c r="F130" s="13" t="s">
        <v>7</v>
      </c>
      <c r="G130" s="14" t="s">
        <v>8</v>
      </c>
      <c r="H130" s="13" t="s">
        <v>9</v>
      </c>
      <c r="I130" s="13" t="s">
        <v>10</v>
      </c>
      <c r="J130" s="13" t="s">
        <v>11</v>
      </c>
      <c r="K130" s="13" t="s">
        <v>12</v>
      </c>
      <c r="L130" s="13" t="s">
        <v>13</v>
      </c>
      <c r="M130" s="13" t="s">
        <v>14</v>
      </c>
    </row>
    <row r="131" spans="4:13" x14ac:dyDescent="0.2">
      <c r="D131" s="4" t="s">
        <v>103</v>
      </c>
      <c r="G131" s="132"/>
      <c r="H131" s="2"/>
      <c r="I131" s="2"/>
      <c r="J131" s="2"/>
      <c r="K131" s="2"/>
      <c r="L131" s="2"/>
      <c r="M131" s="2"/>
    </row>
    <row r="132" spans="4:13" x14ac:dyDescent="0.2">
      <c r="D132" s="15" t="s">
        <v>35</v>
      </c>
      <c r="F132" s="18"/>
      <c r="G132" s="44"/>
      <c r="H132" s="64">
        <f ca="1">H32</f>
        <v>13442.585721775302</v>
      </c>
      <c r="I132" s="64">
        <f t="shared" ref="I132:M132" ca="1" si="71">I32</f>
        <v>14534.221190896056</v>
      </c>
      <c r="J132" s="64">
        <f t="shared" ca="1" si="71"/>
        <v>15517.536836514071</v>
      </c>
      <c r="K132" s="64">
        <f t="shared" ca="1" si="71"/>
        <v>16652.091213670436</v>
      </c>
      <c r="L132" s="64">
        <f t="shared" ca="1" si="71"/>
        <v>18156.232026766844</v>
      </c>
      <c r="M132" s="64">
        <f t="shared" ca="1" si="71"/>
        <v>17544.754100229638</v>
      </c>
    </row>
    <row r="133" spans="4:13" x14ac:dyDescent="0.2">
      <c r="D133" s="15" t="s">
        <v>46</v>
      </c>
      <c r="E133" s="16">
        <v>9454</v>
      </c>
      <c r="F133" s="16">
        <v>10080</v>
      </c>
      <c r="G133" s="17">
        <v>10529</v>
      </c>
      <c r="H133" s="64">
        <f>H47</f>
        <v>10045.60252137034</v>
      </c>
      <c r="I133" s="64">
        <f t="shared" ref="I133:M133" si="72">I47</f>
        <v>10774.020225125563</v>
      </c>
      <c r="J133" s="64">
        <f t="shared" si="72"/>
        <v>11296.654141758752</v>
      </c>
      <c r="K133" s="64">
        <f t="shared" si="72"/>
        <v>11684.418499534318</v>
      </c>
      <c r="L133" s="64">
        <f t="shared" si="72"/>
        <v>11983.976268668581</v>
      </c>
      <c r="M133" s="64">
        <f t="shared" si="72"/>
        <v>12268.062749193008</v>
      </c>
    </row>
    <row r="134" spans="4:13" x14ac:dyDescent="0.2">
      <c r="D134" s="15" t="s">
        <v>104</v>
      </c>
      <c r="E134" s="16">
        <v>1410</v>
      </c>
      <c r="F134" s="16">
        <v>206</v>
      </c>
      <c r="G134" s="17">
        <v>1210</v>
      </c>
      <c r="H134" s="18">
        <f>H69*H48</f>
        <v>1048.0214399999998</v>
      </c>
      <c r="I134" s="18">
        <f t="shared" ref="I134:M134" si="73">I69*I48</f>
        <v>1111.2276000000013</v>
      </c>
      <c r="J134" s="18">
        <f t="shared" si="73"/>
        <v>1188.4818000000014</v>
      </c>
      <c r="K134" s="18">
        <f t="shared" si="73"/>
        <v>1257.8714999999991</v>
      </c>
      <c r="L134" s="18">
        <f t="shared" si="73"/>
        <v>1279.5396499999988</v>
      </c>
      <c r="M134" s="18">
        <f t="shared" si="73"/>
        <v>1299.3221955999995</v>
      </c>
    </row>
    <row r="135" spans="4:13" x14ac:dyDescent="0.2">
      <c r="D135" s="4" t="s">
        <v>105</v>
      </c>
      <c r="E135" s="18"/>
      <c r="F135" s="18"/>
      <c r="G135" s="44"/>
      <c r="H135" s="2"/>
      <c r="I135" s="2"/>
      <c r="J135" s="2"/>
      <c r="K135" s="2"/>
      <c r="L135" s="2"/>
      <c r="M135" s="2"/>
    </row>
    <row r="136" spans="4:13" x14ac:dyDescent="0.2">
      <c r="D136" s="15" t="s">
        <v>106</v>
      </c>
      <c r="E136" s="18"/>
      <c r="F136" s="18"/>
      <c r="G136" s="44"/>
      <c r="H136" s="18">
        <f>G82-H82</f>
        <v>-150.27351636777257</v>
      </c>
      <c r="I136" s="18">
        <f t="shared" ref="I136:M138" si="74">H82-I82</f>
        <v>-173.01707028978126</v>
      </c>
      <c r="J136" s="18">
        <f t="shared" si="74"/>
        <v>-124.13021067547652</v>
      </c>
      <c r="K136" s="18">
        <f t="shared" si="74"/>
        <v>-211.33440459844587</v>
      </c>
      <c r="L136" s="18">
        <f t="shared" si="74"/>
        <v>-179.74925201311908</v>
      </c>
      <c r="M136" s="18">
        <f t="shared" si="74"/>
        <v>-174.21762025650332</v>
      </c>
    </row>
    <row r="137" spans="4:13" x14ac:dyDescent="0.2">
      <c r="D137" s="15" t="s">
        <v>67</v>
      </c>
      <c r="E137" s="18"/>
      <c r="F137" s="18"/>
      <c r="G137" s="44"/>
      <c r="H137" s="18">
        <f>G83-H83</f>
        <v>-1516.5299161640723</v>
      </c>
      <c r="I137" s="18">
        <f t="shared" si="74"/>
        <v>-1359.6842567140484</v>
      </c>
      <c r="J137" s="18">
        <f t="shared" si="74"/>
        <v>-912.15447120751196</v>
      </c>
      <c r="K137" s="18">
        <f t="shared" si="74"/>
        <v>-1986.3618329200181</v>
      </c>
      <c r="L137" s="18">
        <f t="shared" si="74"/>
        <v>-1420.1040368938047</v>
      </c>
      <c r="M137" s="18">
        <f t="shared" si="74"/>
        <v>-1376.401531875279</v>
      </c>
    </row>
    <row r="138" spans="4:13" x14ac:dyDescent="0.2">
      <c r="D138" s="15" t="s">
        <v>68</v>
      </c>
      <c r="E138" s="18"/>
      <c r="F138" s="18"/>
      <c r="G138" s="44"/>
      <c r="H138" s="18">
        <f>G84-H84</f>
        <v>2.1064285869870218</v>
      </c>
      <c r="I138" s="18">
        <f t="shared" si="74"/>
        <v>-84.389157870622512</v>
      </c>
      <c r="J138" s="18">
        <f t="shared" si="74"/>
        <v>-57.316522852313938</v>
      </c>
      <c r="K138" s="18">
        <f t="shared" si="74"/>
        <v>-16.707857112008696</v>
      </c>
      <c r="L138" s="18">
        <f t="shared" si="74"/>
        <v>-114.5670846587177</v>
      </c>
      <c r="M138" s="18">
        <f t="shared" si="74"/>
        <v>-111.84490097267826</v>
      </c>
    </row>
    <row r="139" spans="4:13" x14ac:dyDescent="0.2">
      <c r="D139" s="15" t="s">
        <v>79</v>
      </c>
      <c r="E139" s="18"/>
      <c r="F139" s="18"/>
      <c r="G139" s="44"/>
      <c r="H139" s="18">
        <f>H94-G94</f>
        <v>1596.5077060921903</v>
      </c>
      <c r="I139" s="18">
        <f t="shared" ref="I139:M141" si="75">I94-H94</f>
        <v>1431.3904200366305</v>
      </c>
      <c r="J139" s="18">
        <f t="shared" si="75"/>
        <v>960.25909341289662</v>
      </c>
      <c r="K139" s="18">
        <f t="shared" si="75"/>
        <v>2091.1173195749288</v>
      </c>
      <c r="L139" s="18">
        <f t="shared" si="75"/>
        <v>1494.9965801454746</v>
      </c>
      <c r="M139" s="18">
        <f t="shared" si="75"/>
        <v>1448.9893202200692</v>
      </c>
    </row>
    <row r="140" spans="4:13" x14ac:dyDescent="0.2">
      <c r="D140" s="15" t="s">
        <v>107</v>
      </c>
      <c r="E140" s="18"/>
      <c r="F140" s="18"/>
      <c r="G140" s="44"/>
      <c r="H140" s="18">
        <f>H95-G95</f>
        <v>-13.272119966200989</v>
      </c>
      <c r="I140" s="18">
        <f t="shared" si="75"/>
        <v>531.71659083278428</v>
      </c>
      <c r="J140" s="18">
        <f t="shared" si="75"/>
        <v>361.13817104497139</v>
      </c>
      <c r="K140" s="18">
        <f t="shared" si="75"/>
        <v>105.27234834288174</v>
      </c>
      <c r="L140" s="18">
        <f t="shared" si="75"/>
        <v>721.86073677588865</v>
      </c>
      <c r="M140" s="18">
        <f t="shared" si="75"/>
        <v>704.7088861627999</v>
      </c>
    </row>
    <row r="141" spans="4:13" x14ac:dyDescent="0.2">
      <c r="D141" s="15" t="s">
        <v>108</v>
      </c>
      <c r="E141" s="18"/>
      <c r="F141" s="18"/>
      <c r="G141" s="44"/>
      <c r="H141" s="28">
        <f ca="1">H96-G96</f>
        <v>99.745952773580143</v>
      </c>
      <c r="I141" s="21">
        <f t="shared" ca="1" si="75"/>
        <v>20.640815519179796</v>
      </c>
      <c r="J141" s="21">
        <f t="shared" ca="1" si="75"/>
        <v>94.315598141736473</v>
      </c>
      <c r="K141" s="21">
        <f t="shared" ca="1" si="75"/>
        <v>62.856566294387108</v>
      </c>
      <c r="L141" s="21">
        <f t="shared" ca="1" si="75"/>
        <v>-116.96361909437701</v>
      </c>
      <c r="M141" s="21">
        <f t="shared" ca="1" si="75"/>
        <v>190.96473017760115</v>
      </c>
    </row>
    <row r="142" spans="4:13" x14ac:dyDescent="0.2">
      <c r="D142" s="124" t="s">
        <v>109</v>
      </c>
      <c r="E142" s="21"/>
      <c r="F142" s="21"/>
      <c r="G142" s="33"/>
      <c r="H142" s="21">
        <f ca="1">SUM(H136:H141)</f>
        <v>18.284534954711603</v>
      </c>
      <c r="I142" s="21">
        <f t="shared" ref="I142:M142" ca="1" si="76">SUM(I136:I141)</f>
        <v>366.65734151414244</v>
      </c>
      <c r="J142" s="21">
        <f t="shared" ca="1" si="76"/>
        <v>322.11165786430206</v>
      </c>
      <c r="K142" s="21">
        <f t="shared" ca="1" si="76"/>
        <v>44.842139581725064</v>
      </c>
      <c r="L142" s="21">
        <f t="shared" ca="1" si="76"/>
        <v>385.47332426134471</v>
      </c>
      <c r="M142" s="21">
        <f t="shared" ca="1" si="76"/>
        <v>682.19888345600964</v>
      </c>
    </row>
    <row r="143" spans="4:13" x14ac:dyDescent="0.2">
      <c r="D143" s="4" t="s">
        <v>103</v>
      </c>
      <c r="E143" s="18"/>
      <c r="F143" s="18"/>
      <c r="G143" s="44"/>
      <c r="H143" s="18">
        <f ca="1">H132+H133+H134+H142</f>
        <v>24554.494218100353</v>
      </c>
      <c r="I143" s="18">
        <f t="shared" ref="I143:M143" ca="1" si="77">I132+I133+I134+I142</f>
        <v>26786.126357535766</v>
      </c>
      <c r="J143" s="18">
        <f t="shared" ca="1" si="77"/>
        <v>28324.784436137128</v>
      </c>
      <c r="K143" s="18">
        <f t="shared" ca="1" si="77"/>
        <v>29639.223352786474</v>
      </c>
      <c r="L143" s="18">
        <f t="shared" ca="1" si="77"/>
        <v>31805.221269696769</v>
      </c>
      <c r="M143" s="18">
        <f t="shared" ca="1" si="77"/>
        <v>31794.337928478657</v>
      </c>
    </row>
    <row r="144" spans="4:13" x14ac:dyDescent="0.2">
      <c r="E144" s="18"/>
      <c r="F144" s="18"/>
      <c r="G144" s="44"/>
      <c r="H144" s="2"/>
      <c r="I144" s="2"/>
      <c r="J144" s="2"/>
      <c r="K144" s="2"/>
      <c r="L144" s="2"/>
      <c r="M144" s="2"/>
    </row>
    <row r="145" spans="4:14" x14ac:dyDescent="0.2">
      <c r="D145" s="4" t="s">
        <v>110</v>
      </c>
      <c r="E145" s="18"/>
      <c r="F145" s="18"/>
      <c r="G145" s="44"/>
      <c r="H145" s="2"/>
      <c r="I145" s="2"/>
      <c r="J145" s="2"/>
      <c r="K145" s="2"/>
      <c r="L145" s="2"/>
      <c r="M145" s="2"/>
    </row>
    <row r="146" spans="4:14" x14ac:dyDescent="0.2">
      <c r="D146" s="15" t="s">
        <v>111</v>
      </c>
      <c r="E146" s="16">
        <v>-11477</v>
      </c>
      <c r="F146" s="16">
        <v>-10619</v>
      </c>
      <c r="G146" s="17">
        <v>-10619</v>
      </c>
      <c r="H146" s="18">
        <f>-'[1]Depreciation Schedule'!F9</f>
        <v>-10726.858547036732</v>
      </c>
      <c r="I146" s="18">
        <f>-'[1]Depreciation Schedule'!G9</f>
        <v>-10886.384154470035</v>
      </c>
      <c r="J146" s="18">
        <f>-'[1]Depreciation Schedule'!H9</f>
        <v>-10919.081949782449</v>
      </c>
      <c r="K146" s="18">
        <f>-'[1]Depreciation Schedule'!I9</f>
        <v>-10851.704674593229</v>
      </c>
      <c r="L146" s="18">
        <f>-'[1]Depreciation Schedule'!J9</f>
        <v>-10815.043510152036</v>
      </c>
      <c r="M146" s="18">
        <f>-'[1]Depreciation Schedule'!K9</f>
        <v>-11703.848814492378</v>
      </c>
    </row>
    <row r="147" spans="4:14" x14ac:dyDescent="0.2">
      <c r="D147" s="99" t="s">
        <v>112</v>
      </c>
      <c r="E147" s="21"/>
      <c r="F147" s="21"/>
      <c r="G147" s="33"/>
      <c r="H147" s="35">
        <v>0</v>
      </c>
      <c r="I147" s="35">
        <v>0</v>
      </c>
      <c r="J147" s="35">
        <v>0</v>
      </c>
      <c r="K147" s="35">
        <v>0</v>
      </c>
      <c r="L147" s="35">
        <v>0</v>
      </c>
      <c r="M147" s="35">
        <v>0</v>
      </c>
    </row>
    <row r="148" spans="4:14" x14ac:dyDescent="0.2">
      <c r="D148" s="4" t="s">
        <v>113</v>
      </c>
      <c r="E148" s="18"/>
      <c r="F148" s="18"/>
      <c r="G148" s="44"/>
      <c r="H148" s="18">
        <f>H146+H147</f>
        <v>-10726.858547036732</v>
      </c>
      <c r="I148" s="18">
        <f t="shared" ref="I148:M148" si="78">I146+I147</f>
        <v>-10886.384154470035</v>
      </c>
      <c r="J148" s="18">
        <f t="shared" si="78"/>
        <v>-10919.081949782449</v>
      </c>
      <c r="K148" s="18">
        <f t="shared" si="78"/>
        <v>-10851.704674593229</v>
      </c>
      <c r="L148" s="18">
        <f t="shared" si="78"/>
        <v>-10815.043510152036</v>
      </c>
      <c r="M148" s="18">
        <f t="shared" si="78"/>
        <v>-11703.848814492378</v>
      </c>
    </row>
    <row r="149" spans="4:14" x14ac:dyDescent="0.2">
      <c r="E149" s="18"/>
      <c r="F149" s="18"/>
      <c r="G149" s="44"/>
      <c r="H149" s="2"/>
      <c r="I149" s="2"/>
      <c r="J149" s="2"/>
      <c r="K149" s="2"/>
      <c r="L149" s="2"/>
      <c r="M149" s="2"/>
    </row>
    <row r="150" spans="4:14" x14ac:dyDescent="0.2">
      <c r="D150" s="4" t="s">
        <v>114</v>
      </c>
      <c r="E150" s="18"/>
      <c r="F150" s="18"/>
      <c r="G150" s="44"/>
      <c r="H150" s="2"/>
      <c r="I150" s="2"/>
      <c r="J150" s="2"/>
      <c r="K150" s="2"/>
      <c r="L150" s="2"/>
      <c r="M150" s="2"/>
    </row>
    <row r="151" spans="4:14" x14ac:dyDescent="0.2">
      <c r="D151" s="15" t="s">
        <v>115</v>
      </c>
      <c r="E151" s="18"/>
      <c r="F151" s="18"/>
      <c r="G151" s="44"/>
      <c r="H151" s="114">
        <f ca="1">H195</f>
        <v>-5257</v>
      </c>
      <c r="I151" s="114">
        <f t="shared" ref="I151:M151" ca="1" si="79">I195</f>
        <v>0</v>
      </c>
      <c r="J151" s="114">
        <f t="shared" ca="1" si="79"/>
        <v>0</v>
      </c>
      <c r="K151" s="114">
        <f t="shared" ca="1" si="79"/>
        <v>0</v>
      </c>
      <c r="L151" s="114">
        <f t="shared" ca="1" si="79"/>
        <v>0</v>
      </c>
      <c r="M151" s="114">
        <f t="shared" ca="1" si="79"/>
        <v>0</v>
      </c>
      <c r="N151" s="63"/>
    </row>
    <row r="152" spans="4:14" x14ac:dyDescent="0.2">
      <c r="D152" s="15" t="s">
        <v>116</v>
      </c>
      <c r="E152" s="18"/>
      <c r="F152" s="18"/>
      <c r="G152" s="44"/>
      <c r="H152" s="114">
        <f>H197</f>
        <v>3767</v>
      </c>
      <c r="I152" s="114">
        <f t="shared" ref="I152:M152" si="80">I197</f>
        <v>86</v>
      </c>
      <c r="J152" s="114">
        <f t="shared" si="80"/>
        <v>-3336</v>
      </c>
      <c r="K152" s="114">
        <f t="shared" si="80"/>
        <v>-607</v>
      </c>
      <c r="L152" s="114">
        <f t="shared" si="80"/>
        <v>-2934</v>
      </c>
      <c r="M152" s="114">
        <f t="shared" si="80"/>
        <v>-2934</v>
      </c>
      <c r="N152" s="63"/>
    </row>
    <row r="153" spans="4:14" x14ac:dyDescent="0.2">
      <c r="D153" s="15" t="s">
        <v>117</v>
      </c>
      <c r="E153" s="18"/>
      <c r="F153" s="18"/>
      <c r="G153" s="44"/>
      <c r="H153" s="114">
        <f>H199</f>
        <v>-1039</v>
      </c>
      <c r="I153" s="114">
        <f t="shared" ref="I153:M153" si="81">I199</f>
        <v>-987</v>
      </c>
      <c r="J153" s="114">
        <f t="shared" si="81"/>
        <v>-942</v>
      </c>
      <c r="K153" s="114">
        <f t="shared" si="81"/>
        <v>-843</v>
      </c>
      <c r="L153" s="114">
        <f t="shared" si="81"/>
        <v>-696</v>
      </c>
      <c r="M153" s="114">
        <f t="shared" si="81"/>
        <v>-696</v>
      </c>
      <c r="N153" s="63"/>
    </row>
    <row r="154" spans="4:14" x14ac:dyDescent="0.2">
      <c r="D154" s="15" t="s">
        <v>118</v>
      </c>
      <c r="E154" s="16">
        <v>-6294</v>
      </c>
      <c r="F154" s="16">
        <v>-6216</v>
      </c>
      <c r="G154" s="17">
        <v>-6124</v>
      </c>
      <c r="H154" s="114">
        <f ca="1">-H43*H41</f>
        <v>-5539.8835574357408</v>
      </c>
      <c r="I154" s="114">
        <f t="shared" ref="I154:M154" ca="1" si="82">-I43*I41</f>
        <v>-5990.6631124971691</v>
      </c>
      <c r="J154" s="114">
        <f t="shared" ca="1" si="82"/>
        <v>-6396.7810299485063</v>
      </c>
      <c r="K154" s="114">
        <f t="shared" ca="1" si="82"/>
        <v>-6864.8228998140294</v>
      </c>
      <c r="L154" s="114">
        <f t="shared" ca="1" si="82"/>
        <v>-7484.9047961834367</v>
      </c>
      <c r="M154" s="114">
        <f t="shared" ca="1" si="82"/>
        <v>-7232.8230835047707</v>
      </c>
      <c r="N154" s="63"/>
    </row>
    <row r="155" spans="4:14" x14ac:dyDescent="0.2">
      <c r="D155" s="15" t="s">
        <v>119</v>
      </c>
      <c r="E155" s="16">
        <v>-4112</v>
      </c>
      <c r="F155" s="16">
        <v>-8298</v>
      </c>
      <c r="G155" s="17">
        <v>-8296</v>
      </c>
      <c r="H155" s="114">
        <f>H177</f>
        <v>-7000</v>
      </c>
      <c r="I155" s="114">
        <f t="shared" ref="I155:M155" si="83">I177</f>
        <v>-7000</v>
      </c>
      <c r="J155" s="114">
        <f t="shared" si="83"/>
        <v>-4300</v>
      </c>
      <c r="K155" s="114">
        <f t="shared" si="83"/>
        <v>0</v>
      </c>
      <c r="L155" s="114">
        <f t="shared" si="83"/>
        <v>0</v>
      </c>
      <c r="M155" s="114">
        <f t="shared" si="83"/>
        <v>0</v>
      </c>
      <c r="N155" s="63"/>
    </row>
    <row r="156" spans="4:14" x14ac:dyDescent="0.2">
      <c r="D156" s="99" t="s">
        <v>112</v>
      </c>
      <c r="E156" s="21"/>
      <c r="F156" s="21"/>
      <c r="G156" s="33"/>
      <c r="H156" s="115">
        <v>0</v>
      </c>
      <c r="I156" s="115">
        <v>0</v>
      </c>
      <c r="J156" s="115">
        <v>0</v>
      </c>
      <c r="K156" s="115">
        <v>0</v>
      </c>
      <c r="L156" s="115">
        <v>0</v>
      </c>
      <c r="M156" s="115">
        <v>0</v>
      </c>
      <c r="N156" s="63"/>
    </row>
    <row r="157" spans="4:14" x14ac:dyDescent="0.2">
      <c r="D157" s="4" t="s">
        <v>120</v>
      </c>
      <c r="E157" s="18"/>
      <c r="F157" s="18"/>
      <c r="G157" s="44"/>
      <c r="H157" s="114">
        <f ca="1">SUM(H151:H156)</f>
        <v>-15068.88355743574</v>
      </c>
      <c r="I157" s="114">
        <f t="shared" ref="I157:M157" ca="1" si="84">SUM(I151:I156)</f>
        <v>-13891.663112497168</v>
      </c>
      <c r="J157" s="114">
        <f t="shared" ca="1" si="84"/>
        <v>-14974.781029948506</v>
      </c>
      <c r="K157" s="114">
        <f t="shared" ca="1" si="84"/>
        <v>-8314.8228998140294</v>
      </c>
      <c r="L157" s="114">
        <f t="shared" ca="1" si="84"/>
        <v>-11114.904796183437</v>
      </c>
      <c r="M157" s="114">
        <f t="shared" ca="1" si="84"/>
        <v>-10862.823083504771</v>
      </c>
      <c r="N157" s="63"/>
    </row>
    <row r="158" spans="4:14" x14ac:dyDescent="0.2">
      <c r="G158" s="46"/>
      <c r="H158" s="110"/>
      <c r="I158" s="110"/>
      <c r="J158" s="110"/>
      <c r="K158" s="110"/>
      <c r="L158" s="110"/>
      <c r="M158" s="110"/>
      <c r="N158" s="63"/>
    </row>
    <row r="159" spans="4:14" x14ac:dyDescent="0.2">
      <c r="D159" s="133" t="s">
        <v>121</v>
      </c>
      <c r="E159" s="134"/>
      <c r="F159" s="134"/>
      <c r="G159" s="135"/>
      <c r="H159" s="136">
        <f ca="1">H143+H148+H157</f>
        <v>-1241.247886372119</v>
      </c>
      <c r="I159" s="136">
        <f t="shared" ref="I159:M159" ca="1" si="85">I143+I148+I157</f>
        <v>2008.0790905685626</v>
      </c>
      <c r="J159" s="136">
        <f t="shared" ca="1" si="85"/>
        <v>2430.9214564061731</v>
      </c>
      <c r="K159" s="136">
        <f t="shared" ca="1" si="85"/>
        <v>10472.695778379213</v>
      </c>
      <c r="L159" s="136">
        <f t="shared" ca="1" si="85"/>
        <v>9875.272963361298</v>
      </c>
      <c r="M159" s="136">
        <f t="shared" ca="1" si="85"/>
        <v>9227.6660304815105</v>
      </c>
    </row>
    <row r="160" spans="4:14" x14ac:dyDescent="0.2">
      <c r="G160" s="46"/>
      <c r="H160" s="2"/>
      <c r="I160" s="2"/>
      <c r="J160" s="2"/>
      <c r="K160" s="2"/>
      <c r="L160" s="2"/>
      <c r="M160" s="2"/>
    </row>
    <row r="161" spans="4:13" x14ac:dyDescent="0.2">
      <c r="D161" s="4" t="s">
        <v>122</v>
      </c>
      <c r="G161" s="46"/>
      <c r="H161" s="2"/>
      <c r="I161" s="2"/>
      <c r="J161" s="2"/>
      <c r="K161" s="2"/>
      <c r="L161" s="2"/>
      <c r="M161" s="2"/>
    </row>
    <row r="162" spans="4:13" x14ac:dyDescent="0.2">
      <c r="D162" s="7"/>
      <c r="E162" s="6"/>
      <c r="F162" s="6"/>
      <c r="G162" s="137"/>
      <c r="H162" s="6"/>
      <c r="I162" s="6"/>
      <c r="J162" s="6"/>
      <c r="K162" s="6"/>
      <c r="L162" s="6"/>
      <c r="M162" s="6"/>
    </row>
    <row r="163" spans="4:13" x14ac:dyDescent="0.2">
      <c r="H163" s="2"/>
      <c r="I163" s="2"/>
      <c r="J163" s="2"/>
      <c r="K163" s="2"/>
      <c r="L163" s="2"/>
      <c r="M163" s="2"/>
    </row>
    <row r="164" spans="4:13" x14ac:dyDescent="0.2">
      <c r="H164" s="2"/>
      <c r="I164" s="2"/>
      <c r="J164" s="2"/>
      <c r="K164" s="2"/>
      <c r="L164" s="2"/>
      <c r="M164" s="2"/>
    </row>
    <row r="165" spans="4:13" x14ac:dyDescent="0.2">
      <c r="D165" s="4" t="s">
        <v>123</v>
      </c>
      <c r="H165" s="2"/>
      <c r="I165" s="2"/>
      <c r="J165" s="2"/>
      <c r="K165" s="2"/>
      <c r="L165" s="2"/>
      <c r="M165" s="2"/>
    </row>
    <row r="166" spans="4:13" x14ac:dyDescent="0.2">
      <c r="D166" s="5" t="s">
        <v>3</v>
      </c>
      <c r="E166" s="6"/>
      <c r="F166" s="6"/>
      <c r="G166" s="6"/>
      <c r="H166" s="6"/>
      <c r="I166" s="6"/>
      <c r="J166" s="6"/>
      <c r="K166" s="6"/>
      <c r="L166" s="6"/>
      <c r="M166" s="6"/>
    </row>
    <row r="167" spans="4:13" ht="16" thickBot="1" x14ac:dyDescent="0.25">
      <c r="D167" s="9"/>
      <c r="E167" s="10" t="s">
        <v>4</v>
      </c>
      <c r="F167" s="10"/>
      <c r="G167" s="10"/>
      <c r="H167" s="89" t="s">
        <v>5</v>
      </c>
      <c r="I167" s="89"/>
      <c r="J167" s="89"/>
      <c r="K167" s="89"/>
      <c r="L167" s="89"/>
      <c r="M167" s="89"/>
    </row>
    <row r="168" spans="4:13" x14ac:dyDescent="0.2">
      <c r="D168" s="7"/>
      <c r="E168" s="13" t="s">
        <v>6</v>
      </c>
      <c r="F168" s="13" t="s">
        <v>7</v>
      </c>
      <c r="G168" s="14" t="s">
        <v>124</v>
      </c>
      <c r="H168" s="13" t="s">
        <v>9</v>
      </c>
      <c r="I168" s="13" t="s">
        <v>10</v>
      </c>
      <c r="J168" s="13" t="s">
        <v>11</v>
      </c>
      <c r="K168" s="13" t="s">
        <v>12</v>
      </c>
      <c r="L168" s="13" t="s">
        <v>13</v>
      </c>
      <c r="M168" s="13" t="s">
        <v>14</v>
      </c>
    </row>
    <row r="169" spans="4:13" x14ac:dyDescent="0.2">
      <c r="D169" s="1" t="s">
        <v>125</v>
      </c>
      <c r="F169" s="138"/>
      <c r="G169" s="139"/>
      <c r="H169" s="138"/>
      <c r="I169" s="138"/>
      <c r="J169" s="138"/>
      <c r="K169" s="138"/>
      <c r="L169" s="138"/>
      <c r="M169" s="138"/>
    </row>
    <row r="170" spans="4:13" x14ac:dyDescent="0.2">
      <c r="D170" s="15" t="s">
        <v>126</v>
      </c>
      <c r="F170" s="138"/>
      <c r="G170" s="140"/>
      <c r="H170" s="141">
        <f>G173</f>
        <v>2950</v>
      </c>
      <c r="I170" s="141">
        <f t="shared" ref="I170:M170" si="86">H173</f>
        <v>2867.169565731866</v>
      </c>
      <c r="J170" s="141">
        <f t="shared" si="86"/>
        <v>2784.339131463732</v>
      </c>
      <c r="K170" s="141">
        <f>J173</f>
        <v>2733.4575789847354</v>
      </c>
      <c r="L170" s="141">
        <f t="shared" si="86"/>
        <v>2733.4575789847354</v>
      </c>
      <c r="M170" s="141">
        <f t="shared" si="86"/>
        <v>2733.4575789847354</v>
      </c>
    </row>
    <row r="171" spans="4:13" x14ac:dyDescent="0.2">
      <c r="D171" s="15" t="s">
        <v>127</v>
      </c>
      <c r="F171" s="138"/>
      <c r="G171" s="140"/>
      <c r="H171" s="142">
        <f>H177/$G$180</f>
        <v>-82.830434268133942</v>
      </c>
      <c r="I171" s="142">
        <f t="shared" ref="I171:M171" si="87">I177/$G$180</f>
        <v>-82.830434268133942</v>
      </c>
      <c r="J171" s="142">
        <f t="shared" si="87"/>
        <v>-50.881552478996568</v>
      </c>
      <c r="K171" s="142">
        <f t="shared" si="87"/>
        <v>0</v>
      </c>
      <c r="L171" s="142">
        <f t="shared" si="87"/>
        <v>0</v>
      </c>
      <c r="M171" s="142">
        <f t="shared" si="87"/>
        <v>0</v>
      </c>
    </row>
    <row r="172" spans="4:13" x14ac:dyDescent="0.2">
      <c r="D172" s="99" t="s">
        <v>128</v>
      </c>
      <c r="E172" s="6"/>
      <c r="F172" s="143"/>
      <c r="G172" s="144"/>
      <c r="H172" s="143">
        <v>0</v>
      </c>
      <c r="I172" s="143">
        <v>0</v>
      </c>
      <c r="J172" s="143">
        <v>0</v>
      </c>
      <c r="K172" s="143">
        <v>0</v>
      </c>
      <c r="L172" s="143">
        <v>0</v>
      </c>
      <c r="M172" s="143">
        <v>0</v>
      </c>
    </row>
    <row r="173" spans="4:13" x14ac:dyDescent="0.2">
      <c r="D173" s="1" t="s">
        <v>129</v>
      </c>
      <c r="F173" s="138"/>
      <c r="G173" s="145">
        <v>2950</v>
      </c>
      <c r="H173" s="138">
        <f>SUM(H170:H172)</f>
        <v>2867.169565731866</v>
      </c>
      <c r="I173" s="138">
        <f t="shared" ref="I173:M173" si="88">SUM(I170:I172)</f>
        <v>2784.339131463732</v>
      </c>
      <c r="J173" s="138">
        <f t="shared" si="88"/>
        <v>2733.4575789847354</v>
      </c>
      <c r="K173" s="138">
        <f t="shared" si="88"/>
        <v>2733.4575789847354</v>
      </c>
      <c r="L173" s="138">
        <f t="shared" si="88"/>
        <v>2733.4575789847354</v>
      </c>
      <c r="M173" s="138">
        <f t="shared" si="88"/>
        <v>2733.4575789847354</v>
      </c>
    </row>
    <row r="174" spans="4:13" x14ac:dyDescent="0.2">
      <c r="D174" s="1" t="s">
        <v>130</v>
      </c>
      <c r="F174" s="138"/>
      <c r="G174" s="140"/>
      <c r="H174" s="138">
        <f>AVERAGE(G173:H173)</f>
        <v>2908.584782865933</v>
      </c>
      <c r="I174" s="138">
        <f t="shared" ref="I174:M174" si="89">AVERAGE(H173:I173)</f>
        <v>2825.754348597799</v>
      </c>
      <c r="J174" s="138">
        <f t="shared" si="89"/>
        <v>2758.8983552242335</v>
      </c>
      <c r="K174" s="138">
        <f t="shared" si="89"/>
        <v>2733.4575789847354</v>
      </c>
      <c r="L174" s="138">
        <f t="shared" si="89"/>
        <v>2733.4575789847354</v>
      </c>
      <c r="M174" s="138">
        <f t="shared" si="89"/>
        <v>2733.4575789847354</v>
      </c>
    </row>
    <row r="175" spans="4:13" x14ac:dyDescent="0.2">
      <c r="F175" s="138"/>
      <c r="G175" s="140"/>
      <c r="I175" s="138"/>
      <c r="J175" s="138"/>
      <c r="K175" s="138"/>
      <c r="L175" s="138"/>
      <c r="M175" s="138"/>
    </row>
    <row r="176" spans="4:13" x14ac:dyDescent="0.2">
      <c r="D176" s="1" t="s">
        <v>131</v>
      </c>
      <c r="F176" s="138"/>
      <c r="G176" s="140"/>
      <c r="H176" s="141">
        <f>G178</f>
        <v>18300</v>
      </c>
      <c r="I176" s="141">
        <f t="shared" ref="I176:M176" si="90">H178</f>
        <v>11300</v>
      </c>
      <c r="J176" s="141">
        <f t="shared" si="90"/>
        <v>4300</v>
      </c>
      <c r="K176" s="141">
        <f t="shared" si="90"/>
        <v>0</v>
      </c>
      <c r="L176" s="141">
        <f t="shared" si="90"/>
        <v>0</v>
      </c>
      <c r="M176" s="141">
        <f t="shared" si="90"/>
        <v>0</v>
      </c>
    </row>
    <row r="177" spans="4:13" x14ac:dyDescent="0.2">
      <c r="D177" s="7" t="s">
        <v>132</v>
      </c>
      <c r="E177" s="6"/>
      <c r="F177" s="143"/>
      <c r="G177" s="144"/>
      <c r="H177" s="146">
        <v>-7000</v>
      </c>
      <c r="I177" s="146">
        <v>-7000</v>
      </c>
      <c r="J177" s="146">
        <v>-4300</v>
      </c>
      <c r="K177" s="146">
        <v>0</v>
      </c>
      <c r="L177" s="146">
        <v>0</v>
      </c>
      <c r="M177" s="146">
        <v>0</v>
      </c>
    </row>
    <row r="178" spans="4:13" x14ac:dyDescent="0.2">
      <c r="D178" s="1" t="s">
        <v>133</v>
      </c>
      <c r="G178" s="17">
        <v>18300</v>
      </c>
      <c r="H178" s="18">
        <f>H176+H177</f>
        <v>11300</v>
      </c>
      <c r="I178" s="18">
        <f t="shared" ref="I178:M178" si="91">I176+I177</f>
        <v>4300</v>
      </c>
      <c r="J178" s="18">
        <f t="shared" si="91"/>
        <v>0</v>
      </c>
      <c r="K178" s="18">
        <f t="shared" si="91"/>
        <v>0</v>
      </c>
      <c r="L178" s="18">
        <f t="shared" si="91"/>
        <v>0</v>
      </c>
      <c r="M178" s="18">
        <f t="shared" si="91"/>
        <v>0</v>
      </c>
    </row>
    <row r="179" spans="4:13" x14ac:dyDescent="0.2">
      <c r="G179" s="17"/>
      <c r="H179" s="18"/>
      <c r="I179" s="18"/>
      <c r="J179" s="18"/>
      <c r="K179" s="18"/>
      <c r="L179" s="18"/>
      <c r="M179" s="18"/>
    </row>
    <row r="180" spans="4:13" x14ac:dyDescent="0.2">
      <c r="D180" s="1" t="s">
        <v>134</v>
      </c>
      <c r="G180" s="17">
        <v>84.51</v>
      </c>
      <c r="H180" s="18"/>
      <c r="I180" s="18"/>
      <c r="J180" s="18"/>
      <c r="K180" s="18"/>
      <c r="L180" s="18"/>
      <c r="M180" s="18"/>
    </row>
    <row r="181" spans="4:13" x14ac:dyDescent="0.2">
      <c r="D181" s="1" t="s">
        <v>135</v>
      </c>
      <c r="G181" s="17">
        <v>0</v>
      </c>
      <c r="H181" s="18"/>
      <c r="I181" s="18"/>
      <c r="J181" s="18"/>
      <c r="K181" s="18"/>
      <c r="L181" s="18"/>
      <c r="M181" s="18"/>
    </row>
    <row r="182" spans="4:13" x14ac:dyDescent="0.2">
      <c r="D182" s="7"/>
      <c r="E182" s="6"/>
      <c r="F182" s="6"/>
      <c r="G182" s="137"/>
      <c r="H182" s="6"/>
      <c r="I182" s="6"/>
      <c r="J182" s="6"/>
      <c r="K182" s="6"/>
      <c r="L182" s="6"/>
      <c r="M182" s="6"/>
    </row>
    <row r="183" spans="4:13" x14ac:dyDescent="0.2">
      <c r="H183" s="2"/>
      <c r="I183" s="2"/>
      <c r="J183" s="2"/>
      <c r="K183" s="2"/>
      <c r="L183" s="2"/>
      <c r="M183" s="2"/>
    </row>
    <row r="184" spans="4:13" x14ac:dyDescent="0.2">
      <c r="H184" s="2"/>
      <c r="I184" s="2"/>
      <c r="J184" s="2"/>
      <c r="K184" s="2"/>
      <c r="L184" s="2"/>
      <c r="M184" s="2"/>
    </row>
    <row r="185" spans="4:13" x14ac:dyDescent="0.2">
      <c r="D185" s="4" t="s">
        <v>136</v>
      </c>
      <c r="H185" s="2"/>
      <c r="I185" s="2"/>
      <c r="J185" s="2"/>
      <c r="K185" s="2"/>
      <c r="L185" s="2"/>
      <c r="M185" s="2"/>
    </row>
    <row r="186" spans="4:13" x14ac:dyDescent="0.2">
      <c r="D186" s="5" t="s">
        <v>3</v>
      </c>
      <c r="E186" s="6"/>
      <c r="F186" s="6"/>
      <c r="G186" s="6"/>
      <c r="H186" s="6"/>
      <c r="I186" s="6"/>
      <c r="J186" s="6"/>
      <c r="K186" s="6"/>
      <c r="L186" s="6"/>
      <c r="M186" s="6"/>
    </row>
    <row r="187" spans="4:13" ht="16" thickBot="1" x14ac:dyDescent="0.25">
      <c r="D187" s="9"/>
      <c r="E187" s="10" t="s">
        <v>4</v>
      </c>
      <c r="F187" s="10"/>
      <c r="G187" s="10"/>
      <c r="H187" s="89" t="s">
        <v>5</v>
      </c>
      <c r="I187" s="89"/>
      <c r="J187" s="89"/>
      <c r="K187" s="89"/>
      <c r="L187" s="89"/>
      <c r="M187" s="89"/>
    </row>
    <row r="188" spans="4:13" x14ac:dyDescent="0.2">
      <c r="D188" s="7"/>
      <c r="E188" s="13" t="s">
        <v>6</v>
      </c>
      <c r="F188" s="13" t="s">
        <v>7</v>
      </c>
      <c r="G188" s="14" t="s">
        <v>8</v>
      </c>
      <c r="H188" s="13" t="s">
        <v>9</v>
      </c>
      <c r="I188" s="13" t="s">
        <v>10</v>
      </c>
      <c r="J188" s="13" t="s">
        <v>11</v>
      </c>
      <c r="K188" s="13" t="s">
        <v>12</v>
      </c>
      <c r="L188" s="13" t="s">
        <v>13</v>
      </c>
      <c r="M188" s="13" t="s">
        <v>14</v>
      </c>
    </row>
    <row r="189" spans="4:13" x14ac:dyDescent="0.2">
      <c r="D189" s="1" t="s">
        <v>137</v>
      </c>
      <c r="G189" s="132"/>
      <c r="H189" s="64">
        <f>G81</f>
        <v>6756</v>
      </c>
      <c r="I189" s="64">
        <f ca="1">H81</f>
        <v>5514.752113627881</v>
      </c>
      <c r="J189" s="64">
        <f t="shared" ref="J189:M189" ca="1" si="92">I81</f>
        <v>7522.8312041964437</v>
      </c>
      <c r="K189" s="64">
        <f t="shared" ca="1" si="92"/>
        <v>9953.7526606026167</v>
      </c>
      <c r="L189" s="64">
        <f t="shared" ca="1" si="92"/>
        <v>20426.448438981832</v>
      </c>
      <c r="M189" s="64">
        <f t="shared" ca="1" si="92"/>
        <v>30301.72140234313</v>
      </c>
    </row>
    <row r="190" spans="4:13" x14ac:dyDescent="0.2">
      <c r="D190" s="1" t="s">
        <v>138</v>
      </c>
      <c r="G190" s="46"/>
      <c r="H190" s="18">
        <f ca="1">H143+H146</f>
        <v>13827.635671063621</v>
      </c>
      <c r="I190" s="18">
        <f t="shared" ref="I190:M190" ca="1" si="93">I143+I146</f>
        <v>15899.742203065731</v>
      </c>
      <c r="J190" s="18">
        <f t="shared" ca="1" si="93"/>
        <v>17405.702486354679</v>
      </c>
      <c r="K190" s="18">
        <f t="shared" ca="1" si="93"/>
        <v>18787.518678193243</v>
      </c>
      <c r="L190" s="18">
        <f t="shared" ca="1" si="93"/>
        <v>20990.177759544735</v>
      </c>
      <c r="M190" s="18">
        <f t="shared" ca="1" si="93"/>
        <v>20090.489113986281</v>
      </c>
    </row>
    <row r="191" spans="4:13" x14ac:dyDescent="0.2">
      <c r="D191" s="1" t="s">
        <v>139</v>
      </c>
      <c r="G191" s="46"/>
      <c r="H191" s="16">
        <v>-500</v>
      </c>
      <c r="I191" s="16">
        <v>-500</v>
      </c>
      <c r="J191" s="16">
        <v>-500</v>
      </c>
      <c r="K191" s="16">
        <v>-500</v>
      </c>
      <c r="L191" s="16">
        <v>-500</v>
      </c>
      <c r="M191" s="16">
        <v>-500</v>
      </c>
    </row>
    <row r="192" spans="4:13" x14ac:dyDescent="0.2">
      <c r="D192" s="1" t="s">
        <v>140</v>
      </c>
      <c r="G192" s="46"/>
      <c r="H192" s="64">
        <f ca="1">H154</f>
        <v>-5539.8835574357408</v>
      </c>
      <c r="I192" s="64">
        <f t="shared" ref="I192:M193" ca="1" si="94">I154</f>
        <v>-5990.6631124971691</v>
      </c>
      <c r="J192" s="64">
        <f t="shared" ca="1" si="94"/>
        <v>-6396.7810299485063</v>
      </c>
      <c r="K192" s="64">
        <f t="shared" ca="1" si="94"/>
        <v>-6864.8228998140294</v>
      </c>
      <c r="L192" s="64">
        <f t="shared" ca="1" si="94"/>
        <v>-7484.9047961834367</v>
      </c>
      <c r="M192" s="64">
        <f t="shared" ca="1" si="94"/>
        <v>-7232.8230835047707</v>
      </c>
    </row>
    <row r="193" spans="4:13" x14ac:dyDescent="0.2">
      <c r="D193" s="7" t="s">
        <v>141</v>
      </c>
      <c r="E193" s="6"/>
      <c r="F193" s="6"/>
      <c r="G193" s="137"/>
      <c r="H193" s="66">
        <f>H155</f>
        <v>-7000</v>
      </c>
      <c r="I193" s="66">
        <f t="shared" si="94"/>
        <v>-7000</v>
      </c>
      <c r="J193" s="66">
        <f t="shared" si="94"/>
        <v>-4300</v>
      </c>
      <c r="K193" s="66">
        <f t="shared" si="94"/>
        <v>0</v>
      </c>
      <c r="L193" s="66">
        <f t="shared" si="94"/>
        <v>0</v>
      </c>
      <c r="M193" s="66">
        <f t="shared" si="94"/>
        <v>0</v>
      </c>
    </row>
    <row r="194" spans="4:13" x14ac:dyDescent="0.2">
      <c r="D194" s="4" t="s">
        <v>142</v>
      </c>
      <c r="G194" s="46"/>
      <c r="H194" s="147">
        <f ca="1">SUM(H189:H193)</f>
        <v>7543.752113627881</v>
      </c>
      <c r="I194" s="147">
        <f ca="1">SUM(I189:I193)</f>
        <v>7923.8312041964455</v>
      </c>
      <c r="J194" s="147">
        <f t="shared" ref="J194:M194" ca="1" si="95">SUM(J189:J193)</f>
        <v>13731.752660602615</v>
      </c>
      <c r="K194" s="147">
        <f t="shared" ca="1" si="95"/>
        <v>21376.448438981828</v>
      </c>
      <c r="L194" s="147">
        <f t="shared" ca="1" si="95"/>
        <v>33431.72140234313</v>
      </c>
      <c r="M194" s="147">
        <f t="shared" ca="1" si="95"/>
        <v>42659.387432824638</v>
      </c>
    </row>
    <row r="195" spans="4:13" x14ac:dyDescent="0.2">
      <c r="D195" s="7" t="s">
        <v>143</v>
      </c>
      <c r="E195" s="6"/>
      <c r="F195" s="6"/>
      <c r="G195" s="137"/>
      <c r="H195" s="21">
        <f ca="1">SUM(H204:H206)</f>
        <v>-5257</v>
      </c>
      <c r="I195" s="21">
        <f t="shared" ref="I195:M195" ca="1" si="96">SUM(I204:I206)</f>
        <v>0</v>
      </c>
      <c r="J195" s="21">
        <f t="shared" ca="1" si="96"/>
        <v>0</v>
      </c>
      <c r="K195" s="21">
        <f t="shared" ca="1" si="96"/>
        <v>0</v>
      </c>
      <c r="L195" s="21">
        <f t="shared" ca="1" si="96"/>
        <v>0</v>
      </c>
      <c r="M195" s="21">
        <f t="shared" ca="1" si="96"/>
        <v>0</v>
      </c>
    </row>
    <row r="196" spans="4:13" x14ac:dyDescent="0.2">
      <c r="D196" s="4" t="s">
        <v>144</v>
      </c>
      <c r="G196" s="46"/>
      <c r="H196" s="18">
        <f ca="1">H195+H194</f>
        <v>2286.752113627881</v>
      </c>
      <c r="I196" s="18">
        <f t="shared" ref="I196:M196" ca="1" si="97">I195+I194</f>
        <v>7923.8312041964455</v>
      </c>
      <c r="J196" s="18">
        <f t="shared" ca="1" si="97"/>
        <v>13731.752660602615</v>
      </c>
      <c r="K196" s="18">
        <f t="shared" ca="1" si="97"/>
        <v>21376.448438981828</v>
      </c>
      <c r="L196" s="18">
        <f t="shared" ca="1" si="97"/>
        <v>33431.72140234313</v>
      </c>
      <c r="M196" s="18">
        <f t="shared" ca="1" si="97"/>
        <v>42659.387432824638</v>
      </c>
    </row>
    <row r="197" spans="4:13" x14ac:dyDescent="0.2">
      <c r="D197" s="7" t="s">
        <v>145</v>
      </c>
      <c r="E197" s="6"/>
      <c r="F197" s="6"/>
      <c r="G197" s="137"/>
      <c r="H197" s="21">
        <f>H214+H215+H216</f>
        <v>3767</v>
      </c>
      <c r="I197" s="21">
        <f t="shared" ref="I197:M197" si="98">I214+I215+I216</f>
        <v>86</v>
      </c>
      <c r="J197" s="21">
        <f t="shared" si="98"/>
        <v>-3336</v>
      </c>
      <c r="K197" s="21">
        <f t="shared" si="98"/>
        <v>-607</v>
      </c>
      <c r="L197" s="21">
        <f t="shared" si="98"/>
        <v>-2934</v>
      </c>
      <c r="M197" s="21">
        <f t="shared" si="98"/>
        <v>-2934</v>
      </c>
    </row>
    <row r="198" spans="4:13" x14ac:dyDescent="0.2">
      <c r="D198" s="4" t="s">
        <v>146</v>
      </c>
      <c r="G198" s="46"/>
      <c r="H198" s="18">
        <f ca="1">H196+H197</f>
        <v>6053.752113627881</v>
      </c>
      <c r="I198" s="18">
        <f t="shared" ref="I198:M198" ca="1" si="99">I196+I197</f>
        <v>8009.8312041964455</v>
      </c>
      <c r="J198" s="18">
        <f t="shared" ca="1" si="99"/>
        <v>10395.752660602615</v>
      </c>
      <c r="K198" s="18">
        <f t="shared" ca="1" si="99"/>
        <v>20769.448438981828</v>
      </c>
      <c r="L198" s="18">
        <f t="shared" ca="1" si="99"/>
        <v>30497.72140234313</v>
      </c>
      <c r="M198" s="18">
        <f t="shared" ca="1" si="99"/>
        <v>39725.387432824638</v>
      </c>
    </row>
    <row r="199" spans="4:13" x14ac:dyDescent="0.2">
      <c r="D199" s="7" t="s">
        <v>147</v>
      </c>
      <c r="E199" s="6"/>
      <c r="F199" s="6"/>
      <c r="G199" s="137"/>
      <c r="H199" s="21">
        <f>H224</f>
        <v>-1039</v>
      </c>
      <c r="I199" s="21">
        <f t="shared" ref="I199:M199" si="100">I224</f>
        <v>-987</v>
      </c>
      <c r="J199" s="21">
        <f t="shared" si="100"/>
        <v>-942</v>
      </c>
      <c r="K199" s="21">
        <f t="shared" si="100"/>
        <v>-843</v>
      </c>
      <c r="L199" s="21">
        <f t="shared" si="100"/>
        <v>-696</v>
      </c>
      <c r="M199" s="21">
        <f t="shared" si="100"/>
        <v>-696</v>
      </c>
    </row>
    <row r="200" spans="4:13" x14ac:dyDescent="0.2">
      <c r="D200" s="4" t="s">
        <v>148</v>
      </c>
      <c r="G200" s="46"/>
      <c r="H200" s="147">
        <f ca="1">H198+H199-H191</f>
        <v>5514.752113627881</v>
      </c>
      <c r="I200" s="147">
        <f t="shared" ref="I200:M200" ca="1" si="101">I198+I199-I191</f>
        <v>7522.8312041964455</v>
      </c>
      <c r="J200" s="147">
        <f t="shared" ca="1" si="101"/>
        <v>9953.7526606026149</v>
      </c>
      <c r="K200" s="147">
        <f t="shared" ca="1" si="101"/>
        <v>20426.448438981828</v>
      </c>
      <c r="L200" s="147">
        <f t="shared" ca="1" si="101"/>
        <v>30301.72140234313</v>
      </c>
      <c r="M200" s="147">
        <f t="shared" ca="1" si="101"/>
        <v>39529.387432824638</v>
      </c>
    </row>
    <row r="201" spans="4:13" x14ac:dyDescent="0.2">
      <c r="G201" s="46"/>
      <c r="H201" s="18"/>
      <c r="I201" s="18"/>
      <c r="J201" s="18"/>
      <c r="K201" s="18"/>
      <c r="L201" s="18"/>
      <c r="M201" s="18"/>
    </row>
    <row r="202" spans="4:13" x14ac:dyDescent="0.2">
      <c r="D202" s="4" t="s">
        <v>149</v>
      </c>
      <c r="G202" s="46"/>
      <c r="H202" s="18"/>
      <c r="I202" s="18"/>
      <c r="J202" s="18"/>
      <c r="K202" s="18"/>
      <c r="L202" s="18"/>
      <c r="M202" s="18"/>
    </row>
    <row r="203" spans="4:13" x14ac:dyDescent="0.2">
      <c r="D203" s="15" t="s">
        <v>126</v>
      </c>
      <c r="G203" s="46"/>
      <c r="H203" s="64">
        <f>G207</f>
        <v>5257</v>
      </c>
      <c r="I203" s="64">
        <f ca="1">H207</f>
        <v>0</v>
      </c>
      <c r="J203" s="64">
        <f t="shared" ref="J203:M203" ca="1" si="102">I207</f>
        <v>0</v>
      </c>
      <c r="K203" s="64">
        <f t="shared" ca="1" si="102"/>
        <v>0</v>
      </c>
      <c r="L203" s="64">
        <f t="shared" ca="1" si="102"/>
        <v>0</v>
      </c>
      <c r="M203" s="64">
        <f t="shared" ca="1" si="102"/>
        <v>0</v>
      </c>
    </row>
    <row r="204" spans="4:13" x14ac:dyDescent="0.2">
      <c r="D204" s="15" t="s">
        <v>150</v>
      </c>
      <c r="G204" s="46"/>
      <c r="H204" s="18">
        <f ca="1">IF(H194&lt;0, -H194,0)</f>
        <v>0</v>
      </c>
      <c r="I204" s="18">
        <f ca="1">IF(I194&lt;0, -I194,0)</f>
        <v>0</v>
      </c>
      <c r="J204" s="18">
        <f t="shared" ref="J204:M204" ca="1" si="103">IF(J194&lt;0, -J194,0)</f>
        <v>0</v>
      </c>
      <c r="K204" s="18">
        <f t="shared" ca="1" si="103"/>
        <v>0</v>
      </c>
      <c r="L204" s="18">
        <f t="shared" ca="1" si="103"/>
        <v>0</v>
      </c>
      <c r="M204" s="18">
        <f t="shared" ca="1" si="103"/>
        <v>0</v>
      </c>
    </row>
    <row r="205" spans="4:13" x14ac:dyDescent="0.2">
      <c r="D205" s="15" t="s">
        <v>151</v>
      </c>
      <c r="G205" s="46"/>
      <c r="H205" s="16">
        <v>-5257</v>
      </c>
      <c r="I205" s="16">
        <v>0</v>
      </c>
      <c r="J205" s="16">
        <v>0</v>
      </c>
      <c r="K205" s="16">
        <v>0</v>
      </c>
      <c r="L205" s="16">
        <v>0</v>
      </c>
      <c r="M205" s="16">
        <v>0</v>
      </c>
    </row>
    <row r="206" spans="4:13" x14ac:dyDescent="0.2">
      <c r="D206" s="99" t="s">
        <v>152</v>
      </c>
      <c r="E206" s="6"/>
      <c r="F206" s="6"/>
      <c r="G206" s="137"/>
      <c r="H206" s="21">
        <f>IF(H205=0, -MIN(H203,H194),0)</f>
        <v>0</v>
      </c>
      <c r="I206" s="21">
        <f t="shared" ref="I206:M206" ca="1" si="104">IF(I205=0, -MIN(I203,I194),0)</f>
        <v>0</v>
      </c>
      <c r="J206" s="21">
        <f t="shared" ca="1" si="104"/>
        <v>0</v>
      </c>
      <c r="K206" s="21">
        <f t="shared" ca="1" si="104"/>
        <v>0</v>
      </c>
      <c r="L206" s="21">
        <f t="shared" ca="1" si="104"/>
        <v>0</v>
      </c>
      <c r="M206" s="21">
        <f t="shared" ca="1" si="104"/>
        <v>0</v>
      </c>
    </row>
    <row r="207" spans="4:13" x14ac:dyDescent="0.2">
      <c r="D207" s="4" t="s">
        <v>133</v>
      </c>
      <c r="G207" s="148">
        <f>G93</f>
        <v>5257</v>
      </c>
      <c r="H207" s="18">
        <f ca="1">SUM(H203:H206)</f>
        <v>0</v>
      </c>
      <c r="I207" s="18">
        <f t="shared" ref="I207:M207" ca="1" si="105">SUM(I203:I206)</f>
        <v>0</v>
      </c>
      <c r="J207" s="18">
        <f t="shared" ca="1" si="105"/>
        <v>0</v>
      </c>
      <c r="K207" s="18">
        <f t="shared" ca="1" si="105"/>
        <v>0</v>
      </c>
      <c r="L207" s="18">
        <f t="shared" ca="1" si="105"/>
        <v>0</v>
      </c>
      <c r="M207" s="18">
        <f t="shared" ca="1" si="105"/>
        <v>0</v>
      </c>
    </row>
    <row r="208" spans="4:13" x14ac:dyDescent="0.2">
      <c r="D208" s="15" t="s">
        <v>153</v>
      </c>
      <c r="G208" s="46"/>
      <c r="H208" s="18">
        <f ca="1">AVERAGE(H203,H207)</f>
        <v>2628.5</v>
      </c>
      <c r="I208" s="18">
        <f t="shared" ref="I208:M208" ca="1" si="106">AVERAGE(I203,I207)</f>
        <v>0</v>
      </c>
      <c r="J208" s="18">
        <f t="shared" ca="1" si="106"/>
        <v>0</v>
      </c>
      <c r="K208" s="18">
        <f t="shared" ca="1" si="106"/>
        <v>0</v>
      </c>
      <c r="L208" s="18">
        <f t="shared" ca="1" si="106"/>
        <v>0</v>
      </c>
      <c r="M208" s="18">
        <f t="shared" ca="1" si="106"/>
        <v>0</v>
      </c>
    </row>
    <row r="209" spans="4:13" x14ac:dyDescent="0.2">
      <c r="D209" s="15" t="s">
        <v>154</v>
      </c>
      <c r="G209" s="46"/>
      <c r="H209" s="61">
        <v>1.4999999999999999E-2</v>
      </c>
      <c r="I209" s="61">
        <v>1.4999999999999999E-2</v>
      </c>
      <c r="J209" s="61">
        <v>1.4999999999999999E-2</v>
      </c>
      <c r="K209" s="61">
        <v>1.4999999999999999E-2</v>
      </c>
      <c r="L209" s="61">
        <v>1.4999999999999999E-2</v>
      </c>
      <c r="M209" s="61">
        <v>1.4999999999999999E-2</v>
      </c>
    </row>
    <row r="210" spans="4:13" x14ac:dyDescent="0.2">
      <c r="D210" s="15" t="s">
        <v>155</v>
      </c>
      <c r="G210" s="46"/>
      <c r="H210" s="18">
        <f t="shared" ref="H210:M210" ca="1" si="107">H208*H209</f>
        <v>39.427500000000002</v>
      </c>
      <c r="I210" s="18">
        <f t="shared" ca="1" si="107"/>
        <v>0</v>
      </c>
      <c r="J210" s="18">
        <f t="shared" ca="1" si="107"/>
        <v>0</v>
      </c>
      <c r="K210" s="18">
        <f t="shared" ca="1" si="107"/>
        <v>0</v>
      </c>
      <c r="L210" s="18">
        <f t="shared" ca="1" si="107"/>
        <v>0</v>
      </c>
      <c r="M210" s="18">
        <f t="shared" ca="1" si="107"/>
        <v>0</v>
      </c>
    </row>
    <row r="211" spans="4:13" x14ac:dyDescent="0.2">
      <c r="G211" s="46"/>
      <c r="H211" s="149"/>
      <c r="I211" s="149"/>
      <c r="J211" s="149"/>
      <c r="K211" s="149"/>
      <c r="L211" s="149"/>
      <c r="M211" s="149"/>
    </row>
    <row r="212" spans="4:13" x14ac:dyDescent="0.2">
      <c r="D212" s="4" t="s">
        <v>156</v>
      </c>
      <c r="G212" s="46"/>
      <c r="H212" s="18"/>
      <c r="I212" s="18"/>
      <c r="J212" s="149"/>
      <c r="K212" s="18"/>
      <c r="L212" s="18"/>
      <c r="M212" s="18"/>
    </row>
    <row r="213" spans="4:13" x14ac:dyDescent="0.2">
      <c r="D213" s="15" t="s">
        <v>126</v>
      </c>
      <c r="G213" s="46"/>
      <c r="H213" s="64">
        <f>G217</f>
        <v>33783</v>
      </c>
      <c r="I213" s="64">
        <f t="shared" ref="I213:M213" si="108">H217</f>
        <v>37550</v>
      </c>
      <c r="J213" s="64">
        <f t="shared" si="108"/>
        <v>37636</v>
      </c>
      <c r="K213" s="64">
        <f t="shared" si="108"/>
        <v>34300</v>
      </c>
      <c r="L213" s="64">
        <f t="shared" si="108"/>
        <v>33693</v>
      </c>
      <c r="M213" s="64">
        <f t="shared" si="108"/>
        <v>30759</v>
      </c>
    </row>
    <row r="214" spans="4:13" x14ac:dyDescent="0.2">
      <c r="D214" s="15" t="s">
        <v>157</v>
      </c>
      <c r="G214" s="46"/>
      <c r="H214" s="150">
        <v>7500</v>
      </c>
      <c r="I214" s="150">
        <v>2000</v>
      </c>
      <c r="J214" s="150">
        <v>0</v>
      </c>
      <c r="K214" s="150">
        <v>0</v>
      </c>
      <c r="L214" s="150">
        <v>0</v>
      </c>
      <c r="M214" s="150">
        <v>0</v>
      </c>
    </row>
    <row r="215" spans="4:13" x14ac:dyDescent="0.2">
      <c r="D215" s="15" t="s">
        <v>158</v>
      </c>
      <c r="G215" s="46"/>
      <c r="H215" s="150">
        <v>-3733</v>
      </c>
      <c r="I215" s="150">
        <v>-1914</v>
      </c>
      <c r="J215" s="150">
        <v>-3336</v>
      </c>
      <c r="K215" s="150">
        <v>-607</v>
      </c>
      <c r="L215" s="150">
        <v>-2934</v>
      </c>
      <c r="M215" s="150">
        <f>L215</f>
        <v>-2934</v>
      </c>
    </row>
    <row r="216" spans="4:13" x14ac:dyDescent="0.2">
      <c r="D216" s="99" t="s">
        <v>159</v>
      </c>
      <c r="E216" s="6"/>
      <c r="F216" s="6"/>
      <c r="G216" s="137"/>
      <c r="H216" s="21">
        <f>IF(H215=0,-MIN(H213,H196),0)</f>
        <v>0</v>
      </c>
      <c r="I216" s="21">
        <f t="shared" ref="I216:M216" si="109">IF(I215=0,-MIN(I213,I196),0)</f>
        <v>0</v>
      </c>
      <c r="J216" s="21">
        <f t="shared" si="109"/>
        <v>0</v>
      </c>
      <c r="K216" s="21">
        <f t="shared" si="109"/>
        <v>0</v>
      </c>
      <c r="L216" s="21">
        <f t="shared" si="109"/>
        <v>0</v>
      </c>
      <c r="M216" s="21">
        <f t="shared" si="109"/>
        <v>0</v>
      </c>
    </row>
    <row r="217" spans="4:13" x14ac:dyDescent="0.2">
      <c r="D217" s="4" t="s">
        <v>133</v>
      </c>
      <c r="G217" s="148">
        <f>G98</f>
        <v>33783</v>
      </c>
      <c r="H217" s="18">
        <f>SUM(H213:H216)</f>
        <v>37550</v>
      </c>
      <c r="I217" s="18">
        <f t="shared" ref="I217:M217" si="110">SUM(I213:I216)</f>
        <v>37636</v>
      </c>
      <c r="J217" s="18">
        <f t="shared" si="110"/>
        <v>34300</v>
      </c>
      <c r="K217" s="18">
        <f t="shared" si="110"/>
        <v>33693</v>
      </c>
      <c r="L217" s="18">
        <f t="shared" si="110"/>
        <v>30759</v>
      </c>
      <c r="M217" s="18">
        <f t="shared" si="110"/>
        <v>27825</v>
      </c>
    </row>
    <row r="218" spans="4:13" x14ac:dyDescent="0.2">
      <c r="D218" s="15" t="s">
        <v>160</v>
      </c>
      <c r="G218" s="46"/>
      <c r="H218" s="18">
        <f>AVERAGE(H213,H217)</f>
        <v>35666.5</v>
      </c>
      <c r="I218" s="18">
        <f t="shared" ref="I218:M218" si="111">AVERAGE(I213,I217)</f>
        <v>37593</v>
      </c>
      <c r="J218" s="18">
        <f t="shared" si="111"/>
        <v>35968</v>
      </c>
      <c r="K218" s="18">
        <f t="shared" si="111"/>
        <v>33996.5</v>
      </c>
      <c r="L218" s="18">
        <f t="shared" si="111"/>
        <v>32226</v>
      </c>
      <c r="M218" s="18">
        <f t="shared" si="111"/>
        <v>29292</v>
      </c>
    </row>
    <row r="219" spans="4:13" x14ac:dyDescent="0.2">
      <c r="D219" s="15" t="s">
        <v>161</v>
      </c>
      <c r="G219" s="46"/>
      <c r="H219" s="61">
        <v>3.9E-2</v>
      </c>
      <c r="I219" s="61">
        <v>3.9E-2</v>
      </c>
      <c r="J219" s="61">
        <v>3.9E-2</v>
      </c>
      <c r="K219" s="61">
        <v>3.9E-2</v>
      </c>
      <c r="L219" s="61">
        <v>3.9E-2</v>
      </c>
      <c r="M219" s="61">
        <v>3.9E-2</v>
      </c>
    </row>
    <row r="220" spans="4:13" x14ac:dyDescent="0.2">
      <c r="D220" s="15" t="s">
        <v>155</v>
      </c>
      <c r="G220" s="46"/>
      <c r="H220" s="18">
        <f>H218*H219</f>
        <v>1390.9935</v>
      </c>
      <c r="I220" s="18">
        <f t="shared" ref="I220:M220" si="112">I218*I219</f>
        <v>1466.127</v>
      </c>
      <c r="J220" s="18">
        <f t="shared" si="112"/>
        <v>1402.752</v>
      </c>
      <c r="K220" s="18">
        <f t="shared" si="112"/>
        <v>1325.8634999999999</v>
      </c>
      <c r="L220" s="18">
        <f t="shared" si="112"/>
        <v>1256.8140000000001</v>
      </c>
      <c r="M220" s="18">
        <f t="shared" si="112"/>
        <v>1142.3879999999999</v>
      </c>
    </row>
    <row r="221" spans="4:13" x14ac:dyDescent="0.2">
      <c r="G221" s="46"/>
      <c r="H221" s="18"/>
      <c r="I221" s="18"/>
      <c r="J221" s="18"/>
      <c r="K221" s="18"/>
      <c r="L221" s="18"/>
      <c r="M221" s="18"/>
    </row>
    <row r="222" spans="4:13" x14ac:dyDescent="0.2">
      <c r="D222" s="4" t="s">
        <v>162</v>
      </c>
      <c r="G222" s="46"/>
      <c r="H222" s="18"/>
      <c r="I222" s="18"/>
      <c r="J222" s="18"/>
      <c r="K222" s="18"/>
      <c r="L222" s="18"/>
      <c r="M222" s="18"/>
    </row>
    <row r="223" spans="4:13" x14ac:dyDescent="0.2">
      <c r="D223" s="15" t="s">
        <v>126</v>
      </c>
      <c r="G223" s="46"/>
      <c r="H223" s="64">
        <f>G226</f>
        <v>7447</v>
      </c>
      <c r="I223" s="64">
        <f t="shared" ref="I223:M223" si="113">H226</f>
        <v>6408</v>
      </c>
      <c r="J223" s="64">
        <f t="shared" si="113"/>
        <v>5421</v>
      </c>
      <c r="K223" s="64">
        <f t="shared" si="113"/>
        <v>4479</v>
      </c>
      <c r="L223" s="64">
        <f t="shared" si="113"/>
        <v>3636</v>
      </c>
      <c r="M223" s="64">
        <f t="shared" si="113"/>
        <v>2940</v>
      </c>
    </row>
    <row r="224" spans="4:13" x14ac:dyDescent="0.2">
      <c r="D224" s="15" t="s">
        <v>163</v>
      </c>
      <c r="G224" s="46"/>
      <c r="H224" s="150">
        <v>-1039</v>
      </c>
      <c r="I224" s="150">
        <v>-987</v>
      </c>
      <c r="J224" s="150">
        <v>-942</v>
      </c>
      <c r="K224" s="150">
        <v>-843</v>
      </c>
      <c r="L224" s="150">
        <v>-696</v>
      </c>
      <c r="M224" s="150">
        <f>L224</f>
        <v>-696</v>
      </c>
    </row>
    <row r="225" spans="4:13" x14ac:dyDescent="0.2">
      <c r="D225" s="99" t="s">
        <v>159</v>
      </c>
      <c r="E225" s="6"/>
      <c r="F225" s="83"/>
      <c r="G225" s="137"/>
      <c r="H225" s="19">
        <f>IF(H224=0,-MIN(H198,J223),0)</f>
        <v>0</v>
      </c>
      <c r="I225" s="19">
        <f t="shared" ref="I225:M225" si="114">IF(I224=0,-MIN(I198,K223),0)</f>
        <v>0</v>
      </c>
      <c r="J225" s="19">
        <f t="shared" si="114"/>
        <v>0</v>
      </c>
      <c r="K225" s="19">
        <f t="shared" si="114"/>
        <v>0</v>
      </c>
      <c r="L225" s="19">
        <f t="shared" si="114"/>
        <v>0</v>
      </c>
      <c r="M225" s="19">
        <f t="shared" si="114"/>
        <v>0</v>
      </c>
    </row>
    <row r="226" spans="4:13" x14ac:dyDescent="0.2">
      <c r="D226" s="4" t="s">
        <v>164</v>
      </c>
      <c r="F226" s="151">
        <f>F99</f>
        <v>6568</v>
      </c>
      <c r="G226" s="152">
        <f>G99</f>
        <v>7447</v>
      </c>
      <c r="H226" s="18">
        <f>SUM(H223:H225)</f>
        <v>6408</v>
      </c>
      <c r="I226" s="18">
        <f t="shared" ref="I226:M226" si="115">SUM(I223:I225)</f>
        <v>5421</v>
      </c>
      <c r="J226" s="18">
        <f t="shared" si="115"/>
        <v>4479</v>
      </c>
      <c r="K226" s="18">
        <f t="shared" si="115"/>
        <v>3636</v>
      </c>
      <c r="L226" s="18">
        <f t="shared" si="115"/>
        <v>2940</v>
      </c>
      <c r="M226" s="18">
        <f t="shared" si="115"/>
        <v>2244</v>
      </c>
    </row>
    <row r="227" spans="4:13" x14ac:dyDescent="0.2">
      <c r="D227" s="15" t="s">
        <v>165</v>
      </c>
      <c r="G227" s="46"/>
      <c r="H227" s="18">
        <f>AVERAGE(H223,H226)</f>
        <v>6927.5</v>
      </c>
      <c r="I227" s="18">
        <f t="shared" ref="I227:M227" si="116">AVERAGE(I223,I226)</f>
        <v>5914.5</v>
      </c>
      <c r="J227" s="18">
        <f t="shared" si="116"/>
        <v>4950</v>
      </c>
      <c r="K227" s="18">
        <f t="shared" si="116"/>
        <v>4057.5</v>
      </c>
      <c r="L227" s="18">
        <f t="shared" si="116"/>
        <v>3288</v>
      </c>
      <c r="M227" s="18">
        <f t="shared" si="116"/>
        <v>2592</v>
      </c>
    </row>
    <row r="228" spans="4:13" x14ac:dyDescent="0.2">
      <c r="D228" s="15" t="s">
        <v>166</v>
      </c>
      <c r="F228" s="59">
        <f>F22/F226</f>
        <v>4.9177831912302072E-2</v>
      </c>
      <c r="G228" s="60">
        <f>G22/G226</f>
        <v>4.7267355982274745E-2</v>
      </c>
      <c r="H228" s="61">
        <v>4.8000000000000001E-2</v>
      </c>
      <c r="I228" s="61">
        <v>4.8000000000000001E-2</v>
      </c>
      <c r="J228" s="61">
        <v>4.8000000000000001E-2</v>
      </c>
      <c r="K228" s="61">
        <v>4.8000000000000001E-2</v>
      </c>
      <c r="L228" s="61">
        <v>4.8000000000000001E-2</v>
      </c>
      <c r="M228" s="61">
        <v>4.8000000000000001E-2</v>
      </c>
    </row>
    <row r="229" spans="4:13" x14ac:dyDescent="0.2">
      <c r="D229" s="15" t="s">
        <v>155</v>
      </c>
      <c r="G229" s="46"/>
      <c r="H229" s="18">
        <f>H227*H228</f>
        <v>332.52</v>
      </c>
      <c r="I229" s="18">
        <f t="shared" ref="I229:M229" si="117">I227*I228</f>
        <v>283.89600000000002</v>
      </c>
      <c r="J229" s="18">
        <f t="shared" si="117"/>
        <v>237.6</v>
      </c>
      <c r="K229" s="18">
        <f t="shared" si="117"/>
        <v>194.76</v>
      </c>
      <c r="L229" s="18">
        <f t="shared" si="117"/>
        <v>157.82400000000001</v>
      </c>
      <c r="M229" s="18">
        <f t="shared" si="117"/>
        <v>124.416</v>
      </c>
    </row>
    <row r="230" spans="4:13" x14ac:dyDescent="0.2">
      <c r="G230" s="46"/>
      <c r="H230" s="18"/>
      <c r="I230" s="18"/>
      <c r="J230" s="18"/>
      <c r="K230" s="18"/>
      <c r="L230" s="18"/>
      <c r="M230" s="18"/>
    </row>
    <row r="231" spans="4:13" x14ac:dyDescent="0.2">
      <c r="D231" s="4" t="s">
        <v>167</v>
      </c>
      <c r="G231" s="46"/>
      <c r="H231" s="18"/>
      <c r="I231" s="18"/>
      <c r="J231" s="18"/>
      <c r="K231" s="18"/>
      <c r="L231" s="18"/>
      <c r="M231" s="18"/>
    </row>
    <row r="232" spans="4:13" x14ac:dyDescent="0.2">
      <c r="D232" s="15" t="s">
        <v>126</v>
      </c>
      <c r="G232" s="46"/>
      <c r="H232" s="64">
        <f>G234</f>
        <v>6756</v>
      </c>
      <c r="I232" s="64">
        <f t="shared" ref="I232:M232" ca="1" si="118">H234</f>
        <v>5514.752113627881</v>
      </c>
      <c r="J232" s="64">
        <f t="shared" ca="1" si="118"/>
        <v>7522.8312041964455</v>
      </c>
      <c r="K232" s="64">
        <f t="shared" ca="1" si="118"/>
        <v>9953.7526606026167</v>
      </c>
      <c r="L232" s="64">
        <f t="shared" ca="1" si="118"/>
        <v>20426.448438981828</v>
      </c>
      <c r="M232" s="64">
        <f t="shared" ca="1" si="118"/>
        <v>30301.721402343126</v>
      </c>
    </row>
    <row r="233" spans="4:13" x14ac:dyDescent="0.2">
      <c r="D233" s="99" t="s">
        <v>168</v>
      </c>
      <c r="E233" s="6"/>
      <c r="F233" s="83"/>
      <c r="G233" s="137"/>
      <c r="H233" s="21">
        <f ca="1">H200-H189</f>
        <v>-1241.247886372119</v>
      </c>
      <c r="I233" s="21">
        <f t="shared" ref="I233:M233" ca="1" si="119">I200-I189</f>
        <v>2008.0790905685644</v>
      </c>
      <c r="J233" s="21">
        <f t="shared" ca="1" si="119"/>
        <v>2430.9214564061713</v>
      </c>
      <c r="K233" s="21">
        <f t="shared" ca="1" si="119"/>
        <v>10472.695778379211</v>
      </c>
      <c r="L233" s="21">
        <f t="shared" ca="1" si="119"/>
        <v>9875.272963361298</v>
      </c>
      <c r="M233" s="21">
        <f t="shared" ca="1" si="119"/>
        <v>9227.6660304815086</v>
      </c>
    </row>
    <row r="234" spans="4:13" x14ac:dyDescent="0.2">
      <c r="D234" s="133" t="s">
        <v>133</v>
      </c>
      <c r="E234" s="153"/>
      <c r="F234" s="154">
        <f>F81</f>
        <v>6867</v>
      </c>
      <c r="G234" s="155">
        <f>G81</f>
        <v>6756</v>
      </c>
      <c r="H234" s="136">
        <f ca="1">SUM(H232:H233)</f>
        <v>5514.752113627881</v>
      </c>
      <c r="I234" s="136">
        <f t="shared" ref="I234:M234" ca="1" si="120">SUM(I232:I233)</f>
        <v>7522.8312041964455</v>
      </c>
      <c r="J234" s="136">
        <f t="shared" ca="1" si="120"/>
        <v>9953.7526606026167</v>
      </c>
      <c r="K234" s="136">
        <f t="shared" ca="1" si="120"/>
        <v>20426.448438981828</v>
      </c>
      <c r="L234" s="136">
        <f t="shared" ca="1" si="120"/>
        <v>30301.721402343126</v>
      </c>
      <c r="M234" s="136">
        <f t="shared" ca="1" si="120"/>
        <v>39529.387432824631</v>
      </c>
    </row>
    <row r="235" spans="4:13" x14ac:dyDescent="0.2">
      <c r="D235" s="15" t="s">
        <v>160</v>
      </c>
      <c r="G235" s="46"/>
      <c r="H235" s="18">
        <f ca="1">AVERAGE(H232,H234)</f>
        <v>6135.3760568139405</v>
      </c>
      <c r="I235" s="18">
        <f t="shared" ref="I235:M235" ca="1" si="121">AVERAGE(I232,I234)</f>
        <v>6518.7916589121633</v>
      </c>
      <c r="J235" s="18">
        <f t="shared" ca="1" si="121"/>
        <v>8738.2919323995302</v>
      </c>
      <c r="K235" s="18">
        <f t="shared" ca="1" si="121"/>
        <v>15190.100549792223</v>
      </c>
      <c r="L235" s="18">
        <f t="shared" ca="1" si="121"/>
        <v>25364.084920662477</v>
      </c>
      <c r="M235" s="18">
        <f t="shared" ca="1" si="121"/>
        <v>34915.55441758388</v>
      </c>
    </row>
    <row r="236" spans="4:13" x14ac:dyDescent="0.2">
      <c r="D236" s="15" t="s">
        <v>169</v>
      </c>
      <c r="G236" s="46"/>
      <c r="H236" s="61">
        <v>1.9E-2</v>
      </c>
      <c r="I236" s="61">
        <v>1.9E-2</v>
      </c>
      <c r="J236" s="61">
        <v>1.9E-2</v>
      </c>
      <c r="K236" s="61">
        <v>1.9E-2</v>
      </c>
      <c r="L236" s="61">
        <v>1.9E-2</v>
      </c>
      <c r="M236" s="61">
        <v>1.9E-2</v>
      </c>
    </row>
    <row r="237" spans="4:13" x14ac:dyDescent="0.2">
      <c r="D237" s="99" t="s">
        <v>170</v>
      </c>
      <c r="E237" s="6"/>
      <c r="F237" s="6"/>
      <c r="G237" s="137"/>
      <c r="H237" s="28">
        <f ca="1">H235*H236</f>
        <v>116.57214507946486</v>
      </c>
      <c r="I237" s="21">
        <f t="shared" ref="I237:M237" ca="1" si="122">I235*I236</f>
        <v>123.8570415193311</v>
      </c>
      <c r="J237" s="21">
        <f t="shared" ca="1" si="122"/>
        <v>166.02754671559106</v>
      </c>
      <c r="K237" s="21">
        <f t="shared" ca="1" si="122"/>
        <v>288.61191044605226</v>
      </c>
      <c r="L237" s="21">
        <f t="shared" ca="1" si="122"/>
        <v>481.91761349258707</v>
      </c>
      <c r="M237" s="21">
        <f t="shared" ca="1" si="122"/>
        <v>663.39553393409369</v>
      </c>
    </row>
    <row r="238" spans="4:13" x14ac:dyDescent="0.2">
      <c r="G238" s="132"/>
      <c r="H238" s="2"/>
      <c r="I238" s="2"/>
      <c r="J238" s="2"/>
      <c r="K238" s="2"/>
      <c r="L238" s="2"/>
      <c r="M238" s="2"/>
    </row>
    <row r="239" spans="4:13" ht="16" thickBot="1" x14ac:dyDescent="0.25">
      <c r="D239" s="156" t="s">
        <v>99</v>
      </c>
      <c r="E239" s="88"/>
      <c r="F239" s="157" t="str">
        <f>IF(F234-F81=0, "Check", F234-F81)</f>
        <v>Check</v>
      </c>
      <c r="G239" s="158" t="str">
        <f>IF(G234-G81=0, "Check", G234-G81)</f>
        <v>Check</v>
      </c>
      <c r="H239" s="157" t="str">
        <f t="shared" ref="H239:M239" ca="1" si="123">IF(H234-H81=0, "Check", H234-H81)</f>
        <v>Check</v>
      </c>
      <c r="I239" s="157">
        <f t="shared" ca="1" si="123"/>
        <v>1.8189894035458565E-12</v>
      </c>
      <c r="J239" s="157" t="str">
        <f t="shared" ca="1" si="123"/>
        <v>Check</v>
      </c>
      <c r="K239" s="157">
        <f t="shared" ca="1" si="123"/>
        <v>-3.637978807091713E-12</v>
      </c>
      <c r="L239" s="157">
        <f t="shared" ca="1" si="123"/>
        <v>-3.637978807091713E-12</v>
      </c>
      <c r="M239" s="157">
        <f t="shared" ca="1" si="123"/>
        <v>-7.2759576141834259E-12</v>
      </c>
    </row>
    <row r="240" spans="4:13" x14ac:dyDescent="0.2">
      <c r="H240" s="2"/>
      <c r="I240" s="2"/>
      <c r="J240" s="2"/>
      <c r="K240" s="2"/>
      <c r="L240" s="2"/>
      <c r="M240" s="2"/>
    </row>
    <row r="241" spans="8:13" s="1" customFormat="1" x14ac:dyDescent="0.2">
      <c r="H241" s="2"/>
      <c r="I241" s="2"/>
      <c r="J241" s="2"/>
      <c r="K241" s="2"/>
      <c r="L241" s="2"/>
      <c r="M241" s="2"/>
    </row>
    <row r="242" spans="8:13" s="1" customFormat="1" x14ac:dyDescent="0.2">
      <c r="H242" s="2"/>
      <c r="I242" s="2"/>
      <c r="J242" s="2"/>
      <c r="K242" s="2"/>
      <c r="L242" s="2"/>
      <c r="M242" s="2"/>
    </row>
    <row r="243" spans="8:13" s="1" customFormat="1" x14ac:dyDescent="0.2">
      <c r="H243" s="2"/>
      <c r="I243" s="2"/>
      <c r="J243" s="2"/>
      <c r="K243" s="2"/>
      <c r="L243" s="2"/>
      <c r="M243" s="2"/>
    </row>
    <row r="244" spans="8:13" s="1" customFormat="1" x14ac:dyDescent="0.2">
      <c r="H244" s="2"/>
      <c r="I244" s="2"/>
      <c r="J244" s="2"/>
      <c r="K244" s="2"/>
      <c r="L244" s="2"/>
      <c r="M244" s="2"/>
    </row>
  </sheetData>
  <mergeCells count="10">
    <mergeCell ref="E167:G167"/>
    <mergeCell ref="H167:M167"/>
    <mergeCell ref="E187:G187"/>
    <mergeCell ref="H187:M187"/>
    <mergeCell ref="E10:G10"/>
    <mergeCell ref="H10:M10"/>
    <mergeCell ref="E78:G78"/>
    <mergeCell ref="H78:M78"/>
    <mergeCell ref="E129:G129"/>
    <mergeCell ref="H129:M129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Operating Model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Jalen Wang</dc:creator>
  <cp:lastModifiedBy>Jalen Wang</cp:lastModifiedBy>
  <dcterms:created xsi:type="dcterms:W3CDTF">2020-03-05T21:12:34Z</dcterms:created>
  <dcterms:modified xsi:type="dcterms:W3CDTF">2020-03-05T21:13:31Z</dcterms:modified>
</cp:coreProperties>
</file>