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/>
  <mc:AlternateContent xmlns:mc="http://schemas.openxmlformats.org/markup-compatibility/2006">
    <mc:Choice Requires="x15">
      <x15ac:absPath xmlns:x15ac="http://schemas.microsoft.com/office/spreadsheetml/2010/11/ac" url="C:\Users\Lissy\Documents\GitHub\SHEMS_private\peer-to-peer\data\"/>
    </mc:Choice>
  </mc:AlternateContent>
  <xr:revisionPtr revIDLastSave="0" documentId="13_ncr:1_{345B82C7-AE00-48DD-A23B-EDFA99B1EEA6}" xr6:coauthVersionLast="36" xr6:coauthVersionMax="36" xr10:uidLastSave="{00000000-0000-0000-0000-000000000000}"/>
  <bookViews>
    <workbookView xWindow="0" yWindow="0" windowWidth="24345" windowHeight="10260" tabRatio="692" activeTab="1" xr2:uid="{00000000-000D-0000-FFFF-FFFF00000000}"/>
  </bookViews>
  <sheets>
    <sheet name="storage" sheetId="1" r:id="rId1"/>
    <sheet name="sharing" sheetId="2" r:id="rId2"/>
    <sheet name="flow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2" l="1"/>
  <c r="I16" i="2" s="1"/>
  <c r="V27" i="2"/>
  <c r="N13" i="2"/>
  <c r="V12" i="2"/>
  <c r="V14" i="2"/>
  <c r="V15" i="2" s="1"/>
  <c r="B15" i="2"/>
  <c r="B25" i="2"/>
  <c r="C25" i="2"/>
  <c r="M12" i="2"/>
  <c r="C3" i="2"/>
  <c r="C4" i="2"/>
  <c r="C5" i="2"/>
  <c r="C6" i="2"/>
  <c r="C7" i="2"/>
  <c r="C8" i="2"/>
  <c r="C9" i="2"/>
  <c r="C10" i="2"/>
  <c r="I15" i="2" l="1"/>
  <c r="H15" i="2" s="1"/>
  <c r="M14" i="2"/>
  <c r="V24" i="2"/>
  <c r="U25" i="2"/>
  <c r="W12" i="2"/>
  <c r="M25" i="2"/>
  <c r="N24" i="2"/>
  <c r="N12" i="2" l="1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C55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C40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C25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C10" i="3"/>
  <c r="E3" i="2" l="1"/>
  <c r="T13" i="2"/>
  <c r="U13" i="2" s="1"/>
  <c r="D4" i="2"/>
  <c r="D5" i="2"/>
  <c r="D3" i="2"/>
  <c r="B12" i="2" l="1"/>
  <c r="C12" i="2" s="1"/>
  <c r="L13" i="2"/>
  <c r="M13" i="2" s="1"/>
  <c r="E12" i="2" l="1"/>
  <c r="E5" i="2"/>
  <c r="E8" i="2"/>
  <c r="E9" i="2"/>
  <c r="E10" i="2"/>
  <c r="E13" i="2"/>
  <c r="E14" i="2"/>
  <c r="E7" i="2"/>
  <c r="E6" i="2"/>
  <c r="F5" i="2"/>
  <c r="D6" i="2"/>
  <c r="D7" i="2"/>
  <c r="D8" i="2"/>
  <c r="D9" i="2"/>
  <c r="D10" i="2"/>
  <c r="C13" i="2"/>
  <c r="C14" i="2"/>
  <c r="C24" i="2" l="1"/>
  <c r="N14" i="2"/>
  <c r="Y25" i="2"/>
  <c r="X25" i="2" s="1"/>
  <c r="Y13" i="2"/>
  <c r="X13" i="2" s="1"/>
  <c r="Q13" i="2"/>
  <c r="P13" i="2" s="1"/>
  <c r="Q25" i="2"/>
  <c r="P25" i="2" s="1"/>
  <c r="P24" i="2" s="1"/>
  <c r="O24" i="2" s="1"/>
  <c r="O25" i="2" s="1"/>
  <c r="E15" i="2"/>
  <c r="C15" i="2"/>
  <c r="B24" i="2"/>
  <c r="D13" i="1"/>
  <c r="D16" i="1" s="1"/>
  <c r="E13" i="1"/>
  <c r="G13" i="1"/>
  <c r="H13" i="1"/>
  <c r="I13" i="1"/>
  <c r="J13" i="1"/>
  <c r="F13" i="1"/>
  <c r="I6" i="1"/>
  <c r="G6" i="1"/>
  <c r="J5" i="1"/>
  <c r="J12" i="1"/>
  <c r="I12" i="1"/>
  <c r="J11" i="1"/>
  <c r="I11" i="1"/>
  <c r="J10" i="1"/>
  <c r="I10" i="1"/>
  <c r="J9" i="1"/>
  <c r="I9" i="1"/>
  <c r="J7" i="1"/>
  <c r="J6" i="1"/>
  <c r="J8" i="1"/>
  <c r="I8" i="1"/>
  <c r="E7" i="1"/>
  <c r="F12" i="1"/>
  <c r="F11" i="1"/>
  <c r="F10" i="1"/>
  <c r="F9" i="1"/>
  <c r="G8" i="1"/>
  <c r="G9" i="1"/>
  <c r="G10" i="1"/>
  <c r="G11" i="1"/>
  <c r="G12" i="1"/>
  <c r="H12" i="1"/>
  <c r="H11" i="1"/>
  <c r="H10" i="1"/>
  <c r="H9" i="1"/>
  <c r="H7" i="1"/>
  <c r="H6" i="1"/>
  <c r="H8" i="1"/>
  <c r="C16" i="1"/>
  <c r="B13" i="1"/>
  <c r="P12" i="2" l="1"/>
  <c r="O12" i="2" s="1"/>
  <c r="O13" i="2" s="1"/>
  <c r="P14" i="2"/>
  <c r="P15" i="2" s="1"/>
  <c r="P16" i="2" s="1"/>
  <c r="X26" i="2"/>
  <c r="X27" i="2" s="1"/>
  <c r="X28" i="2" s="1"/>
  <c r="X14" i="2"/>
  <c r="X15" i="2" s="1"/>
  <c r="X16" i="2" s="1"/>
  <c r="X12" i="2"/>
  <c r="X17" i="2" s="1"/>
  <c r="C17" i="2"/>
  <c r="V26" i="2"/>
  <c r="V28" i="2" s="1"/>
  <c r="U26" i="2"/>
  <c r="N26" i="2"/>
  <c r="N27" i="2" s="1"/>
  <c r="N28" i="2" s="1"/>
  <c r="N15" i="2"/>
  <c r="N16" i="2" s="1"/>
  <c r="X24" i="2"/>
  <c r="W24" i="2" s="1"/>
  <c r="W25" i="2" s="1"/>
  <c r="P26" i="2"/>
  <c r="P27" i="2" s="1"/>
  <c r="P28" i="2" s="1"/>
  <c r="G16" i="1"/>
  <c r="F16" i="1"/>
  <c r="I16" i="1"/>
  <c r="E16" i="1"/>
  <c r="J16" i="1"/>
  <c r="B16" i="1"/>
  <c r="H16" i="1"/>
  <c r="X18" i="2" l="1"/>
  <c r="W29" i="2"/>
  <c r="O17" i="2"/>
  <c r="O14" i="2"/>
  <c r="M15" i="2"/>
  <c r="M16" i="2" s="1"/>
  <c r="M24" i="2"/>
  <c r="M26" i="2"/>
  <c r="M27" i="2" s="1"/>
  <c r="M28" i="2" s="1"/>
  <c r="O29" i="2"/>
  <c r="O26" i="2"/>
  <c r="U14" i="2"/>
  <c r="U12" i="2"/>
  <c r="O15" i="2" l="1"/>
  <c r="O16" i="2" s="1"/>
  <c r="O18" i="2"/>
  <c r="O27" i="2"/>
  <c r="O28" i="2" s="1"/>
  <c r="O30" i="2"/>
  <c r="U16" i="2"/>
  <c r="U15" i="2"/>
  <c r="W26" i="2"/>
  <c r="U27" i="2"/>
  <c r="U28" i="2" s="1"/>
  <c r="U24" i="2"/>
  <c r="W27" i="2" l="1"/>
  <c r="W28" i="2" s="1"/>
  <c r="W30" i="2"/>
  <c r="V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Lissy Langer</author>
  </authors>
  <commentList>
    <comment ref="F7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Lissy Langer:</t>
        </r>
        <r>
          <rPr>
            <sz val="9"/>
            <color indexed="81"/>
            <rFont val="Segoe UI"/>
            <charset val="1"/>
          </rPr>
          <t xml:space="preserve">
geeichte Messeinrichtungen nötig, Mitteilungspflichten</t>
        </r>
      </text>
    </comment>
    <comment ref="C13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Lissy Langer:</t>
        </r>
        <r>
          <rPr>
            <sz val="9"/>
            <color indexed="81"/>
            <rFont val="Segoe UI"/>
            <charset val="1"/>
          </rPr>
          <t xml:space="preserve">
Kleinunternehmerregelung oder kein Bezug von Einspeisevergütung</t>
        </r>
      </text>
    </comment>
  </commentList>
</comments>
</file>

<file path=xl/sharedStrings.xml><?xml version="1.0" encoding="utf-8"?>
<sst xmlns="http://schemas.openxmlformats.org/spreadsheetml/2006/main" count="252" uniqueCount="112">
  <si>
    <t>EEG-allocation</t>
  </si>
  <si>
    <t>ct/kWh</t>
  </si>
  <si>
    <t>CHP-allocation</t>
  </si>
  <si>
    <t>StromNEV-allocation</t>
  </si>
  <si>
    <t>AbLaV-allocation</t>
  </si>
  <si>
    <t>Concession fee</t>
  </si>
  <si>
    <t>Offshore-allocation</t>
  </si>
  <si>
    <t>Electricity tax</t>
  </si>
  <si>
    <t>dynamische Entgelte 3 Stufen?</t>
  </si>
  <si>
    <t>BDEW Strompreisanalyse</t>
  </si>
  <si>
    <t>Haushaltsverbrauch 3500 kWh</t>
  </si>
  <si>
    <t>Network charges including mesauring + metering operation</t>
  </si>
  <si>
    <t>BNetzA</t>
  </si>
  <si>
    <t>Esquire</t>
  </si>
  <si>
    <t>Bei Strom, der nicht als Schwachlaststrom geliefert wird, in Gemeinden</t>
  </si>
  <si>
    <t>bis 25.000 Einwohner</t>
  </si>
  <si>
    <t>1,32 Cent,</t>
  </si>
  <si>
    <t>bis 100.000 Einwohner</t>
  </si>
  <si>
    <t>1,59 Cent,</t>
  </si>
  <si>
    <t>bis 500.000 Einwohner</t>
  </si>
  <si>
    <t>1,99 Cent,</t>
  </si>
  <si>
    <t>über 500.000 Einwohner</t>
  </si>
  <si>
    <t>2,39 Cent,</t>
  </si>
  <si>
    <t xml:space="preserve">Concession fee: </t>
  </si>
  <si>
    <t>no grid connection</t>
  </si>
  <si>
    <t>with grid connection</t>
  </si>
  <si>
    <t xml:space="preserve">centralized </t>
  </si>
  <si>
    <t xml:space="preserve"> § 9 Abs. 1 Nr. 3 a) Eigenverbrauch b) Batterie = Versorger nicht Letztverbraucher</t>
  </si>
  <si>
    <t>§118 Nr. 6 EnWG (20 years)</t>
  </si>
  <si>
    <t>§ 61 Abs. 1 EEG: PV&lt;10 kWp + B&lt;10kW (sonst 40%), mixed: full EEG from 500kWh per kW-storage capacity; § 60 Abs. 3 S. 1 EEG 2014 Stromspeicher nur Wiedereinspeisung; Personenidentität!</t>
  </si>
  <si>
    <t>Kleinunternehmerregelung; based on retail price (including base price)</t>
  </si>
  <si>
    <t>decentralized</t>
  </si>
  <si>
    <t>(retail price (including base price)), 2</t>
  </si>
  <si>
    <t>Value added tax (19%), 2</t>
  </si>
  <si>
    <t>(Procurement, sales ), 2</t>
  </si>
  <si>
    <t>self-only</t>
  </si>
  <si>
    <t>mixed (self + others)</t>
  </si>
  <si>
    <t>Who uses the storage?</t>
  </si>
  <si>
    <t>Where is the storage?</t>
  </si>
  <si>
    <t>home storage</t>
  </si>
  <si>
    <t>How is the storage connected?</t>
  </si>
  <si>
    <t>IN</t>
  </si>
  <si>
    <t>OUT  
&lt;10kW</t>
  </si>
  <si>
    <t>OUT
 &gt;10kW</t>
  </si>
  <si>
    <t>IN  
&gt;10kW</t>
  </si>
  <si>
    <t>OUT</t>
  </si>
  <si>
    <t>IN
 &gt;10kW</t>
  </si>
  <si>
    <t>exempted</t>
  </si>
  <si>
    <t>not exempted</t>
  </si>
  <si>
    <t>partly exempted</t>
  </si>
  <si>
    <t>common assumption</t>
  </si>
  <si>
    <t>..\..\..\..\PEERS\2020-03-06_EnergyBrainpool_Impulspapier-Energy-Sharing.pdf</t>
  </si>
  <si>
    <t>Leistungspreis</t>
  </si>
  <si>
    <t>Reduzierung 2 ct/kWh für Reduzierung residuale jährliche Spitzenlast</t>
  </si>
  <si>
    <t>Netzbezug</t>
  </si>
  <si>
    <t>Eigen-versorgung  &gt;10 kW</t>
  </si>
  <si>
    <t>Eigen-versorgung  &lt;10 kW</t>
  </si>
  <si>
    <t>bisher räumlicher Zusammenhang</t>
  </si>
  <si>
    <t>Deminimis-Regel?</t>
  </si>
  <si>
    <t>max</t>
  </si>
  <si>
    <t>min</t>
  </si>
  <si>
    <t>RSP</t>
  </si>
  <si>
    <t>RPP</t>
  </si>
  <si>
    <t>tax</t>
  </si>
  <si>
    <t>pay</t>
  </si>
  <si>
    <t>minus feed-in</t>
  </si>
  <si>
    <t>trader</t>
  </si>
  <si>
    <t>get</t>
  </si>
  <si>
    <t xml:space="preserve"> :B_DE</t>
  </si>
  <si>
    <t xml:space="preserve"> :GR_DE</t>
  </si>
  <si>
    <t xml:space="preserve"> :PV_B</t>
  </si>
  <si>
    <t xml:space="preserve"> :PV_GR</t>
  </si>
  <si>
    <t xml:space="preserve"> :PV_HP</t>
  </si>
  <si>
    <t xml:space="preserve"> :GR_HP</t>
  </si>
  <si>
    <t xml:space="preserve"> :B_HP</t>
  </si>
  <si>
    <t xml:space="preserve"> :HP_FH</t>
  </si>
  <si>
    <t xml:space="preserve"> :HP_HW</t>
  </si>
  <si>
    <t xml:space="preserve"> :PV_PM</t>
  </si>
  <si>
    <t xml:space="preserve"> :B_PM</t>
  </si>
  <si>
    <t xml:space="preserve"> :PM_DE</t>
  </si>
  <si>
    <t xml:space="preserve"> :PM_B</t>
  </si>
  <si>
    <t>:PV_DE</t>
  </si>
  <si>
    <t xml:space="preserve"> :PM_HP</t>
  </si>
  <si>
    <t>Network charges</t>
  </si>
  <si>
    <t>peer price</t>
  </si>
  <si>
    <t>retail price</t>
  </si>
  <si>
    <t>without fees</t>
  </si>
  <si>
    <t xml:space="preserve">price peer </t>
  </si>
  <si>
    <t>feed-in tariff</t>
  </si>
  <si>
    <t>1) feed-in, full charge</t>
  </si>
  <si>
    <t>4) no feed-in, support</t>
  </si>
  <si>
    <t>mean</t>
  </si>
  <si>
    <t>p_peer</t>
  </si>
  <si>
    <t>others:</t>
  </si>
  <si>
    <t>case 1: feed-in tariff, full charge</t>
  </si>
  <si>
    <t>case 2: feed-in tariff, support charge</t>
  </si>
  <si>
    <t>case 3: no feed-in tariff, full charge</t>
  </si>
  <si>
    <t>case 4: no feed-in tariff, support charge</t>
  </si>
  <si>
    <t>minus tariffs buy</t>
  </si>
  <si>
    <t>minus tariffs sell</t>
  </si>
  <si>
    <t>tariff_matrix_case_1.csv</t>
  </si>
  <si>
    <t>tariff_matrix_case_2.csv</t>
  </si>
  <si>
    <t>tariff_matrix_case_3.csv</t>
  </si>
  <si>
    <t>tariff_matrix_case_4.csv</t>
  </si>
  <si>
    <t>support case</t>
  </si>
  <si>
    <t>full charge case</t>
  </si>
  <si>
    <t>support</t>
  </si>
  <si>
    <t>full</t>
  </si>
  <si>
    <t>buy</t>
  </si>
  <si>
    <t>sell</t>
  </si>
  <si>
    <t>2) no feed-in, full charge</t>
  </si>
  <si>
    <t>3) feed-in,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</si>
</sst>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%"/>
    <numFmt numFmtId="167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0" fillId="0" borderId="0" xfId="0" applyFill="1"/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1" applyBorder="1" applyAlignment="1">
      <alignment wrapText="1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0" borderId="1" xfId="0" applyFill="1" applyBorder="1" applyAlignment="1">
      <alignment wrapText="1"/>
    </xf>
    <xf numFmtId="164" fontId="0" fillId="0" borderId="1" xfId="0" applyNumberFormat="1" applyFill="1" applyBorder="1"/>
    <xf numFmtId="164" fontId="0" fillId="0" borderId="0" xfId="0" applyNumberFormat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wrapText="1"/>
    </xf>
    <xf numFmtId="0" fontId="0" fillId="0" borderId="0" xfId="0" applyFont="1"/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164" fontId="0" fillId="6" borderId="1" xfId="0" applyNumberFormat="1" applyFill="1" applyBorder="1"/>
    <xf numFmtId="164" fontId="0" fillId="0" borderId="0" xfId="0" applyNumberFormat="1"/>
    <xf numFmtId="0" fontId="1" fillId="0" borderId="0" xfId="0" applyFont="1"/>
    <xf numFmtId="0" fontId="0" fillId="8" borderId="0" xfId="0" applyFill="1"/>
    <xf numFmtId="0" fontId="0" fillId="9" borderId="0" xfId="0" applyFill="1"/>
    <xf numFmtId="0" fontId="1" fillId="0" borderId="0" xfId="0" applyFont="1" applyAlignment="1">
      <alignment wrapText="1"/>
    </xf>
    <xf numFmtId="164" fontId="5" fillId="9" borderId="1" xfId="0" applyNumberFormat="1" applyFont="1" applyFill="1" applyBorder="1"/>
    <xf numFmtId="164" fontId="0" fillId="8" borderId="1" xfId="0" applyNumberFormat="1" applyFill="1" applyBorder="1"/>
    <xf numFmtId="0" fontId="2" fillId="10" borderId="1" xfId="1" applyFill="1" applyBorder="1" applyAlignment="1">
      <alignment wrapText="1"/>
    </xf>
    <xf numFmtId="164" fontId="0" fillId="10" borderId="1" xfId="0" applyNumberFormat="1" applyFill="1" applyBorder="1"/>
    <xf numFmtId="164" fontId="1" fillId="0" borderId="0" xfId="0" applyNumberFormat="1" applyFont="1"/>
    <xf numFmtId="164" fontId="0" fillId="10" borderId="0" xfId="0" applyNumberFormat="1" applyFill="1" applyBorder="1"/>
    <xf numFmtId="0" fontId="2" fillId="0" borderId="9" xfId="1" applyBorder="1" applyAlignment="1">
      <alignment wrapText="1"/>
    </xf>
    <xf numFmtId="0" fontId="2" fillId="10" borderId="11" xfId="1" applyFill="1" applyBorder="1" applyAlignment="1">
      <alignment wrapText="1"/>
    </xf>
    <xf numFmtId="164" fontId="0" fillId="10" borderId="12" xfId="0" applyNumberFormat="1" applyFill="1" applyBorder="1"/>
    <xf numFmtId="164" fontId="0" fillId="0" borderId="12" xfId="0" applyNumberFormat="1" applyBorder="1"/>
    <xf numFmtId="164" fontId="0" fillId="0" borderId="13" xfId="0" applyNumberFormat="1" applyBorder="1"/>
    <xf numFmtId="0" fontId="2" fillId="10" borderId="14" xfId="1" applyFill="1" applyBorder="1" applyAlignment="1">
      <alignment wrapText="1"/>
    </xf>
    <xf numFmtId="164" fontId="0" fillId="0" borderId="8" xfId="0" applyNumberFormat="1" applyBorder="1"/>
    <xf numFmtId="0" fontId="2" fillId="10" borderId="7" xfId="1" applyFill="1" applyBorder="1" applyAlignment="1">
      <alignment wrapText="1"/>
    </xf>
    <xf numFmtId="164" fontId="0" fillId="10" borderId="4" xfId="0" applyNumberFormat="1" applyFill="1" applyBorder="1"/>
    <xf numFmtId="164" fontId="0" fillId="0" borderId="4" xfId="0" applyNumberFormat="1" applyBorder="1"/>
    <xf numFmtId="164" fontId="0" fillId="0" borderId="5" xfId="0" applyNumberFormat="1" applyBorder="1"/>
    <xf numFmtId="2" fontId="0" fillId="0" borderId="1" xfId="0" applyNumberFormat="1" applyBorder="1"/>
    <xf numFmtId="2" fontId="0" fillId="0" borderId="0" xfId="0" applyNumberFormat="1"/>
    <xf numFmtId="2" fontId="0" fillId="0" borderId="1" xfId="0" applyNumberFormat="1" applyFill="1" applyBorder="1"/>
    <xf numFmtId="2" fontId="1" fillId="0" borderId="1" xfId="0" applyNumberFormat="1" applyFont="1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2" fontId="0" fillId="0" borderId="12" xfId="0" applyNumberFormat="1" applyBorder="1"/>
    <xf numFmtId="0" fontId="0" fillId="0" borderId="13" xfId="0" applyBorder="1"/>
    <xf numFmtId="0" fontId="0" fillId="0" borderId="14" xfId="0" applyBorder="1"/>
    <xf numFmtId="2" fontId="0" fillId="0" borderId="0" xfId="0" applyNumberFormat="1" applyBorder="1"/>
    <xf numFmtId="0" fontId="0" fillId="0" borderId="8" xfId="0" applyBorder="1"/>
    <xf numFmtId="0" fontId="1" fillId="0" borderId="0" xfId="0" applyFont="1" applyBorder="1"/>
    <xf numFmtId="0" fontId="1" fillId="0" borderId="8" xfId="0" applyFont="1" applyBorder="1"/>
    <xf numFmtId="164" fontId="1" fillId="0" borderId="8" xfId="0" applyNumberFormat="1" applyFont="1" applyBorder="1"/>
    <xf numFmtId="0" fontId="0" fillId="0" borderId="7" xfId="0" applyBorder="1"/>
    <xf numFmtId="0" fontId="0" fillId="0" borderId="4" xfId="0" applyBorder="1"/>
    <xf numFmtId="2" fontId="0" fillId="0" borderId="4" xfId="0" applyNumberFormat="1" applyBorder="1"/>
    <xf numFmtId="0" fontId="0" fillId="0" borderId="5" xfId="0" applyBorder="1"/>
    <xf numFmtId="0" fontId="6" fillId="0" borderId="0" xfId="0" applyFont="1" applyBorder="1"/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4" fontId="0" fillId="0" borderId="9" xfId="0" applyNumberFormat="1" applyFill="1" applyBorder="1"/>
    <xf numFmtId="0" fontId="0" fillId="0" borderId="0" xfId="0" applyFill="1" applyBorder="1" applyAlignment="1">
      <alignment wrapText="1"/>
    </xf>
    <xf numFmtId="2" fontId="1" fillId="0" borderId="0" xfId="0" applyNumberFormat="1" applyFont="1" applyBorder="1"/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2" fillId="0" borderId="11" xfId="1" applyBorder="1" applyAlignment="1">
      <alignment wrapText="1"/>
    </xf>
    <xf numFmtId="164" fontId="0" fillId="0" borderId="12" xfId="0" applyNumberFormat="1" applyFill="1" applyBorder="1"/>
    <xf numFmtId="2" fontId="2" fillId="0" borderId="0" xfId="1" applyNumberFormat="1" applyAlignment="1">
      <alignment vertical="center"/>
    </xf>
    <xf numFmtId="0" fontId="0" fillId="4" borderId="0" xfId="0" applyFill="1"/>
    <xf numFmtId="2" fontId="0" fillId="4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1" fontId="0" fillId="0" borderId="4" xfId="0" applyNumberFormat="1" applyBorder="1" applyAlignment="1">
      <alignment vertical="center"/>
    </xf>
    <xf numFmtId="0" fontId="0" fillId="0" borderId="4" xfId="0" applyNumberFormat="1" applyBorder="1" applyAlignment="1">
      <alignment vertical="center"/>
    </xf>
    <xf numFmtId="2" fontId="1" fillId="0" borderId="0" xfId="0" applyNumberFormat="1" applyFont="1" applyAlignment="1">
      <alignment vertical="center"/>
    </xf>
    <xf numFmtId="0" fontId="1" fillId="0" borderId="0" xfId="0" applyFont="1" applyFill="1"/>
    <xf numFmtId="167" fontId="0" fillId="0" borderId="0" xfId="0" applyNumberFormat="1"/>
    <xf numFmtId="166" fontId="0" fillId="12" borderId="0" xfId="2" applyNumberFormat="1" applyFont="1" applyFill="1"/>
    <xf numFmtId="164" fontId="0" fillId="11" borderId="8" xfId="0" applyNumberFormat="1" applyFill="1" applyBorder="1"/>
    <xf numFmtId="0" fontId="0" fillId="11" borderId="8" xfId="0" applyFill="1" applyBorder="1"/>
    <xf numFmtId="164" fontId="0" fillId="0" borderId="0" xfId="0" applyNumberFormat="1" applyFill="1" applyBorder="1"/>
    <xf numFmtId="164" fontId="0" fillId="11" borderId="9" xfId="0" applyNumberFormat="1" applyFill="1" applyBorder="1"/>
    <xf numFmtId="164" fontId="0" fillId="11" borderId="15" xfId="0" applyNumberFormat="1" applyFill="1" applyBorder="1"/>
    <xf numFmtId="164" fontId="0" fillId="11" borderId="10" xfId="0" applyNumberFormat="1" applyFill="1" applyBorder="1"/>
    <xf numFmtId="0" fontId="5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5" fillId="9" borderId="0" xfId="0" applyFont="1" applyFill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0" fontId="0" fillId="12" borderId="0" xfId="2" applyNumberFormat="1" applyFont="1" applyFill="1"/>
    <xf numFmtId="164" fontId="0" fillId="0" borderId="0" xfId="0" applyNumberFormat="1" applyFill="1"/>
    <xf numFmtId="0" fontId="2" fillId="0" borderId="10" xfId="1" applyFill="1" applyBorder="1" applyAlignment="1">
      <alignment wrapText="1"/>
    </xf>
    <xf numFmtId="164" fontId="0" fillId="0" borderId="10" xfId="0" applyNumberFormat="1" applyFill="1" applyBorder="1"/>
    <xf numFmtId="164" fontId="0" fillId="0" borderId="16" xfId="0" applyNumberForma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64" fontId="1" fillId="0" borderId="19" xfId="0" applyNumberFormat="1" applyFont="1" applyBorder="1" applyAlignment="1">
      <alignment horizontal="right"/>
    </xf>
    <xf numFmtId="164" fontId="1" fillId="10" borderId="0" xfId="0" applyNumberFormat="1" applyFont="1" applyFill="1" applyBorder="1"/>
    <xf numFmtId="164" fontId="0" fillId="0" borderId="20" xfId="0" applyNumberFormat="1" applyBorder="1"/>
    <xf numFmtId="164" fontId="1" fillId="0" borderId="21" xfId="0" applyNumberFormat="1" applyFont="1" applyFill="1" applyBorder="1" applyAlignment="1">
      <alignment horizontal="right"/>
    </xf>
    <xf numFmtId="164" fontId="1" fillId="0" borderId="22" xfId="0" applyNumberFormat="1" applyFont="1" applyFill="1" applyBorder="1"/>
    <xf numFmtId="164" fontId="0" fillId="0" borderId="23" xfId="0" applyNumberFormat="1" applyBorder="1"/>
    <xf numFmtId="164" fontId="1" fillId="0" borderId="0" xfId="0" applyNumberFormat="1" applyFont="1" applyBorder="1"/>
    <xf numFmtId="164" fontId="0" fillId="12" borderId="4" xfId="0" applyNumberFormat="1" applyFill="1" applyBorder="1"/>
    <xf numFmtId="164" fontId="1" fillId="0" borderId="1" xfId="0" applyNumberFormat="1" applyFont="1" applyBorder="1"/>
    <xf numFmtId="164" fontId="1" fillId="0" borderId="0" xfId="0" applyNumberFormat="1" applyFont="1" applyFill="1" applyBorder="1"/>
    <xf numFmtId="164" fontId="1" fillId="0" borderId="1" xfId="0" applyNumberFormat="1" applyFont="1" applyFill="1" applyBorder="1"/>
    <xf numFmtId="164" fontId="0" fillId="4" borderId="0" xfId="0" applyNumberForma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quire-projekt.de/data/esquire/Datein/Schnabel_Arbeitspapier_%C3%B6konom._Rahmenbedingungen_Esquire.pdf" TargetMode="External"/><Relationship Id="rId3" Type="http://schemas.openxmlformats.org/officeDocument/2006/relationships/hyperlink" Target="https://www.bundesnetzagentur.de/DE/Sachgebiete/ElektrizitaetundGas/Verbraucher/PreiseRechnTarife/umlagen_strompreis-table.html" TargetMode="External"/><Relationship Id="rId7" Type="http://schemas.openxmlformats.org/officeDocument/2006/relationships/hyperlink" Target="https://www.bdew.de/media/documents/20200107_BDEW-Strompreisanalyse_Januar_2020.pdf" TargetMode="External"/><Relationship Id="rId2" Type="http://schemas.openxmlformats.org/officeDocument/2006/relationships/hyperlink" Target="http://www.gesetze-im-internet.de/kav/__2.html" TargetMode="External"/><Relationship Id="rId1" Type="http://schemas.openxmlformats.org/officeDocument/2006/relationships/hyperlink" Target="https://www.bundesnetzagentur.de/DE/Sachgebiete/ElektrizitaetundGas/Verbraucher/PreiseRechnTarife/umlagen_strompreis-table.html" TargetMode="External"/><Relationship Id="rId6" Type="http://schemas.openxmlformats.org/officeDocument/2006/relationships/hyperlink" Target="https://www.bmwi.de/Redaktion/DE/Textsammlungen/Energie/strompreise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bundesnetzagentur.de/DE/Sachgebiete/ElektrizitaetundGas/Verbraucher/PreiseRechnTarife/umlagen_strompreis-table.html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bundesnetzagentur.de/DE/Sachgebiete/ElektrizitaetundGas/Verbraucher/PreiseRechnTarife/umlagen_strompreis-table.htm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ndesnetzagentur.de/DE/Sachgebiete/ElektrizitaetundGas/Verbraucher/PreiseRechnTarife/umlagen_strompreis-table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bundesnetzagentur.de/DE/Sachgebiete/ElektrizitaetundGas/Verbraucher/PreiseRechnTarife/umlagen_strompreis-table.html" TargetMode="External"/><Relationship Id="rId1" Type="http://schemas.openxmlformats.org/officeDocument/2006/relationships/hyperlink" Target="http://www.gesetze-im-internet.de/kav/__2.html" TargetMode="External"/><Relationship Id="rId6" Type="http://schemas.openxmlformats.org/officeDocument/2006/relationships/hyperlink" Target="..\..\..\..\..\tubCloud\PEERS\2020-03-06_EnergyBrainpool_Impulspapier-Energy-Sharing.pdf" TargetMode="External"/><Relationship Id="rId5" Type="http://schemas.openxmlformats.org/officeDocument/2006/relationships/hyperlink" Target="https://www.bmwi.de/Redaktion/DE/Textsammlungen/Energie/strompreise.html" TargetMode="External"/><Relationship Id="rId4" Type="http://schemas.openxmlformats.org/officeDocument/2006/relationships/hyperlink" Target="https://www.bundesnetzagentur.de/DE/Sachgebiete/ElektrizitaetundGas/Verbraucher/PreiseRechnTarife/umlagen_strompreis-table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undesnetzagentur.de/DE/Sachgebiete/ElektrizitaetundGas/Verbraucher/PreiseRechnTarife/umlagen_strompreis-table.html" TargetMode="External"/><Relationship Id="rId13" Type="http://schemas.openxmlformats.org/officeDocument/2006/relationships/hyperlink" Target="https://www.bundesnetzagentur.de/DE/Sachgebiete/ElektrizitaetundGas/Verbraucher/PreiseRechnTarife/umlagen_strompreis-table.html" TargetMode="External"/><Relationship Id="rId18" Type="http://schemas.openxmlformats.org/officeDocument/2006/relationships/hyperlink" Target="https://www.bundesnetzagentur.de/DE/Sachgebiete/ElektrizitaetundGas/Verbraucher/PreiseRechnTarife/umlagen_strompreis-table.html" TargetMode="External"/><Relationship Id="rId3" Type="http://schemas.openxmlformats.org/officeDocument/2006/relationships/hyperlink" Target="https://www.bundesnetzagentur.de/DE/Sachgebiete/ElektrizitaetundGas/Verbraucher/PreiseRechnTarife/umlagen_strompreis-table.html" TargetMode="External"/><Relationship Id="rId21" Type="http://schemas.openxmlformats.org/officeDocument/2006/relationships/hyperlink" Target="https://www.bmwi.de/Redaktion/DE/Textsammlungen/Energie/strompreise.html" TargetMode="External"/><Relationship Id="rId7" Type="http://schemas.openxmlformats.org/officeDocument/2006/relationships/hyperlink" Target="https://www.bundesnetzagentur.de/DE/Sachgebiete/ElektrizitaetundGas/Verbraucher/PreiseRechnTarife/umlagen_strompreis-table.html" TargetMode="External"/><Relationship Id="rId12" Type="http://schemas.openxmlformats.org/officeDocument/2006/relationships/hyperlink" Target="http://www.gesetze-im-internet.de/kav/__2.html" TargetMode="External"/><Relationship Id="rId17" Type="http://schemas.openxmlformats.org/officeDocument/2006/relationships/hyperlink" Target="http://www.gesetze-im-internet.de/kav/__2.html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s://www.bundesnetzagentur.de/DE/Sachgebiete/ElektrizitaetundGas/Verbraucher/PreiseRechnTarife/umlagen_strompreis-table.html" TargetMode="External"/><Relationship Id="rId16" Type="http://schemas.openxmlformats.org/officeDocument/2006/relationships/hyperlink" Target="https://www.bmwi.de/Redaktion/DE/Textsammlungen/Energie/strompreise.html" TargetMode="External"/><Relationship Id="rId20" Type="http://schemas.openxmlformats.org/officeDocument/2006/relationships/hyperlink" Target="https://www.bundesnetzagentur.de/DE/Sachgebiete/ElektrizitaetundGas/Verbraucher/PreiseRechnTarife/umlagen_strompreis-table.html" TargetMode="External"/><Relationship Id="rId1" Type="http://schemas.openxmlformats.org/officeDocument/2006/relationships/hyperlink" Target="http://www.gesetze-im-internet.de/kav/__2.html" TargetMode="External"/><Relationship Id="rId6" Type="http://schemas.openxmlformats.org/officeDocument/2006/relationships/hyperlink" Target="http://www.gesetze-im-internet.de/kav/__2.html" TargetMode="External"/><Relationship Id="rId11" Type="http://schemas.openxmlformats.org/officeDocument/2006/relationships/hyperlink" Target="tariff_matrix_case_4.csv" TargetMode="External"/><Relationship Id="rId24" Type="http://schemas.openxmlformats.org/officeDocument/2006/relationships/hyperlink" Target="tariff_matrix_case_3.csv" TargetMode="External"/><Relationship Id="rId5" Type="http://schemas.openxmlformats.org/officeDocument/2006/relationships/hyperlink" Target="https://www.bmwi.de/Redaktion/DE/Textsammlungen/Energie/strompreise.html" TargetMode="External"/><Relationship Id="rId15" Type="http://schemas.openxmlformats.org/officeDocument/2006/relationships/hyperlink" Target="https://www.bundesnetzagentur.de/DE/Sachgebiete/ElektrizitaetundGas/Verbraucher/PreiseRechnTarife/umlagen_strompreis-table.html" TargetMode="External"/><Relationship Id="rId23" Type="http://schemas.openxmlformats.org/officeDocument/2006/relationships/hyperlink" Target="tariff_matrix_case_1.csv" TargetMode="External"/><Relationship Id="rId10" Type="http://schemas.openxmlformats.org/officeDocument/2006/relationships/hyperlink" Target="https://www.bmwi.de/Redaktion/DE/Textsammlungen/Energie/strompreise.html" TargetMode="External"/><Relationship Id="rId19" Type="http://schemas.openxmlformats.org/officeDocument/2006/relationships/hyperlink" Target="https://www.bundesnetzagentur.de/DE/Sachgebiete/ElektrizitaetundGas/Verbraucher/PreiseRechnTarife/umlagen_strompreis-table.html" TargetMode="External"/><Relationship Id="rId4" Type="http://schemas.openxmlformats.org/officeDocument/2006/relationships/hyperlink" Target="https://www.bundesnetzagentur.de/DE/Sachgebiete/ElektrizitaetundGas/Verbraucher/PreiseRechnTarife/umlagen_strompreis-table.html" TargetMode="External"/><Relationship Id="rId9" Type="http://schemas.openxmlformats.org/officeDocument/2006/relationships/hyperlink" Target="https://www.bundesnetzagentur.de/DE/Sachgebiete/ElektrizitaetundGas/Verbraucher/PreiseRechnTarife/umlagen_strompreis-table.html" TargetMode="External"/><Relationship Id="rId14" Type="http://schemas.openxmlformats.org/officeDocument/2006/relationships/hyperlink" Target="https://www.bundesnetzagentur.de/DE/Sachgebiete/ElektrizitaetundGas/Verbraucher/PreiseRechnTarife/umlagen_strompreis-table.html" TargetMode="External"/><Relationship Id="rId22" Type="http://schemas.openxmlformats.org/officeDocument/2006/relationships/hyperlink" Target="tariff_matrix_case_2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zoomScaleNormal="100" workbookViewId="0">
      <selection activeCell="F7" sqref="F7"/>
    </sheetView>
  </sheetViews>
  <sheetFormatPr defaultColWidth="11.42578125" defaultRowHeight="15" x14ac:dyDescent="0.25"/>
  <cols>
    <col min="1" max="1" width="26.28515625" style="1" customWidth="1"/>
    <col min="3" max="3" width="11.85546875" customWidth="1"/>
    <col min="4" max="4" width="11.7109375" bestFit="1" customWidth="1"/>
    <col min="5" max="5" width="11.7109375" customWidth="1"/>
    <col min="6" max="6" width="12.5703125" customWidth="1"/>
    <col min="7" max="7" width="11.42578125" customWidth="1"/>
    <col min="8" max="8" width="8.28515625" customWidth="1"/>
    <col min="9" max="9" width="11.42578125" customWidth="1"/>
    <col min="10" max="10" width="8.28515625" customWidth="1"/>
  </cols>
  <sheetData>
    <row r="1" spans="1:11" x14ac:dyDescent="0.25">
      <c r="A1" s="95" t="s">
        <v>38</v>
      </c>
      <c r="B1" s="96"/>
      <c r="C1" s="92" t="s">
        <v>31</v>
      </c>
      <c r="D1" s="93"/>
      <c r="E1" s="93"/>
      <c r="F1" s="94"/>
      <c r="G1" s="92" t="s">
        <v>26</v>
      </c>
      <c r="H1" s="93"/>
      <c r="I1" s="93"/>
      <c r="J1" s="94"/>
    </row>
    <row r="2" spans="1:11" x14ac:dyDescent="0.25">
      <c r="A2" s="95" t="s">
        <v>40</v>
      </c>
      <c r="B2" s="96"/>
      <c r="C2" s="92" t="s">
        <v>39</v>
      </c>
      <c r="D2" s="93"/>
      <c r="E2" s="93"/>
      <c r="F2" s="94"/>
      <c r="G2" s="100" t="s">
        <v>24</v>
      </c>
      <c r="H2" s="101"/>
      <c r="I2" s="92" t="s">
        <v>25</v>
      </c>
      <c r="J2" s="94"/>
    </row>
    <row r="3" spans="1:11" x14ac:dyDescent="0.25">
      <c r="A3" s="97" t="s">
        <v>37</v>
      </c>
      <c r="B3" s="98"/>
      <c r="C3" s="92" t="s">
        <v>35</v>
      </c>
      <c r="D3" s="93"/>
      <c r="E3" s="93"/>
      <c r="F3" s="92" t="s">
        <v>36</v>
      </c>
      <c r="G3" s="93"/>
      <c r="H3" s="93"/>
      <c r="I3" s="93"/>
      <c r="J3" s="94"/>
    </row>
    <row r="4" spans="1:11" ht="30" x14ac:dyDescent="0.25">
      <c r="A4" s="4"/>
      <c r="B4" s="5" t="s">
        <v>1</v>
      </c>
      <c r="C4" s="15" t="s">
        <v>41</v>
      </c>
      <c r="D4" s="16" t="s">
        <v>42</v>
      </c>
      <c r="E4" s="16" t="s">
        <v>43</v>
      </c>
      <c r="F4" s="15" t="s">
        <v>41</v>
      </c>
      <c r="G4" s="15" t="s">
        <v>44</v>
      </c>
      <c r="H4" s="16" t="s">
        <v>45</v>
      </c>
      <c r="I4" s="15" t="s">
        <v>46</v>
      </c>
      <c r="J4" s="16" t="s">
        <v>45</v>
      </c>
    </row>
    <row r="5" spans="1:11" ht="45" x14ac:dyDescent="0.25">
      <c r="A5" s="4" t="s">
        <v>11</v>
      </c>
      <c r="B5" s="7">
        <v>7.71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8">
        <f>$B$5</f>
        <v>7.71</v>
      </c>
      <c r="K5" s="14" t="s">
        <v>28</v>
      </c>
    </row>
    <row r="6" spans="1:11" x14ac:dyDescent="0.25">
      <c r="A6" s="6" t="s">
        <v>7</v>
      </c>
      <c r="B6" s="7">
        <v>2.0499999999999998</v>
      </c>
      <c r="C6" s="23">
        <v>0</v>
      </c>
      <c r="D6" s="24">
        <v>0</v>
      </c>
      <c r="E6" s="24">
        <v>0</v>
      </c>
      <c r="F6" s="24">
        <v>0</v>
      </c>
      <c r="G6" s="24">
        <f>B6</f>
        <v>2.0499999999999998</v>
      </c>
      <c r="H6" s="17">
        <f>$B$6</f>
        <v>2.0499999999999998</v>
      </c>
      <c r="I6" s="24">
        <f>B6</f>
        <v>2.0499999999999998</v>
      </c>
      <c r="J6" s="8">
        <f>$B$6</f>
        <v>2.0499999999999998</v>
      </c>
      <c r="K6" t="s">
        <v>27</v>
      </c>
    </row>
    <row r="7" spans="1:11" x14ac:dyDescent="0.25">
      <c r="A7" s="6" t="s">
        <v>0</v>
      </c>
      <c r="B7" s="7">
        <v>6.7560000000000002</v>
      </c>
      <c r="C7" s="23">
        <v>0</v>
      </c>
      <c r="D7" s="24">
        <v>0</v>
      </c>
      <c r="E7" s="24">
        <f>0.4*B7</f>
        <v>2.7024000000000004</v>
      </c>
      <c r="F7" s="24">
        <v>0</v>
      </c>
      <c r="G7" s="24">
        <v>0</v>
      </c>
      <c r="H7" s="8">
        <f>$B$7</f>
        <v>6.7560000000000002</v>
      </c>
      <c r="I7" s="24">
        <v>0</v>
      </c>
      <c r="J7" s="8">
        <f>$B$7</f>
        <v>6.7560000000000002</v>
      </c>
      <c r="K7" t="s">
        <v>29</v>
      </c>
    </row>
    <row r="8" spans="1:11" x14ac:dyDescent="0.25">
      <c r="A8" s="25" t="s">
        <v>5</v>
      </c>
      <c r="B8" s="26">
        <v>1.66</v>
      </c>
      <c r="C8" s="23">
        <v>0</v>
      </c>
      <c r="D8" s="23">
        <v>0</v>
      </c>
      <c r="E8" s="23">
        <v>0</v>
      </c>
      <c r="F8" s="23">
        <v>0</v>
      </c>
      <c r="G8" s="17">
        <f>$B$8</f>
        <v>1.66</v>
      </c>
      <c r="H8" s="17">
        <f>$B$8</f>
        <v>1.66</v>
      </c>
      <c r="I8" s="8">
        <f>$B$8</f>
        <v>1.66</v>
      </c>
      <c r="J8" s="8">
        <f>$B$8</f>
        <v>1.66</v>
      </c>
    </row>
    <row r="9" spans="1:11" x14ac:dyDescent="0.25">
      <c r="A9" s="25" t="s">
        <v>2</v>
      </c>
      <c r="B9" s="26">
        <v>0.22600000000000001</v>
      </c>
      <c r="C9" s="23">
        <v>0</v>
      </c>
      <c r="D9" s="23">
        <v>0</v>
      </c>
      <c r="E9" s="23">
        <v>0</v>
      </c>
      <c r="F9" s="8">
        <f>$B$9</f>
        <v>0.22600000000000001</v>
      </c>
      <c r="G9" s="17">
        <f>$B$9</f>
        <v>0.22600000000000001</v>
      </c>
      <c r="H9" s="17">
        <f>$B$9</f>
        <v>0.22600000000000001</v>
      </c>
      <c r="I9" s="17">
        <f>$B$9</f>
        <v>0.22600000000000001</v>
      </c>
      <c r="J9" s="8">
        <f>$B$9</f>
        <v>0.22600000000000001</v>
      </c>
    </row>
    <row r="10" spans="1:11" x14ac:dyDescent="0.25">
      <c r="A10" s="25" t="s">
        <v>6</v>
      </c>
      <c r="B10" s="26">
        <v>0.41599999999999998</v>
      </c>
      <c r="C10" s="23">
        <v>0</v>
      </c>
      <c r="D10" s="23">
        <v>0</v>
      </c>
      <c r="E10" s="23">
        <v>0</v>
      </c>
      <c r="F10" s="8">
        <f>$B$10</f>
        <v>0.41599999999999998</v>
      </c>
      <c r="G10" s="17">
        <f>$B$10</f>
        <v>0.41599999999999998</v>
      </c>
      <c r="H10" s="17">
        <f>$B$10</f>
        <v>0.41599999999999998</v>
      </c>
      <c r="I10" s="17">
        <f>$B$10</f>
        <v>0.41599999999999998</v>
      </c>
      <c r="J10" s="8">
        <f>$B$10</f>
        <v>0.41599999999999998</v>
      </c>
    </row>
    <row r="11" spans="1:11" x14ac:dyDescent="0.25">
      <c r="A11" s="25" t="s">
        <v>4</v>
      </c>
      <c r="B11" s="26">
        <v>7.0000000000000001E-3</v>
      </c>
      <c r="C11" s="23">
        <v>0</v>
      </c>
      <c r="D11" s="23">
        <v>0</v>
      </c>
      <c r="E11" s="23">
        <v>0</v>
      </c>
      <c r="F11" s="8">
        <f>$B$11</f>
        <v>7.0000000000000001E-3</v>
      </c>
      <c r="G11" s="17">
        <f>$B$11</f>
        <v>7.0000000000000001E-3</v>
      </c>
      <c r="H11" s="17">
        <f>$B$11</f>
        <v>7.0000000000000001E-3</v>
      </c>
      <c r="I11" s="17">
        <f>$B$11</f>
        <v>7.0000000000000001E-3</v>
      </c>
      <c r="J11" s="8">
        <f>$B$11</f>
        <v>7.0000000000000001E-3</v>
      </c>
    </row>
    <row r="12" spans="1:11" x14ac:dyDescent="0.25">
      <c r="A12" s="25" t="s">
        <v>3</v>
      </c>
      <c r="B12" s="26">
        <v>0.35799999999999998</v>
      </c>
      <c r="C12" s="23">
        <v>0</v>
      </c>
      <c r="D12" s="23">
        <v>0</v>
      </c>
      <c r="E12" s="23">
        <v>0</v>
      </c>
      <c r="F12" s="8">
        <f>$B$12</f>
        <v>0.35799999999999998</v>
      </c>
      <c r="G12" s="17">
        <f>$B$12</f>
        <v>0.35799999999999998</v>
      </c>
      <c r="H12" s="17">
        <f>$B$12</f>
        <v>0.35799999999999998</v>
      </c>
      <c r="I12" s="17">
        <f>$B$12</f>
        <v>0.35799999999999998</v>
      </c>
      <c r="J12" s="8">
        <f>$B$12</f>
        <v>0.35799999999999998</v>
      </c>
    </row>
    <row r="13" spans="1:11" x14ac:dyDescent="0.25">
      <c r="A13" s="4" t="s">
        <v>33</v>
      </c>
      <c r="B13" s="7">
        <f>0.19*B15</f>
        <v>5.0103</v>
      </c>
      <c r="C13" s="24">
        <v>0</v>
      </c>
      <c r="D13" s="24">
        <f>0</f>
        <v>0</v>
      </c>
      <c r="E13" s="24">
        <f>0</f>
        <v>0</v>
      </c>
      <c r="F13" s="24">
        <f>0</f>
        <v>0</v>
      </c>
      <c r="G13" s="24">
        <f>0</f>
        <v>0</v>
      </c>
      <c r="H13" s="24">
        <f>0</f>
        <v>0</v>
      </c>
      <c r="I13" s="24">
        <f>0</f>
        <v>0</v>
      </c>
      <c r="J13" s="24">
        <f>0</f>
        <v>0</v>
      </c>
      <c r="K13" t="s">
        <v>30</v>
      </c>
    </row>
    <row r="14" spans="1:11" s="3" customFormat="1" x14ac:dyDescent="0.25">
      <c r="A14" s="9" t="s">
        <v>34</v>
      </c>
      <c r="B14" s="10">
        <v>7.18</v>
      </c>
      <c r="C14" s="10"/>
      <c r="D14" s="10"/>
      <c r="E14" s="10"/>
      <c r="F14" s="10"/>
      <c r="G14" s="10"/>
      <c r="H14" s="10"/>
      <c r="I14" s="10"/>
      <c r="J14" s="10"/>
    </row>
    <row r="15" spans="1:11" ht="30" x14ac:dyDescent="0.25">
      <c r="A15" s="4" t="s">
        <v>32</v>
      </c>
      <c r="B15" s="7">
        <v>26.37</v>
      </c>
      <c r="C15" s="7"/>
      <c r="D15" s="7"/>
      <c r="E15" s="7"/>
      <c r="F15" s="7"/>
      <c r="G15" s="7"/>
      <c r="H15" s="7"/>
      <c r="I15" s="7"/>
      <c r="J15" s="7"/>
    </row>
    <row r="16" spans="1:11" x14ac:dyDescent="0.25">
      <c r="B16" s="11">
        <f>SUM(B5:B14)</f>
        <v>31.3733</v>
      </c>
      <c r="C16">
        <f>SUM(C5:C13)</f>
        <v>0</v>
      </c>
      <c r="D16">
        <f>SUM(D5:D13)</f>
        <v>0</v>
      </c>
      <c r="E16">
        <f t="shared" ref="E16" si="0">SUM(E5:E13)</f>
        <v>2.7024000000000004</v>
      </c>
      <c r="F16">
        <f>SUM(F5:F13)</f>
        <v>1.0070000000000001</v>
      </c>
      <c r="G16">
        <f>SUM(G5:G13)</f>
        <v>4.7169999999999996</v>
      </c>
      <c r="H16">
        <f>SUM(H5:H13)</f>
        <v>11.473000000000003</v>
      </c>
      <c r="I16">
        <f>SUM(I5:I13)</f>
        <v>4.7169999999999996</v>
      </c>
      <c r="J16">
        <f>SUM(J5:J13)</f>
        <v>19.183</v>
      </c>
    </row>
    <row r="17" spans="1:10" x14ac:dyDescent="0.25">
      <c r="A17" s="1">
        <v>1</v>
      </c>
      <c r="B17" s="2" t="s">
        <v>12</v>
      </c>
    </row>
    <row r="18" spans="1:10" x14ac:dyDescent="0.25">
      <c r="A18" s="1">
        <v>2</v>
      </c>
      <c r="B18" s="2" t="s">
        <v>9</v>
      </c>
    </row>
    <row r="19" spans="1:10" x14ac:dyDescent="0.25">
      <c r="B19" s="2" t="s">
        <v>13</v>
      </c>
      <c r="I19" s="99" t="s">
        <v>47</v>
      </c>
      <c r="J19" s="99"/>
    </row>
    <row r="20" spans="1:10" x14ac:dyDescent="0.25">
      <c r="B20" t="s">
        <v>10</v>
      </c>
      <c r="I20" s="89" t="s">
        <v>48</v>
      </c>
      <c r="J20" s="89"/>
    </row>
    <row r="21" spans="1:10" x14ac:dyDescent="0.25">
      <c r="I21" s="91" t="s">
        <v>50</v>
      </c>
      <c r="J21" s="91"/>
    </row>
    <row r="22" spans="1:10" x14ac:dyDescent="0.25">
      <c r="I22" s="90" t="s">
        <v>49</v>
      </c>
      <c r="J22" s="90"/>
    </row>
    <row r="24" spans="1:10" ht="30" x14ac:dyDescent="0.25">
      <c r="A24" s="1" t="s">
        <v>8</v>
      </c>
    </row>
    <row r="27" spans="1:10" x14ac:dyDescent="0.25">
      <c r="A27" s="1" t="s">
        <v>23</v>
      </c>
    </row>
    <row r="28" spans="1:10" ht="45" x14ac:dyDescent="0.25">
      <c r="A28" s="12" t="s">
        <v>14</v>
      </c>
      <c r="B28" s="12"/>
    </row>
    <row r="29" spans="1:10" x14ac:dyDescent="0.25">
      <c r="A29" s="12" t="s">
        <v>15</v>
      </c>
      <c r="B29" s="13" t="s">
        <v>16</v>
      </c>
    </row>
    <row r="30" spans="1:10" x14ac:dyDescent="0.25">
      <c r="A30" s="12" t="s">
        <v>17</v>
      </c>
      <c r="B30" s="13" t="s">
        <v>18</v>
      </c>
    </row>
    <row r="31" spans="1:10" x14ac:dyDescent="0.25">
      <c r="A31" s="12" t="s">
        <v>19</v>
      </c>
      <c r="B31" s="13" t="s">
        <v>20</v>
      </c>
    </row>
    <row r="32" spans="1:10" x14ac:dyDescent="0.25">
      <c r="A32" s="12" t="s">
        <v>21</v>
      </c>
      <c r="B32" s="13" t="s">
        <v>22</v>
      </c>
    </row>
  </sheetData>
  <mergeCells count="14">
    <mergeCell ref="A1:B1"/>
    <mergeCell ref="A2:B2"/>
    <mergeCell ref="A3:B3"/>
    <mergeCell ref="I19:J19"/>
    <mergeCell ref="G2:H2"/>
    <mergeCell ref="I2:J2"/>
    <mergeCell ref="C1:F1"/>
    <mergeCell ref="C3:E3"/>
    <mergeCell ref="F3:J3"/>
    <mergeCell ref="I20:J20"/>
    <mergeCell ref="I22:J22"/>
    <mergeCell ref="I21:J21"/>
    <mergeCell ref="C2:F2"/>
    <mergeCell ref="G1:J1"/>
  </mergeCells>
  <hyperlinks>
    <hyperlink ref="B17" r:id="rId1" xr:uid="{00000000-0004-0000-0000-000000000000}"/>
    <hyperlink ref="A8" r:id="rId2" display="concession fee" xr:uid="{00000000-0004-0000-0000-000001000000}"/>
    <hyperlink ref="A7" r:id="rId3" xr:uid="{00000000-0004-0000-0000-000002000000}"/>
    <hyperlink ref="A9" r:id="rId4" display="CHP-levy" xr:uid="{00000000-0004-0000-0000-000003000000}"/>
    <hyperlink ref="A12" r:id="rId5" display="§ 19 StromNEV allocation" xr:uid="{00000000-0004-0000-0000-000004000000}"/>
    <hyperlink ref="A6" r:id="rId6" xr:uid="{00000000-0004-0000-0000-000005000000}"/>
    <hyperlink ref="B18" r:id="rId7" xr:uid="{00000000-0004-0000-0000-000006000000}"/>
    <hyperlink ref="B19" r:id="rId8" xr:uid="{00000000-0004-0000-0000-000007000000}"/>
  </hyperlinks>
  <pageMargins left="0.7" right="0.7" top="0.78740157499999996" bottom="0.78740157499999996" header="0.3" footer="0.3"/>
  <pageSetup orientation="portrait" r:id="rId9"/>
  <ignoredErrors>
    <ignoredError sqref="I6" formula="1"/>
  </ignoredErrors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BFA4-E579-48E7-9466-37AC611B637D}">
  <dimension ref="A1:Y30"/>
  <sheetViews>
    <sheetView tabSelected="1" topLeftCell="B1" zoomScaleNormal="100" workbookViewId="0">
      <selection activeCell="I19" sqref="I19"/>
    </sheetView>
  </sheetViews>
  <sheetFormatPr defaultRowHeight="15" x14ac:dyDescent="0.25"/>
  <cols>
    <col min="1" max="1" width="24.28515625" customWidth="1"/>
    <col min="2" max="2" width="7.42578125" bestFit="1" customWidth="1"/>
    <col min="3" max="3" width="10.42578125" bestFit="1" customWidth="1"/>
    <col min="4" max="5" width="16.5703125" customWidth="1"/>
    <col min="6" max="6" width="11" customWidth="1"/>
    <col min="7" max="7" width="10.7109375" customWidth="1"/>
    <col min="9" max="9" width="12" bestFit="1" customWidth="1"/>
    <col min="11" max="11" width="13.5703125" bestFit="1" customWidth="1"/>
    <col min="15" max="15" width="7.140625" bestFit="1" customWidth="1"/>
    <col min="16" max="16" width="6.5703125" bestFit="1" customWidth="1"/>
    <col min="18" max="18" width="2.85546875" customWidth="1"/>
    <col min="23" max="23" width="7.140625" bestFit="1" customWidth="1"/>
  </cols>
  <sheetData>
    <row r="1" spans="1:25" ht="45" x14ac:dyDescent="0.25">
      <c r="B1" s="19"/>
      <c r="C1" s="19" t="s">
        <v>54</v>
      </c>
      <c r="D1" s="19" t="s">
        <v>105</v>
      </c>
      <c r="E1" s="19" t="s">
        <v>104</v>
      </c>
      <c r="F1" s="22" t="s">
        <v>55</v>
      </c>
      <c r="G1" s="22" t="s">
        <v>56</v>
      </c>
    </row>
    <row r="2" spans="1:25" x14ac:dyDescent="0.25">
      <c r="A2" s="4"/>
      <c r="B2" s="5" t="s">
        <v>1</v>
      </c>
      <c r="C2" s="5" t="s">
        <v>1</v>
      </c>
      <c r="D2" s="5" t="s">
        <v>1</v>
      </c>
      <c r="E2" s="5" t="s">
        <v>1</v>
      </c>
    </row>
    <row r="3" spans="1:25" ht="45" x14ac:dyDescent="0.25">
      <c r="A3" s="4" t="s">
        <v>11</v>
      </c>
      <c r="B3" s="7">
        <v>7.71</v>
      </c>
      <c r="C3" s="11">
        <f>B3</f>
        <v>7.71</v>
      </c>
      <c r="D3" s="86">
        <f>B3</f>
        <v>7.71</v>
      </c>
      <c r="E3" s="83">
        <f>0.74*B3</f>
        <v>5.7054</v>
      </c>
      <c r="K3" s="81"/>
    </row>
    <row r="4" spans="1:25" x14ac:dyDescent="0.25">
      <c r="A4" s="6" t="s">
        <v>7</v>
      </c>
      <c r="B4" s="7">
        <v>2.0499999999999998</v>
      </c>
      <c r="C4" s="11">
        <f t="shared" ref="C4:C14" si="0">B4</f>
        <v>2.0499999999999998</v>
      </c>
      <c r="D4" s="87">
        <f>B4</f>
        <v>2.0499999999999998</v>
      </c>
      <c r="E4" s="84">
        <v>0</v>
      </c>
      <c r="H4" t="s">
        <v>57</v>
      </c>
    </row>
    <row r="5" spans="1:25" x14ac:dyDescent="0.25">
      <c r="A5" s="29" t="s">
        <v>0</v>
      </c>
      <c r="B5" s="66">
        <v>6.7560000000000002</v>
      </c>
      <c r="C5" s="85">
        <f t="shared" si="0"/>
        <v>6.7560000000000002</v>
      </c>
      <c r="D5" s="88">
        <f>B5</f>
        <v>6.7560000000000002</v>
      </c>
      <c r="E5" s="84">
        <f>0.4*B5</f>
        <v>2.7024000000000004</v>
      </c>
      <c r="F5" s="20">
        <f>0.4*B5</f>
        <v>2.7024000000000004</v>
      </c>
      <c r="G5" s="21">
        <v>0</v>
      </c>
      <c r="H5" t="s">
        <v>58</v>
      </c>
    </row>
    <row r="6" spans="1:25" x14ac:dyDescent="0.25">
      <c r="A6" s="30" t="s">
        <v>5</v>
      </c>
      <c r="B6" s="31">
        <v>1.66</v>
      </c>
      <c r="C6" s="32">
        <f>B6</f>
        <v>1.66</v>
      </c>
      <c r="D6" s="33">
        <f>C6</f>
        <v>1.66</v>
      </c>
      <c r="E6" s="33">
        <f>B6</f>
        <v>1.66</v>
      </c>
      <c r="F6" s="33"/>
      <c r="X6" s="80"/>
    </row>
    <row r="7" spans="1:25" x14ac:dyDescent="0.25">
      <c r="A7" s="34" t="s">
        <v>2</v>
      </c>
      <c r="B7" s="28">
        <v>0.22600000000000001</v>
      </c>
      <c r="C7" s="11">
        <f t="shared" si="0"/>
        <v>0.22600000000000001</v>
      </c>
      <c r="D7" s="35">
        <f>C7</f>
        <v>0.22600000000000001</v>
      </c>
      <c r="E7" s="35">
        <f>B7</f>
        <v>0.22600000000000001</v>
      </c>
      <c r="F7" s="35"/>
    </row>
    <row r="8" spans="1:25" x14ac:dyDescent="0.25">
      <c r="A8" s="34" t="s">
        <v>6</v>
      </c>
      <c r="B8" s="28">
        <v>0.41599999999999998</v>
      </c>
      <c r="C8" s="11">
        <f t="shared" si="0"/>
        <v>0.41599999999999998</v>
      </c>
      <c r="D8" s="35">
        <f>C8</f>
        <v>0.41599999999999998</v>
      </c>
      <c r="E8" s="35">
        <f t="shared" ref="E8:E14" si="1">B8</f>
        <v>0.41599999999999998</v>
      </c>
      <c r="F8" s="35"/>
      <c r="K8" s="19" t="s">
        <v>111</v>
      </c>
      <c r="M8" s="41"/>
      <c r="N8" s="41"/>
      <c r="O8" s="41"/>
      <c r="P8" s="41"/>
      <c r="S8" s="19" t="s">
        <v>89</v>
      </c>
      <c r="U8" s="41"/>
      <c r="V8" s="41"/>
      <c r="W8" s="41"/>
      <c r="X8" s="41"/>
    </row>
    <row r="9" spans="1:25" x14ac:dyDescent="0.25">
      <c r="A9" s="34" t="s">
        <v>4</v>
      </c>
      <c r="B9" s="28">
        <v>7.0000000000000001E-3</v>
      </c>
      <c r="C9" s="11">
        <f t="shared" si="0"/>
        <v>7.0000000000000001E-3</v>
      </c>
      <c r="D9" s="35">
        <f>C9</f>
        <v>7.0000000000000001E-3</v>
      </c>
      <c r="E9" s="35">
        <f t="shared" si="1"/>
        <v>7.0000000000000001E-3</v>
      </c>
      <c r="F9" s="35"/>
      <c r="K9" s="45" t="s">
        <v>66</v>
      </c>
      <c r="L9" s="46"/>
      <c r="M9" s="47">
        <v>0.05</v>
      </c>
      <c r="N9" s="47"/>
      <c r="O9" s="47"/>
      <c r="P9" s="47"/>
      <c r="Q9" s="48"/>
      <c r="S9" s="45" t="s">
        <v>66</v>
      </c>
      <c r="T9" s="46"/>
      <c r="U9" s="47">
        <v>0.05</v>
      </c>
      <c r="V9" s="47"/>
      <c r="W9" s="47"/>
      <c r="X9" s="47"/>
      <c r="Y9" s="48"/>
    </row>
    <row r="10" spans="1:25" x14ac:dyDescent="0.25">
      <c r="A10" s="36" t="s">
        <v>3</v>
      </c>
      <c r="B10" s="37">
        <v>0.35799999999999998</v>
      </c>
      <c r="C10" s="38">
        <f t="shared" si="0"/>
        <v>0.35799999999999998</v>
      </c>
      <c r="D10" s="39">
        <f>C10</f>
        <v>0.35799999999999998</v>
      </c>
      <c r="E10" s="39">
        <f t="shared" si="1"/>
        <v>0.35799999999999998</v>
      </c>
      <c r="F10" s="39"/>
      <c r="K10" s="49" t="s">
        <v>63</v>
      </c>
      <c r="L10" s="44"/>
      <c r="M10" s="50">
        <v>0.19</v>
      </c>
      <c r="N10" s="50"/>
      <c r="O10" s="50"/>
      <c r="P10" s="50"/>
      <c r="Q10" s="51"/>
      <c r="S10" s="49" t="s">
        <v>63</v>
      </c>
      <c r="T10" s="44"/>
      <c r="U10" s="50">
        <v>0.19</v>
      </c>
      <c r="V10" s="50"/>
      <c r="W10" s="50"/>
      <c r="X10" s="50"/>
      <c r="Y10" s="51"/>
    </row>
    <row r="11" spans="1:25" x14ac:dyDescent="0.25">
      <c r="A11" s="104"/>
      <c r="B11" s="105"/>
      <c r="C11" s="85"/>
      <c r="E11" s="103"/>
      <c r="K11" s="49"/>
      <c r="L11" s="52" t="s">
        <v>60</v>
      </c>
      <c r="M11" s="50"/>
      <c r="N11" s="50" t="s">
        <v>61</v>
      </c>
      <c r="O11" s="50" t="s">
        <v>91</v>
      </c>
      <c r="P11" s="50" t="s">
        <v>62</v>
      </c>
      <c r="Q11" s="53" t="s">
        <v>59</v>
      </c>
      <c r="S11" s="49"/>
      <c r="T11" s="52" t="s">
        <v>60</v>
      </c>
      <c r="U11" s="50"/>
      <c r="V11" s="50" t="s">
        <v>61</v>
      </c>
      <c r="W11" s="50"/>
      <c r="X11" s="50" t="s">
        <v>62</v>
      </c>
      <c r="Y11" s="53" t="s">
        <v>59</v>
      </c>
    </row>
    <row r="12" spans="1:25" x14ac:dyDescent="0.25">
      <c r="A12" s="4" t="s">
        <v>33</v>
      </c>
      <c r="B12" s="7">
        <f>0.19*B14</f>
        <v>5.0103</v>
      </c>
      <c r="C12" s="11">
        <f t="shared" si="0"/>
        <v>5.0103</v>
      </c>
      <c r="D12" s="18"/>
      <c r="E12" s="18">
        <f t="shared" si="1"/>
        <v>5.0103</v>
      </c>
      <c r="F12" s="19"/>
      <c r="G12" s="27"/>
      <c r="K12" s="49" t="s">
        <v>64</v>
      </c>
      <c r="L12" s="52"/>
      <c r="M12" s="68">
        <f>M13*(1+$M$9+$M$10)</f>
        <v>12.238799999999999</v>
      </c>
      <c r="N12" s="115">
        <f>N13*(1+$M$9+$M$10)</f>
        <v>29.278879999999997</v>
      </c>
      <c r="O12" s="115">
        <f>(N12+P12)/2</f>
        <v>30.326090000000001</v>
      </c>
      <c r="P12" s="115">
        <f>P13*(1+$M$9+$M$10)</f>
        <v>31.373300000000004</v>
      </c>
      <c r="Q12" s="53"/>
      <c r="S12" s="49" t="s">
        <v>64</v>
      </c>
      <c r="T12" s="52"/>
      <c r="U12" s="68">
        <f t="shared" ref="U12:W12" si="2">U13*(1+$U$9+$U$10)</f>
        <v>12.238799999999999</v>
      </c>
      <c r="V12" s="115">
        <f>V13*(1+$U$9+$U$10)</f>
        <v>41.8748</v>
      </c>
      <c r="W12" s="68">
        <f t="shared" si="2"/>
        <v>0</v>
      </c>
      <c r="X12" s="115">
        <f>X13*(1+$U$9+$U$10)</f>
        <v>31.373300000000004</v>
      </c>
      <c r="Y12" s="53"/>
    </row>
    <row r="13" spans="1:25" x14ac:dyDescent="0.25">
      <c r="A13" s="9" t="s">
        <v>34</v>
      </c>
      <c r="B13" s="10">
        <v>7.18</v>
      </c>
      <c r="C13" s="11">
        <f t="shared" si="0"/>
        <v>7.18</v>
      </c>
      <c r="D13" s="18"/>
      <c r="E13" s="18">
        <f t="shared" si="1"/>
        <v>7.18</v>
      </c>
      <c r="K13" s="49" t="s">
        <v>67</v>
      </c>
      <c r="L13" s="52">
        <f>9.87</f>
        <v>9.8699999999999992</v>
      </c>
      <c r="M13" s="69">
        <f>L13</f>
        <v>9.8699999999999992</v>
      </c>
      <c r="N13" s="118">
        <f>23.612</f>
        <v>23.611999999999998</v>
      </c>
      <c r="O13" s="115">
        <f>O12*(1/(1+M9+M10))</f>
        <v>24.45652419354839</v>
      </c>
      <c r="P13" s="115">
        <f>(1/(1+M9+M10))*Q13</f>
        <v>25.301048387096778</v>
      </c>
      <c r="Q13" s="54">
        <f>$B$15</f>
        <v>31.3733</v>
      </c>
      <c r="S13" s="49" t="s">
        <v>67</v>
      </c>
      <c r="T13" s="52">
        <f>9.87</f>
        <v>9.8699999999999992</v>
      </c>
      <c r="U13" s="69">
        <f>T13</f>
        <v>9.8699999999999992</v>
      </c>
      <c r="V13" s="118">
        <v>33.770000000000003</v>
      </c>
      <c r="W13" s="70"/>
      <c r="X13" s="115">
        <f>(1/(1+U9+U10))*Y13</f>
        <v>25.301048387096778</v>
      </c>
      <c r="Y13" s="54">
        <f>$B$15</f>
        <v>31.3733</v>
      </c>
    </row>
    <row r="14" spans="1:25" ht="30" x14ac:dyDescent="0.25">
      <c r="A14" s="4" t="s">
        <v>32</v>
      </c>
      <c r="B14" s="7">
        <v>26.37</v>
      </c>
      <c r="C14" s="11">
        <f t="shared" si="0"/>
        <v>26.37</v>
      </c>
      <c r="D14" s="18"/>
      <c r="E14" s="18">
        <f t="shared" si="1"/>
        <v>26.37</v>
      </c>
      <c r="I14" s="18">
        <f>N24-N25</f>
        <v>3.2980799999999988</v>
      </c>
      <c r="K14" s="49" t="s">
        <v>98</v>
      </c>
      <c r="L14" s="44"/>
      <c r="M14" s="50">
        <f>M13-$B$25</f>
        <v>-1.2048000000000023</v>
      </c>
      <c r="N14" s="11">
        <f>N13-$B$25</f>
        <v>12.537199999999997</v>
      </c>
      <c r="O14" s="120">
        <f>O13-B25</f>
        <v>13.381724193548388</v>
      </c>
      <c r="P14" s="11">
        <f>P13-$B$25</f>
        <v>14.226248387096776</v>
      </c>
      <c r="Q14" s="51"/>
      <c r="S14" s="49" t="s">
        <v>98</v>
      </c>
      <c r="T14" s="44"/>
      <c r="U14" s="50">
        <f>U13-$C$25</f>
        <v>-9.3130000000000006</v>
      </c>
      <c r="V14" s="11">
        <f>V13-C25</f>
        <v>14.587000000000003</v>
      </c>
      <c r="W14" s="50"/>
      <c r="X14" s="11">
        <f>X13-$C$25</f>
        <v>6.1180483870967777</v>
      </c>
      <c r="Y14" s="51"/>
    </row>
    <row r="15" spans="1:25" x14ac:dyDescent="0.25">
      <c r="A15" s="1"/>
      <c r="B15" s="11">
        <f>SUM(B3:B13)</f>
        <v>31.3733</v>
      </c>
      <c r="C15" s="11">
        <f>SUM(C3:C13)</f>
        <v>31.3733</v>
      </c>
      <c r="D15" s="18"/>
      <c r="E15" s="18">
        <f>SUM(E3:E13)</f>
        <v>23.2651</v>
      </c>
      <c r="H15" s="18">
        <f>P12-I15</f>
        <v>30.686200000000003</v>
      </c>
      <c r="I15" s="18">
        <f>(I14/24)*5</f>
        <v>0.68709999999999982</v>
      </c>
      <c r="K15" s="49" t="s">
        <v>99</v>
      </c>
      <c r="L15" s="44"/>
      <c r="M15" s="50">
        <f>M14-$B$24</f>
        <v>-3.8718000000000026</v>
      </c>
      <c r="N15" s="11">
        <f>N14-$B$24</f>
        <v>9.870199999999997</v>
      </c>
      <c r="O15" s="11">
        <f>O14-$B$24</f>
        <v>10.714724193548388</v>
      </c>
      <c r="P15" s="11">
        <f>P14-$B$24</f>
        <v>11.559248387096776</v>
      </c>
      <c r="Q15" s="51"/>
      <c r="S15" s="49" t="s">
        <v>99</v>
      </c>
      <c r="T15" s="44"/>
      <c r="U15" s="50">
        <f>U14-$B$24-$D$4</f>
        <v>-14.030000000000001</v>
      </c>
      <c r="V15" s="11">
        <f>V14-C24</f>
        <v>9.8700000000000028</v>
      </c>
      <c r="W15" s="50"/>
      <c r="X15" s="11">
        <f>X14-$C$24</f>
        <v>1.4010483870967771</v>
      </c>
      <c r="Y15" s="51"/>
    </row>
    <row r="16" spans="1:25" x14ac:dyDescent="0.25">
      <c r="A16" s="1"/>
      <c r="B16" s="11"/>
      <c r="C16" s="11"/>
      <c r="D16" s="18"/>
      <c r="E16" s="18"/>
      <c r="I16" s="18">
        <f>(I14/24)*19</f>
        <v>2.6109799999999992</v>
      </c>
      <c r="K16" s="49" t="s">
        <v>65</v>
      </c>
      <c r="L16" s="44"/>
      <c r="M16" s="50">
        <f>M15-$L$13</f>
        <v>-13.741800000000001</v>
      </c>
      <c r="N16" s="11">
        <f>N15-$L$13</f>
        <v>1.9999999999775753E-4</v>
      </c>
      <c r="O16" s="11">
        <f>O15-$L$13</f>
        <v>0.84472419354838912</v>
      </c>
      <c r="P16" s="11">
        <f>P15-$L$13</f>
        <v>1.6892483870967769</v>
      </c>
      <c r="Q16" s="51"/>
      <c r="S16" s="49" t="s">
        <v>65</v>
      </c>
      <c r="T16" s="44"/>
      <c r="U16" s="50">
        <f>U14-$T$13</f>
        <v>-19.183</v>
      </c>
      <c r="V16" s="11">
        <f>V15-T13</f>
        <v>0</v>
      </c>
      <c r="W16" s="50"/>
      <c r="X16" s="11">
        <f>X15-$T$13</f>
        <v>-8.4689516129032221</v>
      </c>
      <c r="Y16" s="51"/>
    </row>
    <row r="17" spans="1:25" x14ac:dyDescent="0.25">
      <c r="A17" s="67" t="s">
        <v>86</v>
      </c>
      <c r="B17" s="18"/>
      <c r="C17" s="18">
        <f>B15-C25</f>
        <v>12.190300000000001</v>
      </c>
      <c r="K17" s="55" t="s">
        <v>92</v>
      </c>
      <c r="L17" s="56"/>
      <c r="M17" s="57"/>
      <c r="N17" s="57"/>
      <c r="O17" s="116">
        <f>O12-B25</f>
        <v>19.251289999999997</v>
      </c>
      <c r="P17" s="57"/>
      <c r="Q17" s="58"/>
      <c r="S17" s="55" t="s">
        <v>92</v>
      </c>
      <c r="T17" s="56"/>
      <c r="U17" s="57"/>
      <c r="V17" s="57"/>
      <c r="W17" s="57"/>
      <c r="X17" s="116">
        <f>X12-C25</f>
        <v>12.190300000000004</v>
      </c>
      <c r="Y17" s="58"/>
    </row>
    <row r="18" spans="1:25" x14ac:dyDescent="0.25">
      <c r="A18" s="2" t="s">
        <v>51</v>
      </c>
      <c r="O18" s="82">
        <f>O14/O17</f>
        <v>0.6951079223027854</v>
      </c>
      <c r="X18" s="82">
        <f>X14/X17</f>
        <v>0.50187841046543358</v>
      </c>
    </row>
    <row r="20" spans="1:25" x14ac:dyDescent="0.25">
      <c r="A20" s="19" t="s">
        <v>52</v>
      </c>
      <c r="K20" s="19" t="s">
        <v>90</v>
      </c>
      <c r="M20" s="41"/>
      <c r="N20" s="41"/>
      <c r="O20" s="41"/>
      <c r="P20" s="41"/>
      <c r="S20" s="19" t="s">
        <v>110</v>
      </c>
      <c r="U20" s="41"/>
      <c r="V20" s="41"/>
      <c r="W20" s="41"/>
      <c r="X20" s="41"/>
    </row>
    <row r="21" spans="1:25" x14ac:dyDescent="0.25">
      <c r="A21" t="s">
        <v>53</v>
      </c>
      <c r="K21" s="45" t="s">
        <v>66</v>
      </c>
      <c r="L21" s="46"/>
      <c r="M21" s="47">
        <v>0.05</v>
      </c>
      <c r="N21" s="47"/>
      <c r="O21" s="47"/>
      <c r="P21" s="47"/>
      <c r="Q21" s="48"/>
      <c r="S21" s="45" t="s">
        <v>66</v>
      </c>
      <c r="T21" s="46"/>
      <c r="U21" s="47">
        <v>0.05</v>
      </c>
      <c r="V21" s="47"/>
      <c r="W21" s="47"/>
      <c r="X21" s="47"/>
      <c r="Y21" s="48"/>
    </row>
    <row r="22" spans="1:25" ht="15.75" thickBot="1" x14ac:dyDescent="0.3">
      <c r="K22" s="49" t="s">
        <v>63</v>
      </c>
      <c r="L22" s="44"/>
      <c r="M22" s="50">
        <v>0.19</v>
      </c>
      <c r="N22" s="50"/>
      <c r="O22" s="50"/>
      <c r="P22" s="50"/>
      <c r="Q22" s="51"/>
      <c r="S22" s="49" t="s">
        <v>63</v>
      </c>
      <c r="T22" s="44"/>
      <c r="U22" s="50">
        <v>0.19</v>
      </c>
      <c r="V22" s="50"/>
      <c r="W22" s="50"/>
      <c r="X22" s="50"/>
      <c r="Y22" s="51"/>
    </row>
    <row r="23" spans="1:25" x14ac:dyDescent="0.25">
      <c r="A23" s="106"/>
      <c r="B23" s="107" t="s">
        <v>106</v>
      </c>
      <c r="C23" s="108" t="s">
        <v>107</v>
      </c>
      <c r="K23" s="49"/>
      <c r="L23" s="52" t="s">
        <v>60</v>
      </c>
      <c r="M23" s="50"/>
      <c r="N23" s="50" t="s">
        <v>61</v>
      </c>
      <c r="O23" s="50" t="s">
        <v>91</v>
      </c>
      <c r="P23" s="50" t="s">
        <v>62</v>
      </c>
      <c r="Q23" s="53" t="s">
        <v>59</v>
      </c>
      <c r="S23" s="49"/>
      <c r="T23" s="52" t="s">
        <v>60</v>
      </c>
      <c r="U23" s="50"/>
      <c r="V23" s="50" t="s">
        <v>61</v>
      </c>
      <c r="W23" s="50" t="s">
        <v>91</v>
      </c>
      <c r="X23" s="50" t="s">
        <v>62</v>
      </c>
      <c r="Y23" s="53" t="s">
        <v>59</v>
      </c>
    </row>
    <row r="24" spans="1:25" x14ac:dyDescent="0.25">
      <c r="A24" s="109" t="s">
        <v>109</v>
      </c>
      <c r="B24" s="110">
        <f>SUM(E6:E10)</f>
        <v>2.6670000000000003</v>
      </c>
      <c r="C24" s="111">
        <f>SUM(E6:E10)+D4</f>
        <v>4.7170000000000005</v>
      </c>
      <c r="K24" s="49" t="s">
        <v>64</v>
      </c>
      <c r="L24" s="52"/>
      <c r="M24" s="43">
        <f t="shared" ref="M24:N24" si="3">M25*(1+$M$21+$M$22)</f>
        <v>0</v>
      </c>
      <c r="N24" s="117">
        <f t="shared" si="3"/>
        <v>17.04008</v>
      </c>
      <c r="O24" s="117">
        <f>(N24+P24)/2</f>
        <v>24.206690000000002</v>
      </c>
      <c r="P24" s="117">
        <f>P25*(1+$M$21+$M$22)</f>
        <v>31.373300000000004</v>
      </c>
      <c r="Q24" s="53"/>
      <c r="S24" s="49" t="s">
        <v>64</v>
      </c>
      <c r="T24" s="52"/>
      <c r="U24" s="40">
        <f>U25*(1+$U$21+$U$22)</f>
        <v>0</v>
      </c>
      <c r="V24" s="7">
        <f>V25*(1+$U$21+$U$22)</f>
        <v>29.635999999999999</v>
      </c>
      <c r="W24" s="7">
        <f>(V24+X24)/2</f>
        <v>30.504650000000002</v>
      </c>
      <c r="X24" s="117">
        <f>X25*(1+U21+U22)</f>
        <v>31.373300000000004</v>
      </c>
      <c r="Y24" s="53"/>
    </row>
    <row r="25" spans="1:25" ht="15.75" thickBot="1" x14ac:dyDescent="0.3">
      <c r="A25" s="112" t="s">
        <v>108</v>
      </c>
      <c r="B25" s="113">
        <f>SUM(E3:E10)</f>
        <v>11.074800000000002</v>
      </c>
      <c r="C25" s="114">
        <f>SUM(D3:D5)+B24</f>
        <v>19.183</v>
      </c>
      <c r="K25" s="49" t="s">
        <v>67</v>
      </c>
      <c r="L25" s="59">
        <v>0</v>
      </c>
      <c r="M25" s="42">
        <f>L25</f>
        <v>0</v>
      </c>
      <c r="N25" s="119">
        <v>13.742000000000001</v>
      </c>
      <c r="O25" s="119">
        <f>O24*(1/(1+M21+M22))</f>
        <v>19.521524193548391</v>
      </c>
      <c r="P25" s="117">
        <f>(1/(1+M21+M22))*Q25</f>
        <v>25.301048387096778</v>
      </c>
      <c r="Q25" s="54">
        <f>$B$15</f>
        <v>31.3733</v>
      </c>
      <c r="S25" s="49" t="s">
        <v>67</v>
      </c>
      <c r="T25" s="59">
        <v>0</v>
      </c>
      <c r="U25" s="42">
        <f>T25</f>
        <v>0</v>
      </c>
      <c r="V25" s="119">
        <v>23.9</v>
      </c>
      <c r="W25" s="119">
        <f>W24*(1/(1+U21+U22))</f>
        <v>24.600524193548392</v>
      </c>
      <c r="X25" s="117">
        <f>(1/(1+U21+U22))*Y25</f>
        <v>25.301048387096778</v>
      </c>
      <c r="Y25" s="54">
        <f>$B$15</f>
        <v>31.3733</v>
      </c>
    </row>
    <row r="26" spans="1:25" x14ac:dyDescent="0.25">
      <c r="K26" s="49" t="s">
        <v>98</v>
      </c>
      <c r="L26" s="44"/>
      <c r="M26" s="50">
        <f>M25-$B$25</f>
        <v>-11.074800000000002</v>
      </c>
      <c r="N26" s="11">
        <f>N25-$B$25</f>
        <v>2.6671999999999993</v>
      </c>
      <c r="O26" s="120">
        <f>O25-B25</f>
        <v>8.4467241935483894</v>
      </c>
      <c r="P26" s="11">
        <f>P25-$B$25</f>
        <v>14.226248387096776</v>
      </c>
      <c r="Q26" s="51"/>
      <c r="S26" s="49" t="s">
        <v>98</v>
      </c>
      <c r="T26" s="44"/>
      <c r="U26" s="50">
        <f>U25-$C$25</f>
        <v>-19.183</v>
      </c>
      <c r="V26" s="11">
        <f>V25-$C$25</f>
        <v>4.7169999999999987</v>
      </c>
      <c r="W26" s="120">
        <f>W25-C25</f>
        <v>5.4175241935483918</v>
      </c>
      <c r="X26" s="11">
        <f>X25-$C$25</f>
        <v>6.1180483870967777</v>
      </c>
      <c r="Y26" s="51"/>
    </row>
    <row r="27" spans="1:25" x14ac:dyDescent="0.25">
      <c r="K27" s="49" t="s">
        <v>99</v>
      </c>
      <c r="L27" s="44"/>
      <c r="M27" s="50">
        <f>M26-$B$24</f>
        <v>-13.741800000000001</v>
      </c>
      <c r="N27" s="11">
        <f>N26-$B$24</f>
        <v>1.9999999999908979E-4</v>
      </c>
      <c r="O27" s="11">
        <f>O26-$B$24</f>
        <v>5.7797241935483896</v>
      </c>
      <c r="P27" s="11">
        <f>P26-$B$24</f>
        <v>11.559248387096776</v>
      </c>
      <c r="Q27" s="51"/>
      <c r="S27" s="49" t="s">
        <v>99</v>
      </c>
      <c r="T27" s="44"/>
      <c r="U27" s="50">
        <f>U26-$B$24-$D$4</f>
        <v>-23.900000000000002</v>
      </c>
      <c r="V27" s="11">
        <f>V26-$B$24-D4</f>
        <v>0</v>
      </c>
      <c r="W27" s="11">
        <f>W26-B24-D4</f>
        <v>0.70052419354839168</v>
      </c>
      <c r="X27" s="11">
        <f>X26-$C$24</f>
        <v>1.4010483870967771</v>
      </c>
      <c r="Y27" s="51"/>
    </row>
    <row r="28" spans="1:25" x14ac:dyDescent="0.25">
      <c r="K28" s="49" t="s">
        <v>65</v>
      </c>
      <c r="L28" s="44"/>
      <c r="M28" s="50">
        <f>M27-$L$25</f>
        <v>-13.741800000000001</v>
      </c>
      <c r="N28" s="11">
        <f>N27-$L$25</f>
        <v>1.9999999999908979E-4</v>
      </c>
      <c r="O28" s="11">
        <f>O27-$L$25</f>
        <v>5.7797241935483896</v>
      </c>
      <c r="P28" s="11">
        <f>P27-$L$25</f>
        <v>11.559248387096776</v>
      </c>
      <c r="Q28" s="51"/>
      <c r="S28" s="49" t="s">
        <v>65</v>
      </c>
      <c r="T28" s="44"/>
      <c r="U28" s="50">
        <f>U27-$T$25</f>
        <v>-23.900000000000002</v>
      </c>
      <c r="V28" s="11">
        <f t="shared" ref="V28:X28" si="4">V27-$T$25</f>
        <v>0</v>
      </c>
      <c r="W28" s="11">
        <f t="shared" si="4"/>
        <v>0.70052419354839168</v>
      </c>
      <c r="X28" s="11">
        <f t="shared" si="4"/>
        <v>1.4010483870967771</v>
      </c>
      <c r="Y28" s="51"/>
    </row>
    <row r="29" spans="1:25" x14ac:dyDescent="0.25">
      <c r="K29" s="55"/>
      <c r="L29" s="56"/>
      <c r="M29" s="56"/>
      <c r="N29" s="56"/>
      <c r="O29" s="116">
        <f>O24-B25</f>
        <v>13.13189</v>
      </c>
      <c r="P29" s="56"/>
      <c r="Q29" s="58"/>
      <c r="S29" s="55"/>
      <c r="T29" s="56"/>
      <c r="U29" s="56"/>
      <c r="V29" s="56"/>
      <c r="W29" s="116">
        <f>W24-C25</f>
        <v>11.321650000000002</v>
      </c>
      <c r="X29" s="56"/>
      <c r="Y29" s="58"/>
    </row>
    <row r="30" spans="1:25" x14ac:dyDescent="0.25">
      <c r="O30" s="82">
        <f>O26/O29</f>
        <v>0.6432222774900177</v>
      </c>
      <c r="W30" s="102">
        <f>W26/W29</f>
        <v>0.47851012825413175</v>
      </c>
    </row>
  </sheetData>
  <conditionalFormatting sqref="M17:N17 P17 M16:P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:P13 M12:P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P2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P24 P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X16 U17:W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:X12 X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X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4:X24 X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P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:X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N17 P17 U17:W17 M28:P28 U16:X16 M12:P16 M24:P26 U12:X14 U24:X26 U28:X2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:X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6" r:id="rId1" display="concession fee" xr:uid="{64EECA80-46F5-40E0-8DD6-219781DDD7C2}"/>
    <hyperlink ref="A5" r:id="rId2" xr:uid="{78B22855-A6F8-458F-8F09-4C33FFC28F22}"/>
    <hyperlink ref="A7" r:id="rId3" display="CHP-levy" xr:uid="{009A41F8-F8F4-4DB6-9EF9-4D58E5CED01C}"/>
    <hyperlink ref="A10" r:id="rId4" display="§ 19 StromNEV allocation" xr:uid="{85E61DA2-DF6E-4AAD-B9A2-3651B78A5683}"/>
    <hyperlink ref="A4" r:id="rId5" xr:uid="{859EAF6E-E20F-4A7A-AE32-41007D282D8C}"/>
    <hyperlink ref="A18" r:id="rId6" xr:uid="{E12B8BA0-DA7F-44BE-8EBD-32FE90055E03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08774-07FF-45C0-A96C-B10A66786E5C}">
  <dimension ref="A1:Q59"/>
  <sheetViews>
    <sheetView topLeftCell="A28" workbookViewId="0">
      <selection activeCell="H60" sqref="H60"/>
    </sheetView>
  </sheetViews>
  <sheetFormatPr defaultRowHeight="15" x14ac:dyDescent="0.25"/>
  <cols>
    <col min="1" max="2" width="20.140625" customWidth="1"/>
  </cols>
  <sheetData>
    <row r="1" spans="1:17" x14ac:dyDescent="0.25">
      <c r="A1" s="19" t="s">
        <v>94</v>
      </c>
      <c r="B1" s="19"/>
    </row>
    <row r="2" spans="1:17" x14ac:dyDescent="0.25">
      <c r="C2" t="s">
        <v>81</v>
      </c>
      <c r="D2" t="s">
        <v>68</v>
      </c>
      <c r="E2" t="s">
        <v>69</v>
      </c>
      <c r="F2" t="s">
        <v>70</v>
      </c>
      <c r="G2" t="s">
        <v>71</v>
      </c>
      <c r="H2" t="s">
        <v>72</v>
      </c>
      <c r="I2" t="s">
        <v>73</v>
      </c>
      <c r="J2" t="s">
        <v>74</v>
      </c>
      <c r="K2" t="s">
        <v>75</v>
      </c>
      <c r="L2" t="s">
        <v>76</v>
      </c>
      <c r="M2" t="s">
        <v>77</v>
      </c>
      <c r="N2" t="s">
        <v>78</v>
      </c>
      <c r="O2" t="s">
        <v>79</v>
      </c>
      <c r="P2" t="s">
        <v>80</v>
      </c>
      <c r="Q2" t="s">
        <v>82</v>
      </c>
    </row>
    <row r="3" spans="1:17" x14ac:dyDescent="0.25">
      <c r="A3" t="s">
        <v>88</v>
      </c>
      <c r="B3" s="74">
        <v>9.8699999999999992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t="s">
        <v>85</v>
      </c>
      <c r="B4">
        <v>12.19</v>
      </c>
      <c r="C4">
        <v>0</v>
      </c>
      <c r="D4">
        <v>0</v>
      </c>
      <c r="E4">
        <v>-1</v>
      </c>
      <c r="F4">
        <v>0</v>
      </c>
      <c r="G4">
        <v>0</v>
      </c>
      <c r="H4">
        <v>0</v>
      </c>
      <c r="I4">
        <v>-1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84</v>
      </c>
      <c r="B5" s="75">
        <v>12.19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0.502</v>
      </c>
      <c r="N5">
        <v>0.502</v>
      </c>
      <c r="O5">
        <v>-1</v>
      </c>
      <c r="P5">
        <v>-1</v>
      </c>
      <c r="Q5">
        <v>-1</v>
      </c>
    </row>
    <row r="6" spans="1:17" x14ac:dyDescent="0.25">
      <c r="A6" s="4" t="s">
        <v>83</v>
      </c>
      <c r="B6" s="7">
        <v>7.71</v>
      </c>
      <c r="C6" s="63">
        <v>0</v>
      </c>
      <c r="D6" s="61">
        <v>0</v>
      </c>
      <c r="E6" s="63">
        <v>-1</v>
      </c>
      <c r="F6" s="63">
        <v>0</v>
      </c>
      <c r="G6" s="63">
        <v>0</v>
      </c>
      <c r="H6" s="63">
        <v>0</v>
      </c>
      <c r="I6" s="63">
        <v>-1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-1</v>
      </c>
      <c r="P6" s="63">
        <v>-1</v>
      </c>
      <c r="Q6" s="63">
        <v>-1</v>
      </c>
    </row>
    <row r="7" spans="1:17" x14ac:dyDescent="0.25">
      <c r="A7" s="6" t="s">
        <v>7</v>
      </c>
      <c r="B7" s="7">
        <v>2.0499999999999998</v>
      </c>
      <c r="C7" s="63">
        <v>0</v>
      </c>
      <c r="D7" s="61">
        <v>0</v>
      </c>
      <c r="E7" s="63">
        <v>-1</v>
      </c>
      <c r="F7" s="63">
        <v>0</v>
      </c>
      <c r="G7" s="63">
        <v>0</v>
      </c>
      <c r="H7" s="63">
        <v>0</v>
      </c>
      <c r="I7" s="63">
        <v>-1</v>
      </c>
      <c r="J7" s="63">
        <v>0</v>
      </c>
      <c r="K7" s="63">
        <v>0</v>
      </c>
      <c r="L7" s="63">
        <v>0</v>
      </c>
      <c r="M7" s="63">
        <v>-1</v>
      </c>
      <c r="N7" s="63">
        <v>-1</v>
      </c>
      <c r="O7" s="63">
        <v>-1</v>
      </c>
      <c r="P7" s="63">
        <v>-1</v>
      </c>
      <c r="Q7" s="63">
        <v>-1</v>
      </c>
    </row>
    <row r="8" spans="1:17" x14ac:dyDescent="0.25">
      <c r="A8" s="29" t="s">
        <v>0</v>
      </c>
      <c r="B8" s="66">
        <v>6.7560000000000002</v>
      </c>
      <c r="C8" s="63">
        <v>0</v>
      </c>
      <c r="D8" s="61">
        <v>-0.4</v>
      </c>
      <c r="E8" s="63">
        <v>-1</v>
      </c>
      <c r="F8" s="63">
        <v>0</v>
      </c>
      <c r="G8" s="63">
        <v>0</v>
      </c>
      <c r="H8" s="63">
        <v>0</v>
      </c>
      <c r="I8" s="63">
        <v>-1</v>
      </c>
      <c r="J8" s="62">
        <v>-0.4</v>
      </c>
      <c r="K8" s="63">
        <v>0</v>
      </c>
      <c r="L8" s="63">
        <v>0</v>
      </c>
      <c r="M8" s="63">
        <v>0</v>
      </c>
      <c r="N8" s="63">
        <v>0</v>
      </c>
      <c r="O8" s="63">
        <v>-1</v>
      </c>
      <c r="P8" s="63">
        <v>-1</v>
      </c>
      <c r="Q8" s="63">
        <v>-1</v>
      </c>
    </row>
    <row r="9" spans="1:17" x14ac:dyDescent="0.25">
      <c r="A9" s="71" t="s">
        <v>93</v>
      </c>
      <c r="B9" s="72">
        <v>2.6669999999999998</v>
      </c>
      <c r="C9" s="77">
        <v>0</v>
      </c>
      <c r="D9" s="78">
        <v>0</v>
      </c>
      <c r="E9" s="77">
        <v>-1</v>
      </c>
      <c r="F9" s="77">
        <v>-1</v>
      </c>
      <c r="G9" s="77">
        <v>0</v>
      </c>
      <c r="H9" s="77">
        <v>0</v>
      </c>
      <c r="I9" s="77">
        <v>-1</v>
      </c>
      <c r="J9" s="77">
        <v>0</v>
      </c>
      <c r="K9" s="77">
        <v>0</v>
      </c>
      <c r="L9" s="77">
        <v>0</v>
      </c>
      <c r="M9" s="77">
        <v>-1</v>
      </c>
      <c r="N9" s="77">
        <v>0</v>
      </c>
      <c r="O9" s="77">
        <v>-1</v>
      </c>
      <c r="P9" s="77">
        <v>-1</v>
      </c>
      <c r="Q9" s="77">
        <v>-1</v>
      </c>
    </row>
    <row r="10" spans="1:17" x14ac:dyDescent="0.25">
      <c r="A10" s="30" t="s">
        <v>5</v>
      </c>
      <c r="B10" s="31">
        <v>1.66</v>
      </c>
      <c r="C10" s="79">
        <f>SUMPRODUCT($B$3:$B$9,C3:C9)</f>
        <v>0</v>
      </c>
      <c r="D10" s="79">
        <f t="shared" ref="D10:Q10" si="0">SUMPRODUCT($B$3:$B$9,D3:D9)</f>
        <v>-2.7024000000000004</v>
      </c>
      <c r="E10" s="79">
        <f t="shared" si="0"/>
        <v>-31.372999999999998</v>
      </c>
      <c r="F10" s="79">
        <f t="shared" si="0"/>
        <v>-2.6669999999999998</v>
      </c>
      <c r="G10" s="79">
        <f t="shared" si="0"/>
        <v>9.8699999999999992</v>
      </c>
      <c r="H10" s="79">
        <f t="shared" si="0"/>
        <v>0</v>
      </c>
      <c r="I10" s="79">
        <f t="shared" si="0"/>
        <v>-31.372999999999998</v>
      </c>
      <c r="J10" s="79">
        <f t="shared" si="0"/>
        <v>-2.7024000000000004</v>
      </c>
      <c r="K10" s="79">
        <f t="shared" si="0"/>
        <v>0</v>
      </c>
      <c r="L10" s="79">
        <f t="shared" si="0"/>
        <v>0</v>
      </c>
      <c r="M10" s="79">
        <f t="shared" si="0"/>
        <v>1.40238</v>
      </c>
      <c r="N10" s="79">
        <f t="shared" si="0"/>
        <v>4.0693799999999998</v>
      </c>
      <c r="O10" s="79">
        <f t="shared" si="0"/>
        <v>-31.372999999999998</v>
      </c>
      <c r="P10" s="79">
        <f t="shared" si="0"/>
        <v>-31.372999999999998</v>
      </c>
      <c r="Q10" s="79">
        <f t="shared" si="0"/>
        <v>-31.372999999999998</v>
      </c>
    </row>
    <row r="11" spans="1:17" x14ac:dyDescent="0.25">
      <c r="A11" s="34" t="s">
        <v>2</v>
      </c>
      <c r="B11" s="28">
        <v>0.22600000000000001</v>
      </c>
      <c r="C11" s="64"/>
      <c r="D11" s="65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</row>
    <row r="12" spans="1:17" x14ac:dyDescent="0.25">
      <c r="A12" s="34" t="s">
        <v>6</v>
      </c>
      <c r="B12" s="28">
        <v>0.41599999999999998</v>
      </c>
      <c r="C12" s="64"/>
      <c r="D12" s="73" t="s">
        <v>100</v>
      </c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</row>
    <row r="13" spans="1:17" x14ac:dyDescent="0.25">
      <c r="A13" s="34" t="s">
        <v>4</v>
      </c>
      <c r="B13" s="28">
        <v>7.0000000000000001E-3</v>
      </c>
      <c r="C13" s="64"/>
      <c r="D13" s="65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</row>
    <row r="14" spans="1:17" x14ac:dyDescent="0.25">
      <c r="A14" s="36" t="s">
        <v>3</v>
      </c>
      <c r="B14" s="37">
        <v>0.35799999999999998</v>
      </c>
    </row>
    <row r="16" spans="1:17" x14ac:dyDescent="0.25">
      <c r="A16" s="19" t="s">
        <v>95</v>
      </c>
      <c r="B16" s="19"/>
    </row>
    <row r="17" spans="1:17" x14ac:dyDescent="0.25">
      <c r="C17" t="s">
        <v>81</v>
      </c>
      <c r="D17" t="s">
        <v>68</v>
      </c>
      <c r="E17" t="s">
        <v>69</v>
      </c>
      <c r="F17" t="s">
        <v>70</v>
      </c>
      <c r="G17" t="s">
        <v>71</v>
      </c>
      <c r="H17" t="s">
        <v>72</v>
      </c>
      <c r="I17" t="s">
        <v>73</v>
      </c>
      <c r="J17" t="s">
        <v>74</v>
      </c>
      <c r="K17" t="s">
        <v>75</v>
      </c>
      <c r="L17" t="s">
        <v>76</v>
      </c>
      <c r="M17" t="s">
        <v>77</v>
      </c>
      <c r="N17" t="s">
        <v>78</v>
      </c>
      <c r="O17" t="s">
        <v>79</v>
      </c>
      <c r="P17" t="s">
        <v>80</v>
      </c>
      <c r="Q17" t="s">
        <v>82</v>
      </c>
    </row>
    <row r="18" spans="1:17" x14ac:dyDescent="0.25">
      <c r="A18" t="s">
        <v>88</v>
      </c>
      <c r="B18" s="74">
        <v>9.8699999999999992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t="s">
        <v>85</v>
      </c>
      <c r="B19">
        <v>12.19</v>
      </c>
      <c r="C19">
        <v>0</v>
      </c>
      <c r="D19">
        <v>0</v>
      </c>
      <c r="E19">
        <v>-1</v>
      </c>
      <c r="F19">
        <v>0</v>
      </c>
      <c r="G19">
        <v>0</v>
      </c>
      <c r="H19">
        <v>0</v>
      </c>
      <c r="I19">
        <v>-1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t="s">
        <v>87</v>
      </c>
      <c r="B20" s="76">
        <v>19.25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0.69499999999999995</v>
      </c>
      <c r="N20">
        <v>0.69499999999999995</v>
      </c>
      <c r="O20">
        <v>-1</v>
      </c>
      <c r="P20">
        <v>-1</v>
      </c>
      <c r="Q20">
        <v>-1</v>
      </c>
    </row>
    <row r="21" spans="1:17" x14ac:dyDescent="0.25">
      <c r="A21" s="4" t="s">
        <v>83</v>
      </c>
      <c r="B21" s="7">
        <v>7.71</v>
      </c>
      <c r="C21" s="63">
        <v>0</v>
      </c>
      <c r="D21" s="61">
        <v>0</v>
      </c>
      <c r="E21" s="63">
        <v>-1</v>
      </c>
      <c r="F21" s="63">
        <v>0</v>
      </c>
      <c r="G21" s="63">
        <v>0</v>
      </c>
      <c r="H21" s="63">
        <v>0</v>
      </c>
      <c r="I21" s="63">
        <v>-1</v>
      </c>
      <c r="J21" s="63">
        <v>0</v>
      </c>
      <c r="K21" s="63">
        <v>0</v>
      </c>
      <c r="L21" s="63">
        <v>0</v>
      </c>
      <c r="M21" s="62">
        <v>0</v>
      </c>
      <c r="N21" s="62">
        <v>0</v>
      </c>
      <c r="O21" s="60">
        <v>-0.74</v>
      </c>
      <c r="P21" s="60">
        <v>-0.74</v>
      </c>
      <c r="Q21" s="60">
        <v>-0.74</v>
      </c>
    </row>
    <row r="22" spans="1:17" x14ac:dyDescent="0.25">
      <c r="A22" s="6" t="s">
        <v>7</v>
      </c>
      <c r="B22" s="7">
        <v>2.0499999999999998</v>
      </c>
      <c r="C22" s="63">
        <v>0</v>
      </c>
      <c r="D22" s="61">
        <v>0</v>
      </c>
      <c r="E22" s="63">
        <v>-1</v>
      </c>
      <c r="F22" s="63">
        <v>0</v>
      </c>
      <c r="G22" s="63">
        <v>0</v>
      </c>
      <c r="H22" s="63">
        <v>0</v>
      </c>
      <c r="I22" s="63">
        <v>-1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  <c r="P22" s="63">
        <v>0</v>
      </c>
      <c r="Q22" s="63">
        <v>0</v>
      </c>
    </row>
    <row r="23" spans="1:17" x14ac:dyDescent="0.25">
      <c r="A23" s="29" t="s">
        <v>0</v>
      </c>
      <c r="B23" s="66">
        <v>6.7560000000000002</v>
      </c>
      <c r="C23" s="63">
        <v>0</v>
      </c>
      <c r="D23" s="61">
        <v>-0.4</v>
      </c>
      <c r="E23" s="63">
        <v>-1</v>
      </c>
      <c r="F23" s="63">
        <v>0</v>
      </c>
      <c r="G23" s="63">
        <v>0</v>
      </c>
      <c r="H23" s="63">
        <v>0</v>
      </c>
      <c r="I23" s="63">
        <v>-1</v>
      </c>
      <c r="J23" s="62">
        <v>-0.4</v>
      </c>
      <c r="K23" s="63">
        <v>0</v>
      </c>
      <c r="L23" s="63">
        <v>0</v>
      </c>
      <c r="M23" s="62">
        <v>0</v>
      </c>
      <c r="N23" s="62">
        <v>0</v>
      </c>
      <c r="O23" s="62">
        <v>-0.4</v>
      </c>
      <c r="P23" s="62">
        <v>-0.4</v>
      </c>
      <c r="Q23" s="62">
        <v>-0.4</v>
      </c>
    </row>
    <row r="24" spans="1:17" x14ac:dyDescent="0.25">
      <c r="A24" s="71" t="s">
        <v>93</v>
      </c>
      <c r="B24" s="72">
        <v>2.6669999999999998</v>
      </c>
      <c r="C24" s="77">
        <v>0</v>
      </c>
      <c r="D24" s="78">
        <v>0</v>
      </c>
      <c r="E24" s="77">
        <v>-1</v>
      </c>
      <c r="F24" s="77">
        <v>-1</v>
      </c>
      <c r="G24" s="77">
        <v>0</v>
      </c>
      <c r="H24" s="77">
        <v>0</v>
      </c>
      <c r="I24" s="77">
        <v>-1</v>
      </c>
      <c r="J24" s="77">
        <v>0</v>
      </c>
      <c r="K24" s="77">
        <v>0</v>
      </c>
      <c r="L24" s="77">
        <v>0</v>
      </c>
      <c r="M24" s="77">
        <v>-1</v>
      </c>
      <c r="N24" s="77">
        <v>0</v>
      </c>
      <c r="O24" s="77">
        <v>-1</v>
      </c>
      <c r="P24" s="77">
        <v>-1</v>
      </c>
      <c r="Q24" s="77">
        <v>-1</v>
      </c>
    </row>
    <row r="25" spans="1:17" x14ac:dyDescent="0.25">
      <c r="A25" s="30" t="s">
        <v>5</v>
      </c>
      <c r="B25" s="31">
        <v>1.66</v>
      </c>
      <c r="C25" s="79">
        <f>SUMPRODUCT($B$18:$B$24,C18:C24)</f>
        <v>0</v>
      </c>
      <c r="D25" s="79">
        <f t="shared" ref="D25:Q25" si="1">SUMPRODUCT($B$18:$B$24,D18:D24)</f>
        <v>-2.7024000000000004</v>
      </c>
      <c r="E25" s="79">
        <f t="shared" si="1"/>
        <v>-31.372999999999998</v>
      </c>
      <c r="F25" s="79">
        <f t="shared" si="1"/>
        <v>-2.6669999999999998</v>
      </c>
      <c r="G25" s="79">
        <f t="shared" si="1"/>
        <v>9.8699999999999992</v>
      </c>
      <c r="H25" s="79">
        <f t="shared" si="1"/>
        <v>0</v>
      </c>
      <c r="I25" s="79">
        <f t="shared" si="1"/>
        <v>-31.372999999999998</v>
      </c>
      <c r="J25" s="79">
        <f t="shared" si="1"/>
        <v>-2.7024000000000004</v>
      </c>
      <c r="K25" s="79">
        <f t="shared" si="1"/>
        <v>0</v>
      </c>
      <c r="L25" s="79">
        <f t="shared" si="1"/>
        <v>0</v>
      </c>
      <c r="M25" s="79">
        <f t="shared" si="1"/>
        <v>10.711749999999999</v>
      </c>
      <c r="N25" s="79">
        <f t="shared" si="1"/>
        <v>13.378749999999998</v>
      </c>
      <c r="O25" s="79">
        <f t="shared" si="1"/>
        <v>-30.324800000000003</v>
      </c>
      <c r="P25" s="79">
        <f t="shared" si="1"/>
        <v>-30.324800000000003</v>
      </c>
      <c r="Q25" s="79">
        <f t="shared" si="1"/>
        <v>-30.324800000000003</v>
      </c>
    </row>
    <row r="26" spans="1:17" x14ac:dyDescent="0.25">
      <c r="A26" s="34" t="s">
        <v>2</v>
      </c>
      <c r="B26" s="28">
        <v>0.22600000000000001</v>
      </c>
      <c r="C26" s="64"/>
      <c r="D26" s="73" t="s">
        <v>101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</row>
    <row r="27" spans="1:17" x14ac:dyDescent="0.25">
      <c r="A27" s="34" t="s">
        <v>6</v>
      </c>
      <c r="B27" s="28">
        <v>0.41599999999999998</v>
      </c>
      <c r="C27" s="64"/>
      <c r="D27" s="65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</row>
    <row r="28" spans="1:17" x14ac:dyDescent="0.25">
      <c r="A28" s="34" t="s">
        <v>4</v>
      </c>
      <c r="B28" s="28">
        <v>7.0000000000000001E-3</v>
      </c>
      <c r="C28" s="64"/>
      <c r="D28" s="65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</row>
    <row r="29" spans="1:17" x14ac:dyDescent="0.25">
      <c r="A29" s="36" t="s">
        <v>3</v>
      </c>
      <c r="B29" s="37">
        <v>0.35799999999999998</v>
      </c>
    </row>
    <row r="31" spans="1:17" x14ac:dyDescent="0.25">
      <c r="A31" s="19" t="s">
        <v>96</v>
      </c>
      <c r="B31" s="19"/>
    </row>
    <row r="32" spans="1:17" x14ac:dyDescent="0.25">
      <c r="C32" t="s">
        <v>81</v>
      </c>
      <c r="D32" t="s">
        <v>68</v>
      </c>
      <c r="E32" t="s">
        <v>69</v>
      </c>
      <c r="F32" t="s">
        <v>70</v>
      </c>
      <c r="G32" t="s">
        <v>71</v>
      </c>
      <c r="H32" t="s">
        <v>72</v>
      </c>
      <c r="I32" t="s">
        <v>73</v>
      </c>
      <c r="J32" t="s">
        <v>74</v>
      </c>
      <c r="K32" t="s">
        <v>75</v>
      </c>
      <c r="L32" t="s">
        <v>76</v>
      </c>
      <c r="M32" t="s">
        <v>77</v>
      </c>
      <c r="N32" t="s">
        <v>78</v>
      </c>
      <c r="O32" t="s">
        <v>79</v>
      </c>
      <c r="P32" t="s">
        <v>80</v>
      </c>
      <c r="Q32" t="s">
        <v>82</v>
      </c>
    </row>
    <row r="33" spans="1:17" x14ac:dyDescent="0.25">
      <c r="A33" t="s">
        <v>88</v>
      </c>
      <c r="B33" s="74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t="s">
        <v>85</v>
      </c>
      <c r="B34">
        <v>12.19</v>
      </c>
      <c r="C34">
        <v>0</v>
      </c>
      <c r="D34">
        <v>0</v>
      </c>
      <c r="E34">
        <v>-1</v>
      </c>
      <c r="F34">
        <v>0</v>
      </c>
      <c r="G34">
        <v>0</v>
      </c>
      <c r="H34">
        <v>0</v>
      </c>
      <c r="I34">
        <v>-1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t="s">
        <v>84</v>
      </c>
      <c r="B35" s="75">
        <v>11.32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0.47849999999999998</v>
      </c>
      <c r="N35">
        <v>0.47849999999999998</v>
      </c>
      <c r="O35">
        <v>-1</v>
      </c>
      <c r="P35">
        <v>-1</v>
      </c>
      <c r="Q35">
        <v>-1</v>
      </c>
    </row>
    <row r="36" spans="1:17" x14ac:dyDescent="0.25">
      <c r="A36" s="4" t="s">
        <v>83</v>
      </c>
      <c r="B36" s="7">
        <v>7.71</v>
      </c>
      <c r="C36" s="63">
        <v>0</v>
      </c>
      <c r="D36" s="61">
        <v>0</v>
      </c>
      <c r="E36" s="63">
        <v>-1</v>
      </c>
      <c r="F36" s="63">
        <v>0</v>
      </c>
      <c r="G36" s="63">
        <v>0</v>
      </c>
      <c r="H36" s="63">
        <v>0</v>
      </c>
      <c r="I36" s="63">
        <v>-1</v>
      </c>
      <c r="J36" s="63">
        <v>0</v>
      </c>
      <c r="K36" s="63">
        <v>0</v>
      </c>
      <c r="L36" s="63">
        <v>0</v>
      </c>
      <c r="M36" s="63">
        <v>0</v>
      </c>
      <c r="N36" s="63">
        <v>0</v>
      </c>
      <c r="O36" s="63">
        <v>-1</v>
      </c>
      <c r="P36" s="63">
        <v>-1</v>
      </c>
      <c r="Q36" s="63">
        <v>-1</v>
      </c>
    </row>
    <row r="37" spans="1:17" x14ac:dyDescent="0.25">
      <c r="A37" s="6" t="s">
        <v>7</v>
      </c>
      <c r="B37" s="7">
        <v>2.0499999999999998</v>
      </c>
      <c r="C37" s="63">
        <v>0</v>
      </c>
      <c r="D37" s="61">
        <v>0</v>
      </c>
      <c r="E37" s="63">
        <v>-1</v>
      </c>
      <c r="F37" s="63">
        <v>0</v>
      </c>
      <c r="G37" s="63">
        <v>0</v>
      </c>
      <c r="H37" s="63">
        <v>0</v>
      </c>
      <c r="I37" s="63">
        <v>-1</v>
      </c>
      <c r="J37" s="63">
        <v>0</v>
      </c>
      <c r="K37" s="63">
        <v>0</v>
      </c>
      <c r="L37" s="63">
        <v>0</v>
      </c>
      <c r="M37" s="63">
        <v>-1</v>
      </c>
      <c r="N37" s="63">
        <v>-1</v>
      </c>
      <c r="O37" s="63">
        <v>-1</v>
      </c>
      <c r="P37" s="63">
        <v>-1</v>
      </c>
      <c r="Q37" s="63">
        <v>-1</v>
      </c>
    </row>
    <row r="38" spans="1:17" x14ac:dyDescent="0.25">
      <c r="A38" s="29" t="s">
        <v>0</v>
      </c>
      <c r="B38" s="66">
        <v>6.7560000000000002</v>
      </c>
      <c r="C38" s="63">
        <v>0</v>
      </c>
      <c r="D38" s="61">
        <v>-0.4</v>
      </c>
      <c r="E38" s="63">
        <v>-1</v>
      </c>
      <c r="F38" s="63">
        <v>0</v>
      </c>
      <c r="G38" s="63">
        <v>0</v>
      </c>
      <c r="H38" s="63">
        <v>0</v>
      </c>
      <c r="I38" s="63">
        <v>-1</v>
      </c>
      <c r="J38" s="62">
        <v>-0.4</v>
      </c>
      <c r="K38" s="63">
        <v>0</v>
      </c>
      <c r="L38" s="63">
        <v>0</v>
      </c>
      <c r="M38" s="63">
        <v>0</v>
      </c>
      <c r="N38" s="63">
        <v>0</v>
      </c>
      <c r="O38" s="63">
        <v>-1</v>
      </c>
      <c r="P38" s="63">
        <v>-1</v>
      </c>
      <c r="Q38" s="63">
        <v>-1</v>
      </c>
    </row>
    <row r="39" spans="1:17" x14ac:dyDescent="0.25">
      <c r="A39" s="71" t="s">
        <v>93</v>
      </c>
      <c r="B39" s="72">
        <v>2.6669999999999998</v>
      </c>
      <c r="C39" s="77">
        <v>0</v>
      </c>
      <c r="D39" s="78">
        <v>0</v>
      </c>
      <c r="E39" s="77">
        <v>-1</v>
      </c>
      <c r="F39" s="77">
        <v>-1</v>
      </c>
      <c r="G39" s="77">
        <v>0</v>
      </c>
      <c r="H39" s="77">
        <v>0</v>
      </c>
      <c r="I39" s="77">
        <v>-1</v>
      </c>
      <c r="J39" s="77">
        <v>0</v>
      </c>
      <c r="K39" s="77">
        <v>0</v>
      </c>
      <c r="L39" s="77">
        <v>0</v>
      </c>
      <c r="M39" s="77">
        <v>-1</v>
      </c>
      <c r="N39" s="77">
        <v>0</v>
      </c>
      <c r="O39" s="77">
        <v>-1</v>
      </c>
      <c r="P39" s="77">
        <v>-1</v>
      </c>
      <c r="Q39" s="77">
        <v>-1</v>
      </c>
    </row>
    <row r="40" spans="1:17" x14ac:dyDescent="0.25">
      <c r="A40" s="30" t="s">
        <v>5</v>
      </c>
      <c r="B40" s="31">
        <v>1.66</v>
      </c>
      <c r="C40" s="79">
        <f>SUMPRODUCT($B$33:$B$39,C33:C39)</f>
        <v>0</v>
      </c>
      <c r="D40" s="79">
        <f t="shared" ref="D40:Q40" si="2">SUMPRODUCT($B$33:$B$39,D33:D39)</f>
        <v>-2.7024000000000004</v>
      </c>
      <c r="E40" s="79">
        <f t="shared" si="2"/>
        <v>-31.372999999999998</v>
      </c>
      <c r="F40" s="79">
        <f t="shared" si="2"/>
        <v>-2.6669999999999998</v>
      </c>
      <c r="G40" s="79">
        <f t="shared" si="2"/>
        <v>0</v>
      </c>
      <c r="H40" s="79">
        <f t="shared" si="2"/>
        <v>0</v>
      </c>
      <c r="I40" s="79">
        <f t="shared" si="2"/>
        <v>-31.372999999999998</v>
      </c>
      <c r="J40" s="79">
        <f t="shared" si="2"/>
        <v>-2.7024000000000004</v>
      </c>
      <c r="K40" s="79">
        <f t="shared" si="2"/>
        <v>0</v>
      </c>
      <c r="L40" s="79">
        <f t="shared" si="2"/>
        <v>0</v>
      </c>
      <c r="M40" s="79">
        <f t="shared" si="2"/>
        <v>0.69962000000000035</v>
      </c>
      <c r="N40" s="79">
        <f t="shared" si="2"/>
        <v>3.3666200000000002</v>
      </c>
      <c r="O40" s="79">
        <f t="shared" si="2"/>
        <v>-30.503</v>
      </c>
      <c r="P40" s="79">
        <f t="shared" si="2"/>
        <v>-30.503</v>
      </c>
      <c r="Q40" s="79">
        <f t="shared" si="2"/>
        <v>-30.503</v>
      </c>
    </row>
    <row r="41" spans="1:17" x14ac:dyDescent="0.25">
      <c r="A41" s="34" t="s">
        <v>2</v>
      </c>
      <c r="B41" s="28">
        <v>0.22600000000000001</v>
      </c>
      <c r="C41" s="64"/>
      <c r="D41" s="65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</row>
    <row r="42" spans="1:17" x14ac:dyDescent="0.25">
      <c r="A42" s="34" t="s">
        <v>6</v>
      </c>
      <c r="B42" s="28">
        <v>0.41599999999999998</v>
      </c>
      <c r="C42" s="64"/>
      <c r="D42" s="73" t="s">
        <v>102</v>
      </c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</row>
    <row r="43" spans="1:17" x14ac:dyDescent="0.25">
      <c r="A43" s="34" t="s">
        <v>4</v>
      </c>
      <c r="B43" s="28">
        <v>7.0000000000000001E-3</v>
      </c>
      <c r="C43" s="64"/>
      <c r="D43" s="65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</row>
    <row r="44" spans="1:17" x14ac:dyDescent="0.25">
      <c r="A44" s="36" t="s">
        <v>3</v>
      </c>
      <c r="B44" s="37">
        <v>0.35799999999999998</v>
      </c>
    </row>
    <row r="46" spans="1:17" x14ac:dyDescent="0.25">
      <c r="A46" s="19" t="s">
        <v>97</v>
      </c>
      <c r="B46" s="19"/>
    </row>
    <row r="47" spans="1:17" x14ac:dyDescent="0.25">
      <c r="C47" t="s">
        <v>81</v>
      </c>
      <c r="D47" t="s">
        <v>68</v>
      </c>
      <c r="E47" t="s">
        <v>69</v>
      </c>
      <c r="F47" t="s">
        <v>70</v>
      </c>
      <c r="G47" t="s">
        <v>71</v>
      </c>
      <c r="H47" t="s">
        <v>72</v>
      </c>
      <c r="I47" t="s">
        <v>73</v>
      </c>
      <c r="J47" t="s">
        <v>74</v>
      </c>
      <c r="K47" t="s">
        <v>75</v>
      </c>
      <c r="L47" t="s">
        <v>76</v>
      </c>
      <c r="M47" t="s">
        <v>77</v>
      </c>
      <c r="N47" t="s">
        <v>78</v>
      </c>
      <c r="O47" t="s">
        <v>79</v>
      </c>
      <c r="P47" t="s">
        <v>80</v>
      </c>
      <c r="Q47" t="s">
        <v>82</v>
      </c>
    </row>
    <row r="48" spans="1:17" x14ac:dyDescent="0.25">
      <c r="A48" t="s">
        <v>88</v>
      </c>
      <c r="B48" s="74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t="s">
        <v>85</v>
      </c>
      <c r="B49">
        <v>12.19</v>
      </c>
      <c r="C49">
        <v>0</v>
      </c>
      <c r="D49">
        <v>0</v>
      </c>
      <c r="E49">
        <v>-1</v>
      </c>
      <c r="F49">
        <v>0</v>
      </c>
      <c r="G49">
        <v>0</v>
      </c>
      <c r="H49">
        <v>0</v>
      </c>
      <c r="I49">
        <v>-1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t="s">
        <v>87</v>
      </c>
      <c r="B50" s="75">
        <v>13.13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0.64300000000000002</v>
      </c>
      <c r="N50">
        <v>0.64300000000000002</v>
      </c>
      <c r="O50">
        <v>-1</v>
      </c>
      <c r="P50">
        <v>-1</v>
      </c>
      <c r="Q50">
        <v>-1</v>
      </c>
    </row>
    <row r="51" spans="1:17" x14ac:dyDescent="0.25">
      <c r="A51" s="4" t="s">
        <v>83</v>
      </c>
      <c r="B51" s="7">
        <v>7.71</v>
      </c>
      <c r="C51" s="63">
        <v>0</v>
      </c>
      <c r="D51" s="61">
        <v>0</v>
      </c>
      <c r="E51" s="63">
        <v>-1</v>
      </c>
      <c r="F51" s="63">
        <v>0</v>
      </c>
      <c r="G51" s="63">
        <v>0</v>
      </c>
      <c r="H51" s="63">
        <v>0</v>
      </c>
      <c r="I51" s="63">
        <v>-1</v>
      </c>
      <c r="J51" s="63">
        <v>0</v>
      </c>
      <c r="K51" s="63">
        <v>0</v>
      </c>
      <c r="L51" s="63">
        <v>0</v>
      </c>
      <c r="M51" s="62">
        <v>0</v>
      </c>
      <c r="N51" s="62">
        <v>0</v>
      </c>
      <c r="O51" s="60">
        <v>-0.74</v>
      </c>
      <c r="P51" s="60">
        <v>-0.74</v>
      </c>
      <c r="Q51" s="60">
        <v>-0.74</v>
      </c>
    </row>
    <row r="52" spans="1:17" x14ac:dyDescent="0.25">
      <c r="A52" s="6" t="s">
        <v>7</v>
      </c>
      <c r="B52" s="7">
        <v>2.0499999999999998</v>
      </c>
      <c r="C52" s="63">
        <v>0</v>
      </c>
      <c r="D52" s="61">
        <v>0</v>
      </c>
      <c r="E52" s="63">
        <v>-1</v>
      </c>
      <c r="F52" s="63">
        <v>0</v>
      </c>
      <c r="G52" s="63">
        <v>0</v>
      </c>
      <c r="H52" s="63">
        <v>0</v>
      </c>
      <c r="I52" s="63">
        <v>-1</v>
      </c>
      <c r="J52" s="63">
        <v>0</v>
      </c>
      <c r="K52" s="63">
        <v>0</v>
      </c>
      <c r="L52" s="63">
        <v>0</v>
      </c>
      <c r="M52" s="63">
        <v>0</v>
      </c>
      <c r="N52" s="63">
        <v>0</v>
      </c>
      <c r="O52" s="63">
        <v>0</v>
      </c>
      <c r="P52" s="63">
        <v>0</v>
      </c>
      <c r="Q52" s="63">
        <v>0</v>
      </c>
    </row>
    <row r="53" spans="1:17" x14ac:dyDescent="0.25">
      <c r="A53" s="29" t="s">
        <v>0</v>
      </c>
      <c r="B53" s="66">
        <v>6.7560000000000002</v>
      </c>
      <c r="C53" s="63">
        <v>0</v>
      </c>
      <c r="D53" s="61">
        <v>-0.4</v>
      </c>
      <c r="E53" s="63">
        <v>-1</v>
      </c>
      <c r="F53" s="63">
        <v>0</v>
      </c>
      <c r="G53" s="63">
        <v>0</v>
      </c>
      <c r="H53" s="63">
        <v>0</v>
      </c>
      <c r="I53" s="63">
        <v>-1</v>
      </c>
      <c r="J53" s="62">
        <v>-0.4</v>
      </c>
      <c r="K53" s="63">
        <v>0</v>
      </c>
      <c r="L53" s="63">
        <v>0</v>
      </c>
      <c r="M53" s="62">
        <v>0</v>
      </c>
      <c r="N53" s="62">
        <v>0</v>
      </c>
      <c r="O53" s="62">
        <v>-0.4</v>
      </c>
      <c r="P53" s="62">
        <v>-0.4</v>
      </c>
      <c r="Q53" s="62">
        <v>-0.4</v>
      </c>
    </row>
    <row r="54" spans="1:17" x14ac:dyDescent="0.25">
      <c r="A54" s="71" t="s">
        <v>93</v>
      </c>
      <c r="B54" s="72">
        <v>2.6669999999999998</v>
      </c>
      <c r="C54" s="77">
        <v>0</v>
      </c>
      <c r="D54" s="78">
        <v>0</v>
      </c>
      <c r="E54" s="77">
        <v>-1</v>
      </c>
      <c r="F54" s="77">
        <v>-1</v>
      </c>
      <c r="G54" s="77">
        <v>0</v>
      </c>
      <c r="H54" s="77">
        <v>0</v>
      </c>
      <c r="I54" s="77">
        <v>-1</v>
      </c>
      <c r="J54" s="77">
        <v>0</v>
      </c>
      <c r="K54" s="77">
        <v>0</v>
      </c>
      <c r="L54" s="77">
        <v>0</v>
      </c>
      <c r="M54" s="77">
        <v>-1</v>
      </c>
      <c r="N54" s="77">
        <v>0</v>
      </c>
      <c r="O54" s="77">
        <v>-1</v>
      </c>
      <c r="P54" s="77">
        <v>-1</v>
      </c>
      <c r="Q54" s="77">
        <v>-1</v>
      </c>
    </row>
    <row r="55" spans="1:17" x14ac:dyDescent="0.25">
      <c r="A55" s="30" t="s">
        <v>5</v>
      </c>
      <c r="B55" s="31">
        <v>1.66</v>
      </c>
      <c r="C55" s="79">
        <f>SUMPRODUCT($B$48:$B$54,C48:C54)</f>
        <v>0</v>
      </c>
      <c r="D55" s="79">
        <f t="shared" ref="D55:Q55" si="3">SUMPRODUCT($B$48:$B$54,D48:D54)</f>
        <v>-2.7024000000000004</v>
      </c>
      <c r="E55" s="79">
        <f t="shared" si="3"/>
        <v>-31.372999999999998</v>
      </c>
      <c r="F55" s="79">
        <f t="shared" si="3"/>
        <v>-2.6669999999999998</v>
      </c>
      <c r="G55" s="79">
        <f t="shared" si="3"/>
        <v>0</v>
      </c>
      <c r="H55" s="79">
        <f t="shared" si="3"/>
        <v>0</v>
      </c>
      <c r="I55" s="79">
        <f t="shared" si="3"/>
        <v>-31.372999999999998</v>
      </c>
      <c r="J55" s="79">
        <f t="shared" si="3"/>
        <v>-2.7024000000000004</v>
      </c>
      <c r="K55" s="79">
        <f t="shared" si="3"/>
        <v>0</v>
      </c>
      <c r="L55" s="79">
        <f t="shared" si="3"/>
        <v>0</v>
      </c>
      <c r="M55" s="79">
        <f t="shared" si="3"/>
        <v>5.7755900000000011</v>
      </c>
      <c r="N55" s="79">
        <f t="shared" si="3"/>
        <v>8.4425900000000009</v>
      </c>
      <c r="O55" s="79">
        <f t="shared" si="3"/>
        <v>-24.204799999999999</v>
      </c>
      <c r="P55" s="79">
        <f t="shared" si="3"/>
        <v>-24.204799999999999</v>
      </c>
      <c r="Q55" s="79">
        <f t="shared" si="3"/>
        <v>-24.204799999999999</v>
      </c>
    </row>
    <row r="56" spans="1:17" x14ac:dyDescent="0.25">
      <c r="A56" s="34" t="s">
        <v>2</v>
      </c>
      <c r="B56" s="28">
        <v>0.22600000000000001</v>
      </c>
      <c r="C56" s="64"/>
      <c r="D56" s="73" t="s">
        <v>103</v>
      </c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</row>
    <row r="57" spans="1:17" x14ac:dyDescent="0.25">
      <c r="A57" s="34" t="s">
        <v>6</v>
      </c>
      <c r="B57" s="28">
        <v>0.41599999999999998</v>
      </c>
      <c r="C57" s="64"/>
      <c r="D57" s="65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</row>
    <row r="58" spans="1:17" x14ac:dyDescent="0.25">
      <c r="A58" s="34" t="s">
        <v>4</v>
      </c>
      <c r="B58" s="28">
        <v>7.0000000000000001E-3</v>
      </c>
      <c r="C58" s="64"/>
      <c r="D58" s="65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</row>
    <row r="59" spans="1:17" x14ac:dyDescent="0.25">
      <c r="A59" s="36" t="s">
        <v>3</v>
      </c>
      <c r="B59" s="37">
        <v>0.35799999999999998</v>
      </c>
    </row>
  </sheetData>
  <conditionalFormatting sqref="C51:Q54 C56:Q5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Q9 C11:Q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Q2 C6:Q9 C11:Q11 C51:Q54 C56:Q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Q9 C1:Q2 C49:Q54 C56:Q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Q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Q9 C48:Q54 C56:Q6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Q39 C41:Q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Q32 C36:Q39 C41:Q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Q39 C31:Q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Q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Q3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Q24 C26:Q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Q24 C26:Q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Q24 C26:Q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Q24 C26:Q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Q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55" r:id="rId1" display="concession fee" xr:uid="{1B627137-0D27-4085-8C41-E3B764AF3CB9}"/>
    <hyperlink ref="A53" r:id="rId2" xr:uid="{FB89DE13-2B3C-4A8F-90C7-5C1BC368C6B9}"/>
    <hyperlink ref="A56" r:id="rId3" display="CHP-levy" xr:uid="{30BBF252-7030-40A4-9822-1CC666E533EF}"/>
    <hyperlink ref="A59" r:id="rId4" display="§ 19 StromNEV allocation" xr:uid="{7955DD03-5677-42CA-8BFA-10E05B650E38}"/>
    <hyperlink ref="A52" r:id="rId5" xr:uid="{7C23C32D-CA9D-4C9E-8770-522680D36F04}"/>
    <hyperlink ref="A10" r:id="rId6" display="concession fee" xr:uid="{65B6BA9E-A057-40E5-9452-B07C1ADAA997}"/>
    <hyperlink ref="A8" r:id="rId7" xr:uid="{4317E8A8-6C10-4901-9615-A05215B2E55A}"/>
    <hyperlink ref="A11" r:id="rId8" display="CHP-levy" xr:uid="{E53F0DC9-0D04-4D2D-8F3F-74B425464FF6}"/>
    <hyperlink ref="A14" r:id="rId9" display="§ 19 StromNEV allocation" xr:uid="{5E34FFE7-FCA1-43C0-8CAB-96EAB7ECC3C3}"/>
    <hyperlink ref="A7" r:id="rId10" xr:uid="{99E66E12-6560-42A9-98DD-AA1B9525D448}"/>
    <hyperlink ref="D56" r:id="rId11" xr:uid="{B462C9AE-A50F-441D-A2EC-CA2520C780D2}"/>
    <hyperlink ref="A40" r:id="rId12" display="concession fee" xr:uid="{22821DB1-19D0-45CD-A167-DA09800DE30C}"/>
    <hyperlink ref="A38" r:id="rId13" xr:uid="{B7C3C000-68BB-4C9F-B7DB-35D52A8D2CCC}"/>
    <hyperlink ref="A41" r:id="rId14" display="CHP-levy" xr:uid="{358C55E1-352B-4C04-A850-46C6E40036C0}"/>
    <hyperlink ref="A44" r:id="rId15" display="§ 19 StromNEV allocation" xr:uid="{CCBC80D3-021A-43DA-B6FA-5F508A7C82AF}"/>
    <hyperlink ref="A37" r:id="rId16" xr:uid="{4C91AEC2-F2A1-49E9-9E25-A3BCCFB0B70A}"/>
    <hyperlink ref="A25" r:id="rId17" display="concession fee" xr:uid="{36286D9D-7949-4025-BA06-98186CABF419}"/>
    <hyperlink ref="A23" r:id="rId18" xr:uid="{EE4AF8E3-6D87-4A03-9CB3-96AD2157C5FC}"/>
    <hyperlink ref="A26" r:id="rId19" display="CHP-levy" xr:uid="{81A33068-90B1-4837-B649-D568A9125143}"/>
    <hyperlink ref="A29" r:id="rId20" display="§ 19 StromNEV allocation" xr:uid="{22B35478-B516-4227-A902-A3314B54D261}"/>
    <hyperlink ref="A22" r:id="rId21" xr:uid="{62E274AA-226B-4D9A-8F3B-97754AAAFEE1}"/>
    <hyperlink ref="D26" r:id="rId22" xr:uid="{FD48DE4D-6162-40AC-8BBF-C8A6D6370BD9}"/>
    <hyperlink ref="D12" r:id="rId23" xr:uid="{EFD3FC3C-ABCE-48F9-BAAC-9B445FEE7B97}"/>
    <hyperlink ref="D42" r:id="rId24" xr:uid="{6AB2FA8B-248A-4868-B366-64F54E2B542B}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storage</vt:lpstr>
      <vt:lpstr>sharing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 Langer</dc:creator>
  <cp:lastModifiedBy>Lissy Langer</cp:lastModifiedBy>
  <dcterms:created xsi:type="dcterms:W3CDTF">2020-06-10T08:12:57Z</dcterms:created>
  <dcterms:modified xsi:type="dcterms:W3CDTF">2020-08-20T16:18:40Z</dcterms:modified>
</cp:coreProperties>
</file>