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Lissy\Documents\GitHub\SHEMS_private\peer-to-peer\data\"/>
    </mc:Choice>
  </mc:AlternateContent>
  <xr:revisionPtr revIDLastSave="0" documentId="13_ncr:1_{BD36B7D4-C68D-41FB-B083-9D020899B1A1}" xr6:coauthVersionLast="36" xr6:coauthVersionMax="36" xr10:uidLastSave="{00000000-0000-0000-0000-000000000000}"/>
  <bookViews>
    <workbookView xWindow="0" yWindow="0" windowWidth="24345" windowHeight="10260" tabRatio="692" activeTab="2" xr2:uid="{00000000-000D-0000-FFFF-FFFF00000000}"/>
  </bookViews>
  <sheets>
    <sheet name="storage" sheetId="1" r:id="rId1"/>
    <sheet name="sharing" sheetId="2" r:id="rId2"/>
    <sheet name="flow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N13" i="2"/>
  <c r="P82" i="3"/>
  <c r="O82" i="3"/>
  <c r="N82" i="3"/>
  <c r="M82" i="3"/>
  <c r="P67" i="3"/>
  <c r="O67" i="3"/>
  <c r="O72" i="3" s="1"/>
  <c r="N67" i="3"/>
  <c r="M67" i="3"/>
  <c r="P51" i="3"/>
  <c r="O51" i="3"/>
  <c r="N51" i="3"/>
  <c r="M51" i="3"/>
  <c r="P35" i="3"/>
  <c r="O35" i="3"/>
  <c r="N35" i="3"/>
  <c r="M35" i="3"/>
  <c r="P20" i="3"/>
  <c r="O20" i="3"/>
  <c r="N20" i="3"/>
  <c r="M20" i="3"/>
  <c r="N5" i="3"/>
  <c r="M5" i="3"/>
  <c r="P5" i="3"/>
  <c r="O5" i="3"/>
  <c r="V38" i="2"/>
  <c r="N38" i="2"/>
  <c r="X37" i="2"/>
  <c r="O37" i="2"/>
  <c r="P37" i="2"/>
  <c r="X24" i="2"/>
  <c r="V24" i="2"/>
  <c r="P25" i="2"/>
  <c r="N24" i="2"/>
  <c r="W13" i="2"/>
  <c r="V13" i="2"/>
  <c r="X13" i="2"/>
  <c r="P13" i="2"/>
  <c r="W12" i="2"/>
  <c r="W17" i="2" s="1"/>
  <c r="N12" i="2"/>
  <c r="P24" i="2"/>
  <c r="X12" i="2"/>
  <c r="P12" i="2"/>
  <c r="B12" i="2"/>
  <c r="P87" i="3"/>
  <c r="N87" i="3"/>
  <c r="M87" i="3"/>
  <c r="P72" i="3"/>
  <c r="N72" i="3"/>
  <c r="M72" i="3"/>
  <c r="L72" i="3"/>
  <c r="K72" i="3"/>
  <c r="J72" i="3"/>
  <c r="I72" i="3"/>
  <c r="H72" i="3"/>
  <c r="G72" i="3"/>
  <c r="F72" i="3"/>
  <c r="E72" i="3"/>
  <c r="D72" i="3"/>
  <c r="C72" i="3"/>
  <c r="O87" i="3"/>
  <c r="L87" i="3"/>
  <c r="K87" i="3"/>
  <c r="J87" i="3"/>
  <c r="I87" i="3"/>
  <c r="H87" i="3"/>
  <c r="G87" i="3"/>
  <c r="F87" i="3"/>
  <c r="E87" i="3"/>
  <c r="D87" i="3"/>
  <c r="C87" i="3"/>
  <c r="L38" i="2"/>
  <c r="L25" i="2"/>
  <c r="E5" i="2" l="1"/>
  <c r="D5" i="2"/>
  <c r="C3" i="2" l="1"/>
  <c r="C4" i="2"/>
  <c r="C5" i="2"/>
  <c r="C6" i="2"/>
  <c r="C7" i="2"/>
  <c r="C8" i="2"/>
  <c r="C9" i="2"/>
  <c r="C10" i="2"/>
  <c r="D56" i="3" l="1"/>
  <c r="E56" i="3"/>
  <c r="F56" i="3"/>
  <c r="G56" i="3"/>
  <c r="H56" i="3"/>
  <c r="I56" i="3"/>
  <c r="J56" i="3"/>
  <c r="K56" i="3"/>
  <c r="L56" i="3"/>
  <c r="M56" i="3"/>
  <c r="N56" i="3"/>
  <c r="O56" i="3"/>
  <c r="P56" i="3"/>
  <c r="C56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5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0" i="3"/>
  <c r="E3" i="2" l="1"/>
  <c r="L13" i="2"/>
  <c r="D4" i="2"/>
  <c r="D3" i="2"/>
  <c r="E8" i="2" l="1"/>
  <c r="E9" i="2"/>
  <c r="E10" i="2"/>
  <c r="E13" i="2"/>
  <c r="E14" i="2"/>
  <c r="E7" i="2"/>
  <c r="E6" i="2"/>
  <c r="F5" i="2"/>
  <c r="D6" i="2"/>
  <c r="D7" i="2"/>
  <c r="D8" i="2"/>
  <c r="D9" i="2"/>
  <c r="D10" i="2"/>
  <c r="C13" i="2"/>
  <c r="C14" i="2"/>
  <c r="C25" i="2" l="1"/>
  <c r="B25" i="2"/>
  <c r="D13" i="1"/>
  <c r="D16" i="1" s="1"/>
  <c r="E13" i="1"/>
  <c r="G13" i="1"/>
  <c r="H13" i="1"/>
  <c r="I13" i="1"/>
  <c r="J13" i="1"/>
  <c r="F13" i="1"/>
  <c r="I6" i="1"/>
  <c r="G6" i="1"/>
  <c r="J5" i="1"/>
  <c r="J12" i="1"/>
  <c r="I12" i="1"/>
  <c r="J11" i="1"/>
  <c r="I11" i="1"/>
  <c r="J10" i="1"/>
  <c r="I10" i="1"/>
  <c r="J9" i="1"/>
  <c r="I9" i="1"/>
  <c r="J7" i="1"/>
  <c r="J6" i="1"/>
  <c r="J8" i="1"/>
  <c r="I8" i="1"/>
  <c r="E7" i="1"/>
  <c r="F12" i="1"/>
  <c r="F11" i="1"/>
  <c r="F10" i="1"/>
  <c r="F9" i="1"/>
  <c r="G8" i="1"/>
  <c r="G9" i="1"/>
  <c r="G10" i="1"/>
  <c r="G11" i="1"/>
  <c r="G12" i="1"/>
  <c r="H12" i="1"/>
  <c r="H11" i="1"/>
  <c r="H10" i="1"/>
  <c r="H9" i="1"/>
  <c r="H7" i="1"/>
  <c r="H6" i="1"/>
  <c r="H8" i="1"/>
  <c r="C16" i="1"/>
  <c r="B13" i="1"/>
  <c r="G16" i="1" l="1"/>
  <c r="F16" i="1"/>
  <c r="I16" i="1"/>
  <c r="E16" i="1"/>
  <c r="J16" i="1"/>
  <c r="B16" i="1"/>
  <c r="H16" i="1"/>
  <c r="E12" i="2" l="1"/>
  <c r="E15" i="2" s="1"/>
  <c r="Q38" i="2"/>
  <c r="C12" i="2"/>
  <c r="C15" i="2"/>
  <c r="B15" i="2"/>
  <c r="Y38" i="2" s="1"/>
  <c r="Y25" i="2"/>
  <c r="Y13" i="2" l="1"/>
  <c r="C17" i="2"/>
  <c r="Q25" i="2"/>
  <c r="Q13" i="2"/>
  <c r="P17" i="2" l="1"/>
  <c r="I15" i="2"/>
  <c r="P14" i="2"/>
  <c r="P18" i="2" s="1"/>
  <c r="P15" i="2"/>
  <c r="P16" i="2" s="1"/>
  <c r="I16" i="2" l="1"/>
  <c r="N14" i="2"/>
  <c r="N15" i="2" s="1"/>
  <c r="N16" i="2" s="1"/>
  <c r="X14" i="2" l="1"/>
  <c r="X15" i="2" s="1"/>
  <c r="X16" i="2" s="1"/>
  <c r="V14" i="2"/>
  <c r="V15" i="2" s="1"/>
  <c r="V16" i="2" s="1"/>
  <c r="W14" i="2"/>
  <c r="W15" i="2" l="1"/>
  <c r="W16" i="2" s="1"/>
  <c r="W18" i="2"/>
  <c r="P26" i="2"/>
  <c r="P27" i="2" s="1"/>
  <c r="P28" i="2" s="1"/>
  <c r="N25" i="2"/>
  <c r="N26" i="2" s="1"/>
  <c r="N27" i="2" s="1"/>
  <c r="N28" i="2" s="1"/>
  <c r="O24" i="2"/>
  <c r="O25" i="2" s="1"/>
  <c r="O26" i="2" s="1"/>
  <c r="O29" i="2" l="1"/>
  <c r="O30" i="2" s="1"/>
  <c r="O27" i="2"/>
  <c r="O28" i="2" s="1"/>
  <c r="V25" i="2"/>
  <c r="V26" i="2" s="1"/>
  <c r="V27" i="2" s="1"/>
  <c r="V28" i="2" s="1"/>
  <c r="W24" i="2"/>
  <c r="W25" i="2" s="1"/>
  <c r="W26" i="2" s="1"/>
  <c r="X25" i="2"/>
  <c r="X26" i="2" s="1"/>
  <c r="X27" i="2" s="1"/>
  <c r="X28" i="2" s="1"/>
  <c r="W27" i="2" l="1"/>
  <c r="W28" i="2" s="1"/>
  <c r="W29" i="2"/>
  <c r="W30" i="2" s="1"/>
  <c r="P38" i="2"/>
  <c r="P39" i="2" s="1"/>
  <c r="P40" i="2" s="1"/>
  <c r="P41" i="2" s="1"/>
  <c r="N39" i="2"/>
  <c r="N40" i="2" s="1"/>
  <c r="N41" i="2" s="1"/>
  <c r="O38" i="2"/>
  <c r="O39" i="2" s="1"/>
  <c r="O40" i="2" l="1"/>
  <c r="O41" i="2" s="1"/>
  <c r="O42" i="2"/>
  <c r="O43" i="2" s="1"/>
  <c r="X38" i="2"/>
  <c r="X39" i="2" s="1"/>
  <c r="X40" i="2" s="1"/>
  <c r="X41" i="2" s="1"/>
  <c r="V39" i="2"/>
  <c r="V40" i="2" s="1"/>
  <c r="V41" i="2" s="1"/>
  <c r="W37" i="2"/>
  <c r="W42" i="2" s="1"/>
  <c r="W38" i="2" l="1"/>
  <c r="W39" i="2" s="1"/>
  <c r="W40" i="2" l="1"/>
  <c r="W41" i="2" s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Lissy Langer</author>
  </authors>
  <commentList>
    <comment ref="F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Lissy Langer:</t>
        </r>
        <r>
          <rPr>
            <sz val="9"/>
            <color indexed="81"/>
            <rFont val="Segoe UI"/>
            <charset val="1"/>
          </rPr>
          <t xml:space="preserve">
geeichte Messeinrichtungen nötig, Mitteilungspflichten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Lissy Langer:</t>
        </r>
        <r>
          <rPr>
            <sz val="9"/>
            <color indexed="81"/>
            <rFont val="Segoe UI"/>
            <charset val="1"/>
          </rPr>
          <t xml:space="preserve">
Kleinunternehmerregelung oder kein Bezug von Einspeisevergütung</t>
        </r>
      </text>
    </comment>
  </commentList>
</comments>
</file>

<file path=xl/sharedStrings.xml><?xml version="1.0" encoding="utf-8"?>
<sst xmlns="http://schemas.openxmlformats.org/spreadsheetml/2006/main" count="334" uniqueCount="119">
  <si>
    <t>EEG-allocation</t>
  </si>
  <si>
    <t>ct/kWh</t>
  </si>
  <si>
    <t>CHP-allocation</t>
  </si>
  <si>
    <t>StromNEV-allocation</t>
  </si>
  <si>
    <t>AbLaV-allocation</t>
  </si>
  <si>
    <t>Concession fee</t>
  </si>
  <si>
    <t>Offshore-allocation</t>
  </si>
  <si>
    <t>Electricity tax</t>
  </si>
  <si>
    <t>dynamische Entgelte 3 Stufen?</t>
  </si>
  <si>
    <t>BDEW Strompreisanalyse</t>
  </si>
  <si>
    <t>Haushaltsverbrauch 3500 kWh</t>
  </si>
  <si>
    <t>Network charges including mesauring + metering operation</t>
  </si>
  <si>
    <t>BNetzA</t>
  </si>
  <si>
    <t>Esquire</t>
  </si>
  <si>
    <t>Bei Strom, der nicht als Schwachlaststrom geliefert wird, in Gemeinden</t>
  </si>
  <si>
    <t>bis 25.000 Einwohner</t>
  </si>
  <si>
    <t>1,32 Cent,</t>
  </si>
  <si>
    <t>bis 100.000 Einwohner</t>
  </si>
  <si>
    <t>1,59 Cent,</t>
  </si>
  <si>
    <t>bis 500.000 Einwohner</t>
  </si>
  <si>
    <t>1,99 Cent,</t>
  </si>
  <si>
    <t>über 500.000 Einwohner</t>
  </si>
  <si>
    <t>2,39 Cent,</t>
  </si>
  <si>
    <t xml:space="preserve">Concession fee: </t>
  </si>
  <si>
    <t>no grid connection</t>
  </si>
  <si>
    <t>with grid connection</t>
  </si>
  <si>
    <t xml:space="preserve">centralized </t>
  </si>
  <si>
    <t xml:space="preserve"> § 9 Abs. 1 Nr. 3 a) Eigenverbrauch b) Batterie = Versorger nicht Letztverbraucher</t>
  </si>
  <si>
    <t>§118 Nr. 6 EnWG (20 years)</t>
  </si>
  <si>
    <t>§ 61 Abs. 1 EEG: PV&lt;10 kWp + B&lt;10kW (sonst 40%), mixed: full EEG from 500kWh per kW-storage capacity; § 60 Abs. 3 S. 1 EEG 2014 Stromspeicher nur Wiedereinspeisung; Personenidentität!</t>
  </si>
  <si>
    <t>Kleinunternehmerregelung; based on retail price (including base price)</t>
  </si>
  <si>
    <t>decentralized</t>
  </si>
  <si>
    <t>(retail price (including base price)), 2</t>
  </si>
  <si>
    <t>Value added tax (19%), 2</t>
  </si>
  <si>
    <t>(Procurement, sales ), 2</t>
  </si>
  <si>
    <t>self-only</t>
  </si>
  <si>
    <t>mixed (self + others)</t>
  </si>
  <si>
    <t>Who uses the storage?</t>
  </si>
  <si>
    <t>Where is the storage?</t>
  </si>
  <si>
    <t>home storage</t>
  </si>
  <si>
    <t>How is the storage connected?</t>
  </si>
  <si>
    <t>IN</t>
  </si>
  <si>
    <t>OUT  
&lt;10kW</t>
  </si>
  <si>
    <t>OUT
 &gt;10kW</t>
  </si>
  <si>
    <t>IN  
&gt;10kW</t>
  </si>
  <si>
    <t>OUT</t>
  </si>
  <si>
    <t>IN
 &gt;10kW</t>
  </si>
  <si>
    <t>exempted</t>
  </si>
  <si>
    <t>not exempted</t>
  </si>
  <si>
    <t>partly exempted</t>
  </si>
  <si>
    <t>common assumption</t>
  </si>
  <si>
    <t>..\..\..\..\PEERS\2020-03-06_EnergyBrainpool_Impulspapier-Energy-Sharing.pdf</t>
  </si>
  <si>
    <t>Leistungspreis</t>
  </si>
  <si>
    <t>Reduzierung 2 ct/kWh für Reduzierung residuale jährliche Spitzenlast</t>
  </si>
  <si>
    <t>Netzbezug</t>
  </si>
  <si>
    <t>Eigen-versorgung  &gt;10 kW</t>
  </si>
  <si>
    <t>Eigen-versorgung  &lt;10 kW</t>
  </si>
  <si>
    <t>bisher räumlicher Zusammenhang</t>
  </si>
  <si>
    <t>max</t>
  </si>
  <si>
    <t>min</t>
  </si>
  <si>
    <t>RSP</t>
  </si>
  <si>
    <t>RPP</t>
  </si>
  <si>
    <t>tax</t>
  </si>
  <si>
    <t>pay</t>
  </si>
  <si>
    <t>minus feed-in</t>
  </si>
  <si>
    <t>trader</t>
  </si>
  <si>
    <t>get</t>
  </si>
  <si>
    <t xml:space="preserve"> :B_DE</t>
  </si>
  <si>
    <t xml:space="preserve"> :GR_DE</t>
  </si>
  <si>
    <t xml:space="preserve"> :PV_B</t>
  </si>
  <si>
    <t xml:space="preserve"> :PV_GR</t>
  </si>
  <si>
    <t xml:space="preserve"> :PV_HP</t>
  </si>
  <si>
    <t xml:space="preserve"> :GR_HP</t>
  </si>
  <si>
    <t xml:space="preserve"> :B_HP</t>
  </si>
  <si>
    <t xml:space="preserve"> :HP_FH</t>
  </si>
  <si>
    <t xml:space="preserve"> :HP_HW</t>
  </si>
  <si>
    <t xml:space="preserve"> :PV_PM</t>
  </si>
  <si>
    <t xml:space="preserve"> :B_PM</t>
  </si>
  <si>
    <t xml:space="preserve"> :PM_DE</t>
  </si>
  <si>
    <t>:PV_DE</t>
  </si>
  <si>
    <t xml:space="preserve"> :PM_HP</t>
  </si>
  <si>
    <t>Network charges</t>
  </si>
  <si>
    <t>peer price</t>
  </si>
  <si>
    <t>retail price</t>
  </si>
  <si>
    <t>without fees</t>
  </si>
  <si>
    <t xml:space="preserve">price peer </t>
  </si>
  <si>
    <t>feed-in tariff</t>
  </si>
  <si>
    <t>1) feed-in, full charge</t>
  </si>
  <si>
    <t>4) no feed-in, support</t>
  </si>
  <si>
    <t>mean</t>
  </si>
  <si>
    <t>p_peer</t>
  </si>
  <si>
    <t>others:</t>
  </si>
  <si>
    <t>case 1: feed-in tariff, full charge</t>
  </si>
  <si>
    <t>case 4: no feed-in tariff, support charge</t>
  </si>
  <si>
    <t>minus tariffs buy</t>
  </si>
  <si>
    <t>minus tariffs sell</t>
  </si>
  <si>
    <t>tariff_matrix_case_1.csv</t>
  </si>
  <si>
    <t>tariff_matrix_case_2.csv</t>
  </si>
  <si>
    <t>tariff_matrix_case_3.csv</t>
  </si>
  <si>
    <t>tariff_matrix_case_4.csv</t>
  </si>
  <si>
    <t>support case</t>
  </si>
  <si>
    <t>full charge case</t>
  </si>
  <si>
    <t>support</t>
  </si>
  <si>
    <t>full</t>
  </si>
  <si>
    <t>buy</t>
  </si>
  <si>
    <t>sell</t>
  </si>
  <si>
    <t>2) no feed-in, full charge</t>
  </si>
  <si>
    <t>3) feed-in, support</t>
  </si>
  <si>
    <t>&lt; 10 kWh/kWp</t>
  </si>
  <si>
    <t>case 3: feed-in tariff, support charge</t>
  </si>
  <si>
    <t>case 2: no feed-in tariff, full charge</t>
  </si>
  <si>
    <t>area</t>
  </si>
  <si>
    <t>5) feed-in, area</t>
  </si>
  <si>
    <t>6) no feed-in, area</t>
  </si>
  <si>
    <t>case 5: feed-in tariff, area</t>
  </si>
  <si>
    <t>case 6: no feed-in tariff, area</t>
  </si>
  <si>
    <t>based on market price</t>
  </si>
  <si>
    <t>tariff_matrix_case_5.csv</t>
  </si>
  <si>
    <t>tariff_matrix_case_6.csv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</si>
</sst>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/>
    <xf numFmtId="164" fontId="0" fillId="0" borderId="0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Font="1"/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64" fontId="0" fillId="6" borderId="1" xfId="0" applyNumberFormat="1" applyFill="1" applyBorder="1"/>
    <xf numFmtId="164" fontId="0" fillId="0" borderId="0" xfId="0" applyNumberFormat="1"/>
    <xf numFmtId="0" fontId="1" fillId="0" borderId="0" xfId="0" applyFont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wrapText="1"/>
    </xf>
    <xf numFmtId="164" fontId="5" fillId="9" borderId="1" xfId="0" applyNumberFormat="1" applyFont="1" applyFill="1" applyBorder="1"/>
    <xf numFmtId="164" fontId="0" fillId="8" borderId="1" xfId="0" applyNumberFormat="1" applyFill="1" applyBorder="1"/>
    <xf numFmtId="0" fontId="2" fillId="10" borderId="1" xfId="1" applyFill="1" applyBorder="1" applyAlignment="1">
      <alignment wrapText="1"/>
    </xf>
    <xf numFmtId="164" fontId="0" fillId="10" borderId="1" xfId="0" applyNumberFormat="1" applyFill="1" applyBorder="1"/>
    <xf numFmtId="164" fontId="1" fillId="0" borderId="0" xfId="0" applyNumberFormat="1" applyFont="1"/>
    <xf numFmtId="164" fontId="0" fillId="10" borderId="0" xfId="0" applyNumberFormat="1" applyFill="1" applyBorder="1"/>
    <xf numFmtId="0" fontId="2" fillId="0" borderId="9" xfId="1" applyBorder="1" applyAlignment="1">
      <alignment wrapText="1"/>
    </xf>
    <xf numFmtId="0" fontId="2" fillId="10" borderId="11" xfId="1" applyFill="1" applyBorder="1" applyAlignment="1">
      <alignment wrapText="1"/>
    </xf>
    <xf numFmtId="164" fontId="0" fillId="10" borderId="12" xfId="0" applyNumberFormat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2" fillId="10" borderId="14" xfId="1" applyFill="1" applyBorder="1" applyAlignment="1">
      <alignment wrapText="1"/>
    </xf>
    <xf numFmtId="164" fontId="0" fillId="0" borderId="8" xfId="0" applyNumberFormat="1" applyBorder="1"/>
    <xf numFmtId="0" fontId="2" fillId="10" borderId="7" xfId="1" applyFill="1" applyBorder="1" applyAlignment="1">
      <alignment wrapText="1"/>
    </xf>
    <xf numFmtId="164" fontId="0" fillId="10" borderId="4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0" xfId="0" applyNumberFormat="1" applyBorder="1"/>
    <xf numFmtId="0" fontId="0" fillId="0" borderId="8" xfId="0" applyBorder="1"/>
    <xf numFmtId="0" fontId="1" fillId="0" borderId="0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0" fillId="0" borderId="7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6" fillId="0" borderId="0" xfId="0" applyFont="1" applyBorder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9" xfId="0" applyNumberFormat="1" applyFill="1" applyBorder="1"/>
    <xf numFmtId="0" fontId="0" fillId="0" borderId="0" xfId="0" applyFill="1" applyBorder="1" applyAlignment="1">
      <alignment wrapText="1"/>
    </xf>
    <xf numFmtId="2" fontId="1" fillId="0" borderId="0" xfId="0" applyNumberFormat="1" applyFont="1" applyBorder="1"/>
    <xf numFmtId="2" fontId="0" fillId="0" borderId="0" xfId="0" applyNumberFormat="1" applyFill="1" applyBorder="1"/>
    <xf numFmtId="0" fontId="2" fillId="0" borderId="11" xfId="1" applyBorder="1" applyAlignment="1">
      <alignment wrapText="1"/>
    </xf>
    <xf numFmtId="164" fontId="0" fillId="0" borderId="12" xfId="0" applyNumberFormat="1" applyFill="1" applyBorder="1"/>
    <xf numFmtId="2" fontId="2" fillId="0" borderId="0" xfId="1" applyNumberFormat="1" applyAlignment="1">
      <alignment vertical="center"/>
    </xf>
    <xf numFmtId="0" fontId="0" fillId="4" borderId="0" xfId="0" applyFill="1"/>
    <xf numFmtId="2" fontId="0" fillId="4" borderId="0" xfId="0" applyNumberFormat="1" applyFill="1" applyAlignment="1">
      <alignment horizontal="right"/>
    </xf>
    <xf numFmtId="1" fontId="0" fillId="0" borderId="4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Fill="1"/>
    <xf numFmtId="167" fontId="0" fillId="0" borderId="0" xfId="0" applyNumberFormat="1"/>
    <xf numFmtId="166" fontId="0" fillId="12" borderId="0" xfId="2" applyNumberFormat="1" applyFont="1" applyFill="1"/>
    <xf numFmtId="164" fontId="0" fillId="11" borderId="8" xfId="0" applyNumberFormat="1" applyFill="1" applyBorder="1"/>
    <xf numFmtId="0" fontId="0" fillId="11" borderId="8" xfId="0" applyFill="1" applyBorder="1"/>
    <xf numFmtId="164" fontId="0" fillId="0" borderId="0" xfId="0" applyNumberFormat="1" applyFill="1" applyBorder="1"/>
    <xf numFmtId="164" fontId="0" fillId="11" borderId="9" xfId="0" applyNumberFormat="1" applyFill="1" applyBorder="1"/>
    <xf numFmtId="164" fontId="0" fillId="11" borderId="15" xfId="0" applyNumberFormat="1" applyFill="1" applyBorder="1"/>
    <xf numFmtId="164" fontId="0" fillId="11" borderId="10" xfId="0" applyNumberFormat="1" applyFill="1" applyBorder="1"/>
    <xf numFmtId="10" fontId="0" fillId="12" borderId="0" xfId="2" applyNumberFormat="1" applyFont="1" applyFill="1"/>
    <xf numFmtId="164" fontId="0" fillId="0" borderId="0" xfId="0" applyNumberFormat="1" applyFill="1"/>
    <xf numFmtId="0" fontId="2" fillId="0" borderId="10" xfId="1" applyFill="1" applyBorder="1" applyAlignment="1">
      <alignment wrapText="1"/>
    </xf>
    <xf numFmtId="164" fontId="0" fillId="0" borderId="10" xfId="0" applyNumberFormat="1" applyFill="1" applyBorder="1"/>
    <xf numFmtId="164" fontId="0" fillId="0" borderId="16" xfId="0" applyNumberFormat="1" applyBorder="1"/>
    <xf numFmtId="0" fontId="1" fillId="0" borderId="17" xfId="0" applyFont="1" applyBorder="1" applyAlignment="1">
      <alignment horizontal="center"/>
    </xf>
    <xf numFmtId="164" fontId="1" fillId="0" borderId="19" xfId="0" applyNumberFormat="1" applyFont="1" applyBorder="1" applyAlignment="1">
      <alignment horizontal="right"/>
    </xf>
    <xf numFmtId="164" fontId="1" fillId="0" borderId="21" xfId="0" applyNumberFormat="1" applyFont="1" applyFill="1" applyBorder="1" applyAlignment="1">
      <alignment horizontal="right"/>
    </xf>
    <xf numFmtId="164" fontId="1" fillId="0" borderId="22" xfId="0" applyNumberFormat="1" applyFont="1" applyFill="1" applyBorder="1"/>
    <xf numFmtId="164" fontId="1" fillId="0" borderId="0" xfId="0" applyNumberFormat="1" applyFont="1" applyBorder="1"/>
    <xf numFmtId="164" fontId="1" fillId="0" borderId="1" xfId="0" applyNumberFormat="1" applyFont="1" applyBorder="1"/>
    <xf numFmtId="164" fontId="6" fillId="10" borderId="0" xfId="0" applyNumberFormat="1" applyFont="1" applyFill="1" applyBorder="1"/>
    <xf numFmtId="0" fontId="2" fillId="10" borderId="0" xfId="1" applyFill="1" applyBorder="1" applyAlignment="1">
      <alignment wrapText="1"/>
    </xf>
    <xf numFmtId="10" fontId="0" fillId="0" borderId="0" xfId="2" applyNumberFormat="1" applyFont="1" applyFill="1"/>
    <xf numFmtId="164" fontId="8" fillId="0" borderId="0" xfId="0" applyNumberFormat="1" applyFont="1" applyBorder="1"/>
    <xf numFmtId="0" fontId="0" fillId="0" borderId="20" xfId="0" applyBorder="1"/>
    <xf numFmtId="164" fontId="0" fillId="0" borderId="22" xfId="0" applyNumberFormat="1" applyBorder="1"/>
    <xf numFmtId="0" fontId="0" fillId="0" borderId="23" xfId="0" applyBorder="1"/>
    <xf numFmtId="0" fontId="1" fillId="0" borderId="18" xfId="0" applyFont="1" applyBorder="1"/>
    <xf numFmtId="2" fontId="0" fillId="0" borderId="24" xfId="0" applyNumberFormat="1" applyBorder="1"/>
    <xf numFmtId="164" fontId="1" fillId="0" borderId="25" xfId="0" applyNumberFormat="1" applyFont="1" applyBorder="1"/>
    <xf numFmtId="164" fontId="0" fillId="4" borderId="25" xfId="0" applyNumberFormat="1" applyFill="1" applyBorder="1"/>
    <xf numFmtId="164" fontId="0" fillId="0" borderId="25" xfId="0" applyNumberFormat="1" applyBorder="1"/>
    <xf numFmtId="164" fontId="0" fillId="12" borderId="26" xfId="0" applyNumberFormat="1" applyFill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27" xfId="0" applyNumberFormat="1" applyFont="1" applyBorder="1"/>
    <xf numFmtId="164" fontId="0" fillId="0" borderId="2" xfId="0" applyNumberFormat="1" applyBorder="1"/>
    <xf numFmtId="0" fontId="5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9" borderId="0" xfId="0" applyFont="1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quire-projekt.de/data/esquire/Datein/Schnabel_Arbeitspapier_%C3%B6konom._Rahmenbedingungen_Esquire.pdf" TargetMode="External"/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hyperlink" Target="https://www.bdew.de/media/documents/20200107_BDEW-Strompreisanalyse_Januar_2020.pdf" TargetMode="External"/><Relationship Id="rId2" Type="http://schemas.openxmlformats.org/officeDocument/2006/relationships/hyperlink" Target="http://www.gesetze-im-internet.de/kav/__2.html" TargetMode="External"/><Relationship Id="rId1" Type="http://schemas.openxmlformats.org/officeDocument/2006/relationships/hyperlink" Target="https://www.bundesnetzagentur.de/DE/Sachgebiete/ElektrizitaetundGas/Verbraucher/PreiseRechnTarife/umlagen_strompreis-table.html" TargetMode="External"/><Relationship Id="rId6" Type="http://schemas.openxmlformats.org/officeDocument/2006/relationships/hyperlink" Target="https://www.bmwi.de/Redaktion/DE/Textsammlungen/Energie/strompreise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bundesnetzagentur.de/DE/Sachgebiete/ElektrizitaetundGas/Verbraucher/PreiseRechnTarife/umlagen_strompreis-table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undesnetzagentur.de/DE/Sachgebiete/ElektrizitaetundGas/Verbraucher/PreiseRechnTarife/umlagen_strompreis-table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bundesnetzagentur.de/DE/Sachgebiete/ElektrizitaetundGas/Verbraucher/PreiseRechnTarife/umlagen_strompreis-table.html" TargetMode="External"/><Relationship Id="rId1" Type="http://schemas.openxmlformats.org/officeDocument/2006/relationships/hyperlink" Target="http://www.gesetze-im-internet.de/kav/__2.html" TargetMode="External"/><Relationship Id="rId6" Type="http://schemas.openxmlformats.org/officeDocument/2006/relationships/hyperlink" Target="..\..\..\..\..\tubCloud\PEERS\2020-03-06_EnergyBrainpool_Impulspapier-Energy-Sharing.pdf" TargetMode="External"/><Relationship Id="rId5" Type="http://schemas.openxmlformats.org/officeDocument/2006/relationships/hyperlink" Target="https://www.bmwi.de/Redaktion/DE/Textsammlungen/Energie/strompreise.html" TargetMode="External"/><Relationship Id="rId4" Type="http://schemas.openxmlformats.org/officeDocument/2006/relationships/hyperlink" Target="https://www.bundesnetzagentur.de/DE/Sachgebiete/ElektrizitaetundGas/Verbraucher/PreiseRechnTarife/umlagen_strompreis-table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ndesnetzagentur.de/DE/Sachgebiete/ElektrizitaetundGas/Verbraucher/PreiseRechnTarife/umlagen_strompreis-table.html" TargetMode="External"/><Relationship Id="rId18" Type="http://schemas.openxmlformats.org/officeDocument/2006/relationships/hyperlink" Target="https://www.bundesnetzagentur.de/DE/Sachgebiete/ElektrizitaetundGas/Verbraucher/PreiseRechnTarife/umlagen_strompreis-table.html" TargetMode="External"/><Relationship Id="rId26" Type="http://schemas.openxmlformats.org/officeDocument/2006/relationships/hyperlink" Target="https://www.bundesnetzagentur.de/DE/Sachgebiete/ElektrizitaetundGas/Verbraucher/PreiseRechnTarife/umlagen_strompreis-table.html" TargetMode="External"/><Relationship Id="rId21" Type="http://schemas.openxmlformats.org/officeDocument/2006/relationships/hyperlink" Target="https://www.bmwi.de/Redaktion/DE/Textsammlungen/Energie/strompreise.html" TargetMode="External"/><Relationship Id="rId34" Type="http://schemas.openxmlformats.org/officeDocument/2006/relationships/hyperlink" Target="https://www.bundesnetzagentur.de/DE/Sachgebiete/ElektrizitaetundGas/Verbraucher/PreiseRechnTarife/umlagen_strompreis-table.html" TargetMode="External"/><Relationship Id="rId7" Type="http://schemas.openxmlformats.org/officeDocument/2006/relationships/hyperlink" Target="https://www.bundesnetzagentur.de/DE/Sachgebiete/ElektrizitaetundGas/Verbraucher/PreiseRechnTarife/umlagen_strompreis-table.html" TargetMode="External"/><Relationship Id="rId12" Type="http://schemas.openxmlformats.org/officeDocument/2006/relationships/hyperlink" Target="http://www.gesetze-im-internet.de/kav/__2.html" TargetMode="External"/><Relationship Id="rId17" Type="http://schemas.openxmlformats.org/officeDocument/2006/relationships/hyperlink" Target="http://www.gesetze-im-internet.de/kav/__2.html" TargetMode="External"/><Relationship Id="rId25" Type="http://schemas.openxmlformats.org/officeDocument/2006/relationships/hyperlink" Target="http://www.gesetze-im-internet.de/kav/__2.html" TargetMode="External"/><Relationship Id="rId33" Type="http://schemas.openxmlformats.org/officeDocument/2006/relationships/hyperlink" Target="https://www.bundesnetzagentur.de/DE/Sachgebiete/ElektrizitaetundGas/Verbraucher/PreiseRechnTarife/umlagen_strompreis-table.html" TargetMode="External"/><Relationship Id="rId2" Type="http://schemas.openxmlformats.org/officeDocument/2006/relationships/hyperlink" Target="https://www.bundesnetzagentur.de/DE/Sachgebiete/ElektrizitaetundGas/Verbraucher/PreiseRechnTarife/umlagen_strompreis-table.html" TargetMode="External"/><Relationship Id="rId16" Type="http://schemas.openxmlformats.org/officeDocument/2006/relationships/hyperlink" Target="https://www.bmwi.de/Redaktion/DE/Textsammlungen/Energie/strompreise.html" TargetMode="External"/><Relationship Id="rId20" Type="http://schemas.openxmlformats.org/officeDocument/2006/relationships/hyperlink" Target="https://www.bundesnetzagentur.de/DE/Sachgebiete/ElektrizitaetundGas/Verbraucher/PreiseRechnTarife/umlagen_strompreis-table.html" TargetMode="External"/><Relationship Id="rId29" Type="http://schemas.openxmlformats.org/officeDocument/2006/relationships/hyperlink" Target="https://www.bmwi.de/Redaktion/DE/Textsammlungen/Energie/strompreise.html" TargetMode="External"/><Relationship Id="rId1" Type="http://schemas.openxmlformats.org/officeDocument/2006/relationships/hyperlink" Target="http://www.gesetze-im-internet.de/kav/__2.html" TargetMode="External"/><Relationship Id="rId6" Type="http://schemas.openxmlformats.org/officeDocument/2006/relationships/hyperlink" Target="http://www.gesetze-im-internet.de/kav/__2.html" TargetMode="External"/><Relationship Id="rId11" Type="http://schemas.openxmlformats.org/officeDocument/2006/relationships/hyperlink" Target="tariff_matrix_case_4.csv" TargetMode="External"/><Relationship Id="rId24" Type="http://schemas.openxmlformats.org/officeDocument/2006/relationships/hyperlink" Target="tariff_matrix_case_3.csv" TargetMode="External"/><Relationship Id="rId32" Type="http://schemas.openxmlformats.org/officeDocument/2006/relationships/hyperlink" Target="https://www.bundesnetzagentur.de/DE/Sachgebiete/ElektrizitaetundGas/Verbraucher/PreiseRechnTarife/umlagen_strompreis-table.html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s://www.bmwi.de/Redaktion/DE/Textsammlungen/Energie/strompreise.html" TargetMode="External"/><Relationship Id="rId15" Type="http://schemas.openxmlformats.org/officeDocument/2006/relationships/hyperlink" Target="https://www.bundesnetzagentur.de/DE/Sachgebiete/ElektrizitaetundGas/Verbraucher/PreiseRechnTarife/umlagen_strompreis-table.html" TargetMode="External"/><Relationship Id="rId23" Type="http://schemas.openxmlformats.org/officeDocument/2006/relationships/hyperlink" Target="tariff_matrix_case_1.csv" TargetMode="External"/><Relationship Id="rId28" Type="http://schemas.openxmlformats.org/officeDocument/2006/relationships/hyperlink" Target="https://www.bundesnetzagentur.de/DE/Sachgebiete/ElektrizitaetundGas/Verbraucher/PreiseRechnTarife/umlagen_strompreis-table.html" TargetMode="External"/><Relationship Id="rId36" Type="http://schemas.openxmlformats.org/officeDocument/2006/relationships/hyperlink" Target="tariff_matrix_case_6.csv" TargetMode="External"/><Relationship Id="rId10" Type="http://schemas.openxmlformats.org/officeDocument/2006/relationships/hyperlink" Target="https://www.bmwi.de/Redaktion/DE/Textsammlungen/Energie/strompreise.html" TargetMode="External"/><Relationship Id="rId19" Type="http://schemas.openxmlformats.org/officeDocument/2006/relationships/hyperlink" Target="https://www.bundesnetzagentur.de/DE/Sachgebiete/ElektrizitaetundGas/Verbraucher/PreiseRechnTarife/umlagen_strompreis-table.html" TargetMode="External"/><Relationship Id="rId31" Type="http://schemas.openxmlformats.org/officeDocument/2006/relationships/hyperlink" Target="http://www.gesetze-im-internet.de/kav/__2.html" TargetMode="External"/><Relationship Id="rId4" Type="http://schemas.openxmlformats.org/officeDocument/2006/relationships/hyperlink" Target="https://www.bundesnetzagentur.de/DE/Sachgebiete/ElektrizitaetundGas/Verbraucher/PreiseRechnTarife/umlagen_strompreis-table.html" TargetMode="External"/><Relationship Id="rId9" Type="http://schemas.openxmlformats.org/officeDocument/2006/relationships/hyperlink" Target="https://www.bundesnetzagentur.de/DE/Sachgebiete/ElektrizitaetundGas/Verbraucher/PreiseRechnTarife/umlagen_strompreis-table.html" TargetMode="External"/><Relationship Id="rId14" Type="http://schemas.openxmlformats.org/officeDocument/2006/relationships/hyperlink" Target="https://www.bundesnetzagentur.de/DE/Sachgebiete/ElektrizitaetundGas/Verbraucher/PreiseRechnTarife/umlagen_strompreis-table.html" TargetMode="External"/><Relationship Id="rId22" Type="http://schemas.openxmlformats.org/officeDocument/2006/relationships/hyperlink" Target="tariff_matrix_case_2.csv" TargetMode="External"/><Relationship Id="rId27" Type="http://schemas.openxmlformats.org/officeDocument/2006/relationships/hyperlink" Target="https://www.bundesnetzagentur.de/DE/Sachgebiete/ElektrizitaetundGas/Verbraucher/PreiseRechnTarife/umlagen_strompreis-table.html" TargetMode="External"/><Relationship Id="rId30" Type="http://schemas.openxmlformats.org/officeDocument/2006/relationships/hyperlink" Target="tariff_matrix_case_5.csv" TargetMode="External"/><Relationship Id="rId35" Type="http://schemas.openxmlformats.org/officeDocument/2006/relationships/hyperlink" Target="https://www.bmwi.de/Redaktion/DE/Textsammlungen/Energie/strompreise.html" TargetMode="External"/><Relationship Id="rId8" Type="http://schemas.openxmlformats.org/officeDocument/2006/relationships/hyperlink" Target="https://www.bundesnetzagentur.de/DE/Sachgebiete/ElektrizitaetundGas/Verbraucher/PreiseRechnTarife/umlagen_strompreis-table.html" TargetMode="External"/><Relationship Id="rId3" Type="http://schemas.openxmlformats.org/officeDocument/2006/relationships/hyperlink" Target="https://www.bundesnetzagentur.de/DE/Sachgebiete/ElektrizitaetundGas/Verbraucher/PreiseRechnTarife/umlagen_strompreis-t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opLeftCell="A43" zoomScaleNormal="100" workbookViewId="0">
      <selection activeCell="F17" sqref="F17"/>
    </sheetView>
  </sheetViews>
  <sheetFormatPr defaultColWidth="11.42578125" defaultRowHeight="15" x14ac:dyDescent="0.25"/>
  <cols>
    <col min="1" max="1" width="26.28515625" style="1" customWidth="1"/>
    <col min="3" max="3" width="11.85546875" customWidth="1"/>
    <col min="4" max="4" width="11.7109375" bestFit="1" customWidth="1"/>
    <col min="5" max="5" width="11.7109375" customWidth="1"/>
    <col min="6" max="6" width="12.5703125" customWidth="1"/>
    <col min="7" max="7" width="11.42578125" customWidth="1"/>
    <col min="8" max="8" width="8.28515625" customWidth="1"/>
    <col min="9" max="9" width="11.42578125" customWidth="1"/>
    <col min="10" max="10" width="8.28515625" customWidth="1"/>
  </cols>
  <sheetData>
    <row r="1" spans="1:11" x14ac:dyDescent="0.25">
      <c r="A1" s="120" t="s">
        <v>38</v>
      </c>
      <c r="B1" s="121"/>
      <c r="C1" s="117" t="s">
        <v>31</v>
      </c>
      <c r="D1" s="118"/>
      <c r="E1" s="118"/>
      <c r="F1" s="119"/>
      <c r="G1" s="117" t="s">
        <v>26</v>
      </c>
      <c r="H1" s="118"/>
      <c r="I1" s="118"/>
      <c r="J1" s="119"/>
    </row>
    <row r="2" spans="1:11" x14ac:dyDescent="0.25">
      <c r="A2" s="120" t="s">
        <v>40</v>
      </c>
      <c r="B2" s="121"/>
      <c r="C2" s="117" t="s">
        <v>39</v>
      </c>
      <c r="D2" s="118"/>
      <c r="E2" s="118"/>
      <c r="F2" s="119"/>
      <c r="G2" s="125" t="s">
        <v>24</v>
      </c>
      <c r="H2" s="126"/>
      <c r="I2" s="117" t="s">
        <v>25</v>
      </c>
      <c r="J2" s="119"/>
    </row>
    <row r="3" spans="1:11" x14ac:dyDescent="0.25">
      <c r="A3" s="122" t="s">
        <v>37</v>
      </c>
      <c r="B3" s="123"/>
      <c r="C3" s="117" t="s">
        <v>35</v>
      </c>
      <c r="D3" s="118"/>
      <c r="E3" s="118"/>
      <c r="F3" s="117" t="s">
        <v>36</v>
      </c>
      <c r="G3" s="118"/>
      <c r="H3" s="118"/>
      <c r="I3" s="118"/>
      <c r="J3" s="119"/>
    </row>
    <row r="4" spans="1:11" ht="30" x14ac:dyDescent="0.25">
      <c r="A4" s="4"/>
      <c r="B4" s="5" t="s">
        <v>1</v>
      </c>
      <c r="C4" s="15" t="s">
        <v>41</v>
      </c>
      <c r="D4" s="16" t="s">
        <v>42</v>
      </c>
      <c r="E4" s="16" t="s">
        <v>43</v>
      </c>
      <c r="F4" s="15" t="s">
        <v>41</v>
      </c>
      <c r="G4" s="15" t="s">
        <v>44</v>
      </c>
      <c r="H4" s="16" t="s">
        <v>45</v>
      </c>
      <c r="I4" s="15" t="s">
        <v>46</v>
      </c>
      <c r="J4" s="16" t="s">
        <v>45</v>
      </c>
    </row>
    <row r="5" spans="1:11" ht="45" x14ac:dyDescent="0.25">
      <c r="A5" s="4" t="s">
        <v>11</v>
      </c>
      <c r="B5" s="7">
        <v>7.71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8">
        <f>$B$5</f>
        <v>7.71</v>
      </c>
      <c r="K5" s="14" t="s">
        <v>28</v>
      </c>
    </row>
    <row r="6" spans="1:11" x14ac:dyDescent="0.25">
      <c r="A6" s="6" t="s">
        <v>7</v>
      </c>
      <c r="B6" s="7">
        <v>2.0499999999999998</v>
      </c>
      <c r="C6" s="23">
        <v>0</v>
      </c>
      <c r="D6" s="24">
        <v>0</v>
      </c>
      <c r="E6" s="24">
        <v>0</v>
      </c>
      <c r="F6" s="24">
        <v>0</v>
      </c>
      <c r="G6" s="24">
        <f>B6</f>
        <v>2.0499999999999998</v>
      </c>
      <c r="H6" s="17">
        <f>$B$6</f>
        <v>2.0499999999999998</v>
      </c>
      <c r="I6" s="24">
        <f>B6</f>
        <v>2.0499999999999998</v>
      </c>
      <c r="J6" s="8">
        <f>$B$6</f>
        <v>2.0499999999999998</v>
      </c>
      <c r="K6" t="s">
        <v>27</v>
      </c>
    </row>
    <row r="7" spans="1:11" x14ac:dyDescent="0.25">
      <c r="A7" s="6" t="s">
        <v>0</v>
      </c>
      <c r="B7" s="7">
        <v>6.7560000000000002</v>
      </c>
      <c r="C7" s="23">
        <v>0</v>
      </c>
      <c r="D7" s="24">
        <v>0</v>
      </c>
      <c r="E7" s="24">
        <f>0.4*B7</f>
        <v>2.7024000000000004</v>
      </c>
      <c r="F7" s="24">
        <v>0</v>
      </c>
      <c r="G7" s="24">
        <v>0</v>
      </c>
      <c r="H7" s="8">
        <f>$B$7</f>
        <v>6.7560000000000002</v>
      </c>
      <c r="I7" s="24">
        <v>0</v>
      </c>
      <c r="J7" s="8">
        <f>$B$7</f>
        <v>6.7560000000000002</v>
      </c>
      <c r="K7" t="s">
        <v>29</v>
      </c>
    </row>
    <row r="8" spans="1:11" x14ac:dyDescent="0.25">
      <c r="A8" s="25" t="s">
        <v>5</v>
      </c>
      <c r="B8" s="26">
        <v>1.66</v>
      </c>
      <c r="C8" s="23">
        <v>0</v>
      </c>
      <c r="D8" s="23">
        <v>0</v>
      </c>
      <c r="E8" s="23">
        <v>0</v>
      </c>
      <c r="F8" s="23">
        <v>0</v>
      </c>
      <c r="G8" s="17">
        <f>$B$8</f>
        <v>1.66</v>
      </c>
      <c r="H8" s="17">
        <f>$B$8</f>
        <v>1.66</v>
      </c>
      <c r="I8" s="8">
        <f>$B$8</f>
        <v>1.66</v>
      </c>
      <c r="J8" s="8">
        <f>$B$8</f>
        <v>1.66</v>
      </c>
    </row>
    <row r="9" spans="1:11" x14ac:dyDescent="0.25">
      <c r="A9" s="25" t="s">
        <v>2</v>
      </c>
      <c r="B9" s="26">
        <v>0.22600000000000001</v>
      </c>
      <c r="C9" s="23">
        <v>0</v>
      </c>
      <c r="D9" s="23">
        <v>0</v>
      </c>
      <c r="E9" s="23">
        <v>0</v>
      </c>
      <c r="F9" s="8">
        <f>$B$9</f>
        <v>0.22600000000000001</v>
      </c>
      <c r="G9" s="17">
        <f>$B$9</f>
        <v>0.22600000000000001</v>
      </c>
      <c r="H9" s="17">
        <f>$B$9</f>
        <v>0.22600000000000001</v>
      </c>
      <c r="I9" s="17">
        <f>$B$9</f>
        <v>0.22600000000000001</v>
      </c>
      <c r="J9" s="8">
        <f>$B$9</f>
        <v>0.22600000000000001</v>
      </c>
    </row>
    <row r="10" spans="1:11" x14ac:dyDescent="0.25">
      <c r="A10" s="25" t="s">
        <v>6</v>
      </c>
      <c r="B10" s="26">
        <v>0.41599999999999998</v>
      </c>
      <c r="C10" s="23">
        <v>0</v>
      </c>
      <c r="D10" s="23">
        <v>0</v>
      </c>
      <c r="E10" s="23">
        <v>0</v>
      </c>
      <c r="F10" s="8">
        <f>$B$10</f>
        <v>0.41599999999999998</v>
      </c>
      <c r="G10" s="17">
        <f>$B$10</f>
        <v>0.41599999999999998</v>
      </c>
      <c r="H10" s="17">
        <f>$B$10</f>
        <v>0.41599999999999998</v>
      </c>
      <c r="I10" s="17">
        <f>$B$10</f>
        <v>0.41599999999999998</v>
      </c>
      <c r="J10" s="8">
        <f>$B$10</f>
        <v>0.41599999999999998</v>
      </c>
    </row>
    <row r="11" spans="1:11" x14ac:dyDescent="0.25">
      <c r="A11" s="25" t="s">
        <v>4</v>
      </c>
      <c r="B11" s="26">
        <v>7.0000000000000001E-3</v>
      </c>
      <c r="C11" s="23">
        <v>0</v>
      </c>
      <c r="D11" s="23">
        <v>0</v>
      </c>
      <c r="E11" s="23">
        <v>0</v>
      </c>
      <c r="F11" s="8">
        <f>$B$11</f>
        <v>7.0000000000000001E-3</v>
      </c>
      <c r="G11" s="17">
        <f>$B$11</f>
        <v>7.0000000000000001E-3</v>
      </c>
      <c r="H11" s="17">
        <f>$B$11</f>
        <v>7.0000000000000001E-3</v>
      </c>
      <c r="I11" s="17">
        <f>$B$11</f>
        <v>7.0000000000000001E-3</v>
      </c>
      <c r="J11" s="8">
        <f>$B$11</f>
        <v>7.0000000000000001E-3</v>
      </c>
    </row>
    <row r="12" spans="1:11" x14ac:dyDescent="0.25">
      <c r="A12" s="25" t="s">
        <v>3</v>
      </c>
      <c r="B12" s="26">
        <v>0.35799999999999998</v>
      </c>
      <c r="C12" s="23">
        <v>0</v>
      </c>
      <c r="D12" s="23">
        <v>0</v>
      </c>
      <c r="E12" s="23">
        <v>0</v>
      </c>
      <c r="F12" s="8">
        <f>$B$12</f>
        <v>0.35799999999999998</v>
      </c>
      <c r="G12" s="17">
        <f>$B$12</f>
        <v>0.35799999999999998</v>
      </c>
      <c r="H12" s="17">
        <f>$B$12</f>
        <v>0.35799999999999998</v>
      </c>
      <c r="I12" s="17">
        <f>$B$12</f>
        <v>0.35799999999999998</v>
      </c>
      <c r="J12" s="8">
        <f>$B$12</f>
        <v>0.35799999999999998</v>
      </c>
    </row>
    <row r="13" spans="1:11" x14ac:dyDescent="0.25">
      <c r="A13" s="4" t="s">
        <v>33</v>
      </c>
      <c r="B13" s="7">
        <f>0.19*B15</f>
        <v>5.0103</v>
      </c>
      <c r="C13" s="24">
        <v>0</v>
      </c>
      <c r="D13" s="24">
        <f>0</f>
        <v>0</v>
      </c>
      <c r="E13" s="24">
        <f>0</f>
        <v>0</v>
      </c>
      <c r="F13" s="24">
        <f>0</f>
        <v>0</v>
      </c>
      <c r="G13" s="24">
        <f>0</f>
        <v>0</v>
      </c>
      <c r="H13" s="24">
        <f>0</f>
        <v>0</v>
      </c>
      <c r="I13" s="24">
        <f>0</f>
        <v>0</v>
      </c>
      <c r="J13" s="24">
        <f>0</f>
        <v>0</v>
      </c>
      <c r="K13" t="s">
        <v>30</v>
      </c>
    </row>
    <row r="14" spans="1:11" s="3" customFormat="1" x14ac:dyDescent="0.25">
      <c r="A14" s="9" t="s">
        <v>34</v>
      </c>
      <c r="B14" s="10">
        <v>7.18</v>
      </c>
      <c r="C14" s="10"/>
      <c r="D14" s="10"/>
      <c r="E14" s="10"/>
      <c r="F14" s="10"/>
      <c r="G14" s="10"/>
      <c r="H14" s="10"/>
      <c r="I14" s="10"/>
      <c r="J14" s="10"/>
    </row>
    <row r="15" spans="1:11" ht="30" x14ac:dyDescent="0.25">
      <c r="A15" s="4" t="s">
        <v>32</v>
      </c>
      <c r="B15" s="7">
        <v>26.37</v>
      </c>
      <c r="C15" s="7"/>
      <c r="D15" s="7"/>
      <c r="E15" s="7"/>
      <c r="F15" s="7"/>
      <c r="G15" s="7"/>
      <c r="H15" s="7"/>
      <c r="I15" s="7"/>
      <c r="J15" s="7"/>
    </row>
    <row r="16" spans="1:11" x14ac:dyDescent="0.25">
      <c r="B16" s="11">
        <f>SUM(B5:B14)</f>
        <v>31.3733</v>
      </c>
      <c r="C16">
        <f>SUM(C5:C13)</f>
        <v>0</v>
      </c>
      <c r="D16">
        <f>SUM(D5:D13)</f>
        <v>0</v>
      </c>
      <c r="E16">
        <f t="shared" ref="E16" si="0">SUM(E5:E13)</f>
        <v>2.7024000000000004</v>
      </c>
      <c r="F16">
        <f>SUM(F5:F13)</f>
        <v>1.0070000000000001</v>
      </c>
      <c r="G16">
        <f>SUM(G5:G13)</f>
        <v>4.7169999999999996</v>
      </c>
      <c r="H16">
        <f>SUM(H5:H13)</f>
        <v>11.473000000000003</v>
      </c>
      <c r="I16">
        <f>SUM(I5:I13)</f>
        <v>4.7169999999999996</v>
      </c>
      <c r="J16">
        <f>SUM(J5:J13)</f>
        <v>19.183</v>
      </c>
    </row>
    <row r="17" spans="1:10" x14ac:dyDescent="0.25">
      <c r="A17" s="1">
        <v>1</v>
      </c>
      <c r="B17" s="2" t="s">
        <v>12</v>
      </c>
    </row>
    <row r="18" spans="1:10" x14ac:dyDescent="0.25">
      <c r="A18" s="1">
        <v>2</v>
      </c>
      <c r="B18" s="2" t="s">
        <v>9</v>
      </c>
    </row>
    <row r="19" spans="1:10" x14ac:dyDescent="0.25">
      <c r="B19" s="2" t="s">
        <v>13</v>
      </c>
      <c r="I19" s="124" t="s">
        <v>47</v>
      </c>
      <c r="J19" s="124"/>
    </row>
    <row r="20" spans="1:10" x14ac:dyDescent="0.25">
      <c r="B20" t="s">
        <v>10</v>
      </c>
      <c r="I20" s="114" t="s">
        <v>48</v>
      </c>
      <c r="J20" s="114"/>
    </row>
    <row r="21" spans="1:10" x14ac:dyDescent="0.25">
      <c r="I21" s="116" t="s">
        <v>50</v>
      </c>
      <c r="J21" s="116"/>
    </row>
    <row r="22" spans="1:10" x14ac:dyDescent="0.25">
      <c r="I22" s="115" t="s">
        <v>49</v>
      </c>
      <c r="J22" s="115"/>
    </row>
    <row r="24" spans="1:10" ht="30" x14ac:dyDescent="0.25">
      <c r="A24" s="1" t="s">
        <v>8</v>
      </c>
    </row>
    <row r="27" spans="1:10" x14ac:dyDescent="0.25">
      <c r="A27" s="1" t="s">
        <v>23</v>
      </c>
    </row>
    <row r="28" spans="1:10" ht="45" x14ac:dyDescent="0.25">
      <c r="A28" s="12" t="s">
        <v>14</v>
      </c>
      <c r="B28" s="12"/>
    </row>
    <row r="29" spans="1:10" x14ac:dyDescent="0.25">
      <c r="A29" s="12" t="s">
        <v>15</v>
      </c>
      <c r="B29" s="13" t="s">
        <v>16</v>
      </c>
    </row>
    <row r="30" spans="1:10" x14ac:dyDescent="0.25">
      <c r="A30" s="12" t="s">
        <v>17</v>
      </c>
      <c r="B30" s="13" t="s">
        <v>18</v>
      </c>
    </row>
    <row r="31" spans="1:10" x14ac:dyDescent="0.25">
      <c r="A31" s="12" t="s">
        <v>19</v>
      </c>
      <c r="B31" s="13" t="s">
        <v>20</v>
      </c>
    </row>
    <row r="32" spans="1:10" x14ac:dyDescent="0.25">
      <c r="A32" s="12" t="s">
        <v>21</v>
      </c>
      <c r="B32" s="13" t="s">
        <v>22</v>
      </c>
    </row>
  </sheetData>
  <mergeCells count="14">
    <mergeCell ref="A1:B1"/>
    <mergeCell ref="A2:B2"/>
    <mergeCell ref="A3:B3"/>
    <mergeCell ref="I19:J19"/>
    <mergeCell ref="G2:H2"/>
    <mergeCell ref="I2:J2"/>
    <mergeCell ref="C1:F1"/>
    <mergeCell ref="C3:E3"/>
    <mergeCell ref="F3:J3"/>
    <mergeCell ref="I20:J20"/>
    <mergeCell ref="I22:J22"/>
    <mergeCell ref="I21:J21"/>
    <mergeCell ref="C2:F2"/>
    <mergeCell ref="G1:J1"/>
  </mergeCells>
  <hyperlinks>
    <hyperlink ref="B17" r:id="rId1" xr:uid="{00000000-0004-0000-0000-000000000000}"/>
    <hyperlink ref="A8" r:id="rId2" display="concession fee" xr:uid="{00000000-0004-0000-0000-000001000000}"/>
    <hyperlink ref="A7" r:id="rId3" xr:uid="{00000000-0004-0000-0000-000002000000}"/>
    <hyperlink ref="A9" r:id="rId4" display="CHP-levy" xr:uid="{00000000-0004-0000-0000-000003000000}"/>
    <hyperlink ref="A12" r:id="rId5" display="§ 19 StromNEV allocation" xr:uid="{00000000-0004-0000-0000-000004000000}"/>
    <hyperlink ref="A6" r:id="rId6" xr:uid="{00000000-0004-0000-0000-000005000000}"/>
    <hyperlink ref="B18" r:id="rId7" xr:uid="{00000000-0004-0000-0000-000006000000}"/>
    <hyperlink ref="B19" r:id="rId8" xr:uid="{00000000-0004-0000-0000-000007000000}"/>
  </hyperlinks>
  <pageMargins left="0.7" right="0.7" top="0.78740157499999996" bottom="0.78740157499999996" header="0.3" footer="0.3"/>
  <pageSetup orientation="portrait" r:id="rId9"/>
  <ignoredErrors>
    <ignoredError sqref="I6" formula="1"/>
  </ignoredErrors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BFA4-E579-48E7-9466-37AC611B637D}">
  <dimension ref="A1:Y43"/>
  <sheetViews>
    <sheetView topLeftCell="C10" zoomScaleNormal="100" workbookViewId="0">
      <selection activeCell="I24" sqref="I24"/>
    </sheetView>
  </sheetViews>
  <sheetFormatPr defaultRowHeight="15" x14ac:dyDescent="0.25"/>
  <cols>
    <col min="1" max="1" width="24.28515625" customWidth="1"/>
    <col min="2" max="2" width="7.42578125" bestFit="1" customWidth="1"/>
    <col min="3" max="3" width="10.42578125" bestFit="1" customWidth="1"/>
    <col min="4" max="5" width="16.5703125" customWidth="1"/>
    <col min="6" max="6" width="11" customWidth="1"/>
    <col min="7" max="7" width="10.7109375" customWidth="1"/>
    <col min="9" max="9" width="12" bestFit="1" customWidth="1"/>
    <col min="11" max="11" width="13.5703125" bestFit="1" customWidth="1"/>
    <col min="15" max="15" width="7.5703125" bestFit="1" customWidth="1"/>
    <col min="16" max="16" width="7" bestFit="1" customWidth="1"/>
    <col min="18" max="18" width="2.85546875" customWidth="1"/>
    <col min="23" max="23" width="8.140625" bestFit="1" customWidth="1"/>
  </cols>
  <sheetData>
    <row r="1" spans="1:25" ht="45" x14ac:dyDescent="0.25">
      <c r="B1" s="19"/>
      <c r="C1" s="19" t="s">
        <v>54</v>
      </c>
      <c r="D1" s="19" t="s">
        <v>101</v>
      </c>
      <c r="E1" s="19" t="s">
        <v>100</v>
      </c>
      <c r="F1" s="22" t="s">
        <v>55</v>
      </c>
      <c r="G1" s="22" t="s">
        <v>56</v>
      </c>
    </row>
    <row r="2" spans="1:25" x14ac:dyDescent="0.25">
      <c r="A2" s="4"/>
      <c r="B2" s="5" t="s">
        <v>1</v>
      </c>
      <c r="C2" s="5" t="s">
        <v>1</v>
      </c>
      <c r="D2" s="5" t="s">
        <v>1</v>
      </c>
      <c r="E2" s="5" t="s">
        <v>1</v>
      </c>
    </row>
    <row r="3" spans="1:25" ht="45" x14ac:dyDescent="0.25">
      <c r="A3" s="4" t="s">
        <v>11</v>
      </c>
      <c r="B3" s="7">
        <v>7.71</v>
      </c>
      <c r="C3" s="11">
        <f>B3</f>
        <v>7.71</v>
      </c>
      <c r="D3" s="83">
        <f>B3</f>
        <v>7.71</v>
      </c>
      <c r="E3" s="80">
        <f>0.74*B3</f>
        <v>5.7054</v>
      </c>
      <c r="K3" s="78"/>
    </row>
    <row r="4" spans="1:25" x14ac:dyDescent="0.25">
      <c r="A4" s="6" t="s">
        <v>7</v>
      </c>
      <c r="B4" s="7">
        <v>2.0499999999999998</v>
      </c>
      <c r="C4" s="11">
        <f t="shared" ref="C4:C14" si="0">B4</f>
        <v>2.0499999999999998</v>
      </c>
      <c r="D4" s="84">
        <f>B4</f>
        <v>2.0499999999999998</v>
      </c>
      <c r="E4" s="81">
        <v>0</v>
      </c>
      <c r="H4" t="s">
        <v>57</v>
      </c>
    </row>
    <row r="5" spans="1:25" x14ac:dyDescent="0.25">
      <c r="A5" s="29" t="s">
        <v>0</v>
      </c>
      <c r="B5" s="65">
        <v>6.7560000000000002</v>
      </c>
      <c r="C5" s="82">
        <f t="shared" si="0"/>
        <v>6.7560000000000002</v>
      </c>
      <c r="D5" s="85">
        <f>B5</f>
        <v>6.7560000000000002</v>
      </c>
      <c r="E5" s="81">
        <f>0.4*B5</f>
        <v>2.7024000000000004</v>
      </c>
      <c r="F5" s="20">
        <f>0.4*B5</f>
        <v>2.7024000000000004</v>
      </c>
      <c r="G5" s="21">
        <v>0</v>
      </c>
      <c r="H5" t="s">
        <v>108</v>
      </c>
    </row>
    <row r="6" spans="1:25" x14ac:dyDescent="0.25">
      <c r="A6" s="30" t="s">
        <v>5</v>
      </c>
      <c r="B6" s="31">
        <v>1.66</v>
      </c>
      <c r="C6" s="32">
        <f>B6</f>
        <v>1.66</v>
      </c>
      <c r="D6" s="33">
        <f>C6</f>
        <v>1.66</v>
      </c>
      <c r="E6" s="33">
        <f>B6</f>
        <v>1.66</v>
      </c>
      <c r="F6" s="33"/>
      <c r="X6" s="77"/>
    </row>
    <row r="7" spans="1:25" x14ac:dyDescent="0.25">
      <c r="A7" s="34" t="s">
        <v>2</v>
      </c>
      <c r="B7" s="28">
        <v>0.22600000000000001</v>
      </c>
      <c r="C7" s="11">
        <f t="shared" si="0"/>
        <v>0.22600000000000001</v>
      </c>
      <c r="D7" s="35">
        <f>C7</f>
        <v>0.22600000000000001</v>
      </c>
      <c r="E7" s="35">
        <f>B7</f>
        <v>0.22600000000000001</v>
      </c>
      <c r="F7" s="35"/>
    </row>
    <row r="8" spans="1:25" x14ac:dyDescent="0.25">
      <c r="A8" s="34" t="s">
        <v>6</v>
      </c>
      <c r="B8" s="28">
        <v>0.41599999999999998</v>
      </c>
      <c r="C8" s="11">
        <f t="shared" si="0"/>
        <v>0.41599999999999998</v>
      </c>
      <c r="D8" s="35">
        <f>C8</f>
        <v>0.41599999999999998</v>
      </c>
      <c r="E8" s="35">
        <f t="shared" ref="E8:E14" si="1">B8</f>
        <v>0.41599999999999998</v>
      </c>
      <c r="F8" s="35"/>
      <c r="K8" s="19" t="s">
        <v>87</v>
      </c>
      <c r="M8" s="40"/>
      <c r="N8" s="40"/>
      <c r="O8" s="40"/>
      <c r="P8" s="40"/>
      <c r="S8" s="19" t="s">
        <v>106</v>
      </c>
      <c r="U8" s="40"/>
      <c r="V8" s="40"/>
      <c r="W8" s="40"/>
      <c r="X8" s="40"/>
    </row>
    <row r="9" spans="1:25" x14ac:dyDescent="0.25">
      <c r="A9" s="34" t="s">
        <v>4</v>
      </c>
      <c r="B9" s="28">
        <v>7.0000000000000001E-3</v>
      </c>
      <c r="C9" s="11">
        <f t="shared" si="0"/>
        <v>7.0000000000000001E-3</v>
      </c>
      <c r="D9" s="35">
        <f>C9</f>
        <v>7.0000000000000001E-3</v>
      </c>
      <c r="E9" s="35">
        <f t="shared" si="1"/>
        <v>7.0000000000000001E-3</v>
      </c>
      <c r="F9" s="35"/>
      <c r="K9" s="44" t="s">
        <v>65</v>
      </c>
      <c r="L9" s="45"/>
      <c r="M9" s="46">
        <v>0.05</v>
      </c>
      <c r="N9" s="46"/>
      <c r="O9" s="46"/>
      <c r="P9" s="46"/>
      <c r="Q9" s="47"/>
      <c r="R9" s="45"/>
      <c r="S9" s="44" t="s">
        <v>65</v>
      </c>
      <c r="T9" s="45"/>
      <c r="U9" s="46">
        <v>0.05</v>
      </c>
      <c r="V9" s="46"/>
      <c r="W9" s="46"/>
      <c r="X9" s="46"/>
      <c r="Y9" s="47"/>
    </row>
    <row r="10" spans="1:25" ht="15.75" thickBot="1" x14ac:dyDescent="0.3">
      <c r="A10" s="36" t="s">
        <v>3</v>
      </c>
      <c r="B10" s="37">
        <v>0.35799999999999998</v>
      </c>
      <c r="C10" s="38">
        <f t="shared" si="0"/>
        <v>0.35799999999999998</v>
      </c>
      <c r="D10" s="39">
        <f>C10</f>
        <v>0.35799999999999998</v>
      </c>
      <c r="E10" s="39">
        <f t="shared" si="1"/>
        <v>0.35799999999999998</v>
      </c>
      <c r="F10" s="39"/>
      <c r="K10" s="48" t="s">
        <v>62</v>
      </c>
      <c r="L10" s="43"/>
      <c r="M10" s="49">
        <v>0.19</v>
      </c>
      <c r="N10" s="49"/>
      <c r="O10" s="49"/>
      <c r="P10" s="49"/>
      <c r="Q10" s="50"/>
      <c r="R10" s="43"/>
      <c r="S10" s="48" t="s">
        <v>62</v>
      </c>
      <c r="T10" s="43"/>
      <c r="U10" s="49">
        <v>0.19</v>
      </c>
      <c r="V10" s="49"/>
      <c r="W10" s="49"/>
      <c r="X10" s="49"/>
      <c r="Y10" s="50"/>
    </row>
    <row r="11" spans="1:25" x14ac:dyDescent="0.25">
      <c r="A11" s="88"/>
      <c r="B11" s="89"/>
      <c r="C11" s="82"/>
      <c r="E11" s="87"/>
      <c r="K11" s="48"/>
      <c r="L11" s="51" t="s">
        <v>59</v>
      </c>
      <c r="M11" s="49"/>
      <c r="N11" s="49" t="s">
        <v>60</v>
      </c>
      <c r="O11" s="49"/>
      <c r="P11" s="105" t="s">
        <v>61</v>
      </c>
      <c r="Q11" s="52" t="s">
        <v>58</v>
      </c>
      <c r="R11" s="51"/>
      <c r="S11" s="48"/>
      <c r="T11" s="51" t="s">
        <v>59</v>
      </c>
      <c r="U11" s="49"/>
      <c r="V11" s="49" t="s">
        <v>60</v>
      </c>
      <c r="W11" s="105" t="s">
        <v>89</v>
      </c>
      <c r="X11" s="49" t="s">
        <v>61</v>
      </c>
      <c r="Y11" s="52" t="s">
        <v>58</v>
      </c>
    </row>
    <row r="12" spans="1:25" x14ac:dyDescent="0.25">
      <c r="A12" s="4" t="s">
        <v>33</v>
      </c>
      <c r="B12" s="7">
        <f>0.19*B14</f>
        <v>5.0103</v>
      </c>
      <c r="C12" s="11">
        <f t="shared" si="0"/>
        <v>5.0103</v>
      </c>
      <c r="D12" s="18"/>
      <c r="E12" s="18">
        <f t="shared" si="1"/>
        <v>5.0103</v>
      </c>
      <c r="F12" s="19"/>
      <c r="G12" s="27"/>
      <c r="K12" s="48" t="s">
        <v>63</v>
      </c>
      <c r="L12" s="51"/>
      <c r="M12" s="95"/>
      <c r="N12" s="95">
        <f>38.228</f>
        <v>38.228000000000002</v>
      </c>
      <c r="O12" s="67"/>
      <c r="P12" s="106">
        <f>Q13</f>
        <v>31.3733</v>
      </c>
      <c r="Q12" s="52"/>
      <c r="R12" s="51"/>
      <c r="S12" s="48" t="s">
        <v>63</v>
      </c>
      <c r="T12" s="51"/>
      <c r="U12" s="7"/>
      <c r="V12" s="113">
        <v>25.241</v>
      </c>
      <c r="W12" s="112">
        <f>(V12+X12)/2</f>
        <v>28.30715</v>
      </c>
      <c r="X12" s="111">
        <f>Y13</f>
        <v>31.3733</v>
      </c>
      <c r="Y12" s="52"/>
    </row>
    <row r="13" spans="1:25" x14ac:dyDescent="0.25">
      <c r="A13" s="9" t="s">
        <v>34</v>
      </c>
      <c r="B13" s="10">
        <v>7.18</v>
      </c>
      <c r="C13" s="11">
        <f t="shared" si="0"/>
        <v>7.18</v>
      </c>
      <c r="D13" s="18"/>
      <c r="E13" s="18">
        <f t="shared" si="1"/>
        <v>7.18</v>
      </c>
      <c r="K13" s="48" t="s">
        <v>66</v>
      </c>
      <c r="L13" s="51">
        <f>9.87</f>
        <v>9.8699999999999992</v>
      </c>
      <c r="M13" s="95"/>
      <c r="N13" s="95">
        <f>N12-($M$9+$M$10)*N12</f>
        <v>29.053280000000001</v>
      </c>
      <c r="O13" s="95"/>
      <c r="P13" s="106">
        <f>P12-($M$9+$M$10)*P12</f>
        <v>23.843707999999999</v>
      </c>
      <c r="Q13" s="53">
        <f>$B$15</f>
        <v>31.3733</v>
      </c>
      <c r="R13" s="95"/>
      <c r="S13" s="48" t="s">
        <v>66</v>
      </c>
      <c r="T13" s="58">
        <v>0</v>
      </c>
      <c r="U13" s="96"/>
      <c r="V13" s="110">
        <f t="shared" ref="V13" si="2">V12-($U$9+$U$10)*V12</f>
        <v>19.183160000000001</v>
      </c>
      <c r="W13" s="112">
        <f>W12-($U$9+$U$10)*W12</f>
        <v>21.513434</v>
      </c>
      <c r="X13" s="111">
        <f>X12-($U$9+$U$10)*X12</f>
        <v>23.843707999999999</v>
      </c>
      <c r="Y13" s="53">
        <f>$B$15</f>
        <v>31.3733</v>
      </c>
    </row>
    <row r="14" spans="1:25" ht="30" x14ac:dyDescent="0.25">
      <c r="A14" s="4" t="s">
        <v>32</v>
      </c>
      <c r="B14" s="7">
        <v>26.37</v>
      </c>
      <c r="C14" s="11">
        <f t="shared" si="0"/>
        <v>26.37</v>
      </c>
      <c r="D14" s="18"/>
      <c r="E14" s="18">
        <f t="shared" si="1"/>
        <v>26.37</v>
      </c>
      <c r="I14" s="18">
        <f>V37-V38</f>
        <v>7.5295920000000001</v>
      </c>
      <c r="K14" s="48" t="s">
        <v>94</v>
      </c>
      <c r="L14" s="43"/>
      <c r="M14" s="49"/>
      <c r="N14" s="11">
        <f>N13-C25</f>
        <v>9.8702800000000011</v>
      </c>
      <c r="O14" s="49"/>
      <c r="P14" s="108">
        <f>P13-$C$25</f>
        <v>4.6607079999999996</v>
      </c>
      <c r="Q14" s="50"/>
      <c r="R14" s="43"/>
      <c r="S14" s="48" t="s">
        <v>94</v>
      </c>
      <c r="T14" s="43"/>
      <c r="U14" s="49"/>
      <c r="V14" s="11">
        <f>V13-$C$25</f>
        <v>1.6000000000104819E-4</v>
      </c>
      <c r="W14" s="107">
        <f>W13-C25</f>
        <v>2.3304340000000003</v>
      </c>
      <c r="X14" s="11">
        <f>X13-$C$25</f>
        <v>4.6607079999999996</v>
      </c>
      <c r="Y14" s="50"/>
    </row>
    <row r="15" spans="1:25" x14ac:dyDescent="0.25">
      <c r="A15" s="1"/>
      <c r="B15" s="11">
        <f>SUM(B3:B13)</f>
        <v>31.3733</v>
      </c>
      <c r="C15" s="11">
        <f>SUM(C3:C13)</f>
        <v>31.3733</v>
      </c>
      <c r="D15" s="18"/>
      <c r="E15" s="18">
        <f>SUM(E3:E13)</f>
        <v>23.2651</v>
      </c>
      <c r="H15" s="18"/>
      <c r="I15" s="18">
        <f>(I14/24)*5</f>
        <v>1.568665</v>
      </c>
      <c r="K15" s="48" t="s">
        <v>95</v>
      </c>
      <c r="L15" s="43"/>
      <c r="M15" s="49"/>
      <c r="N15" s="11">
        <f>N14-C24</f>
        <v>9.8702800000000011</v>
      </c>
      <c r="O15" s="49"/>
      <c r="P15" s="108">
        <f>P14-$C$24</f>
        <v>4.6607079999999996</v>
      </c>
      <c r="Q15" s="50"/>
      <c r="R15" s="43"/>
      <c r="S15" s="48" t="s">
        <v>95</v>
      </c>
      <c r="T15" s="43"/>
      <c r="U15" s="49"/>
      <c r="V15" s="11">
        <f>V14-$B$24</f>
        <v>1.6000000000104819E-4</v>
      </c>
      <c r="W15" s="108">
        <f>$W$14-$B$24</f>
        <v>2.3304340000000003</v>
      </c>
      <c r="X15" s="11">
        <f>X14-$C$24</f>
        <v>4.6607079999999996</v>
      </c>
      <c r="Y15" s="50"/>
    </row>
    <row r="16" spans="1:25" x14ac:dyDescent="0.25">
      <c r="A16" s="1"/>
      <c r="B16" s="11"/>
      <c r="C16" s="11"/>
      <c r="D16" s="18"/>
      <c r="E16" s="18"/>
      <c r="I16" s="18">
        <f>(I14/24)*19</f>
        <v>5.9609269999999999</v>
      </c>
      <c r="K16" s="48" t="s">
        <v>64</v>
      </c>
      <c r="L16" s="43"/>
      <c r="M16" s="49"/>
      <c r="N16" s="11">
        <f>N15-L13</f>
        <v>2.8000000000183434E-4</v>
      </c>
      <c r="O16" s="49"/>
      <c r="P16" s="108">
        <f>P15-$L$13</f>
        <v>-5.2092919999999996</v>
      </c>
      <c r="Q16" s="50"/>
      <c r="R16" s="43"/>
      <c r="S16" s="48" t="s">
        <v>64</v>
      </c>
      <c r="T16" s="43"/>
      <c r="U16" s="49"/>
      <c r="V16" s="11">
        <f>V15-$T$13</f>
        <v>1.6000000000104819E-4</v>
      </c>
      <c r="W16" s="108">
        <f>W15-$T$13</f>
        <v>2.3304340000000003</v>
      </c>
      <c r="X16" s="11">
        <f>X15-$T$13</f>
        <v>4.6607079999999996</v>
      </c>
      <c r="Y16" s="50"/>
    </row>
    <row r="17" spans="1:25" ht="15.75" thickBot="1" x14ac:dyDescent="0.3">
      <c r="A17" s="66" t="s">
        <v>84</v>
      </c>
      <c r="B17" s="18"/>
      <c r="C17" s="18">
        <f>B15-C25</f>
        <v>12.190300000000001</v>
      </c>
      <c r="K17" s="54" t="s">
        <v>90</v>
      </c>
      <c r="L17" s="55"/>
      <c r="M17" s="56"/>
      <c r="N17" s="56"/>
      <c r="O17" s="56"/>
      <c r="P17" s="109">
        <f>P12-C25</f>
        <v>12.190300000000001</v>
      </c>
      <c r="Q17" s="57"/>
      <c r="R17" s="55"/>
      <c r="S17" s="54"/>
      <c r="T17" s="55"/>
      <c r="U17" s="55"/>
      <c r="V17" s="55"/>
      <c r="W17" s="109">
        <f>$W$12-$C$25</f>
        <v>9.1241500000000002</v>
      </c>
      <c r="X17" s="55"/>
      <c r="Y17" s="57"/>
    </row>
    <row r="18" spans="1:25" x14ac:dyDescent="0.25">
      <c r="A18" s="2" t="s">
        <v>51</v>
      </c>
      <c r="P18" s="79">
        <f>P14/P17</f>
        <v>0.3823292289771375</v>
      </c>
      <c r="W18" s="86">
        <f>$W$14/$W$17</f>
        <v>0.25541381936947555</v>
      </c>
    </row>
    <row r="19" spans="1:25" x14ac:dyDescent="0.25">
      <c r="W19" s="99"/>
    </row>
    <row r="20" spans="1:25" x14ac:dyDescent="0.25">
      <c r="A20" s="19" t="s">
        <v>52</v>
      </c>
      <c r="K20" s="19" t="s">
        <v>107</v>
      </c>
      <c r="M20" s="40"/>
      <c r="N20" s="40"/>
      <c r="O20" s="40"/>
      <c r="P20" s="40"/>
      <c r="S20" s="19" t="s">
        <v>88</v>
      </c>
      <c r="U20" s="40"/>
      <c r="V20" s="40"/>
      <c r="W20" s="40"/>
      <c r="X20" s="40"/>
    </row>
    <row r="21" spans="1:25" x14ac:dyDescent="0.25">
      <c r="A21" t="s">
        <v>53</v>
      </c>
      <c r="K21" s="44" t="s">
        <v>65</v>
      </c>
      <c r="L21" s="45"/>
      <c r="M21" s="46">
        <v>0.05</v>
      </c>
      <c r="N21" s="46"/>
      <c r="O21" s="46"/>
      <c r="P21" s="46"/>
      <c r="Q21" s="47"/>
      <c r="R21" s="45"/>
      <c r="S21" s="44" t="s">
        <v>65</v>
      </c>
      <c r="T21" s="45"/>
      <c r="U21" s="46">
        <v>0.05</v>
      </c>
      <c r="V21" s="46"/>
      <c r="W21" s="46"/>
      <c r="X21" s="46"/>
      <c r="Y21" s="47"/>
    </row>
    <row r="22" spans="1:25" ht="15.75" thickBot="1" x14ac:dyDescent="0.3">
      <c r="K22" s="48" t="s">
        <v>62</v>
      </c>
      <c r="L22" s="43"/>
      <c r="M22" s="49">
        <v>0.19</v>
      </c>
      <c r="N22" s="49"/>
      <c r="O22" s="49"/>
      <c r="P22" s="49"/>
      <c r="Q22" s="50"/>
      <c r="R22" s="43"/>
      <c r="S22" s="48" t="s">
        <v>62</v>
      </c>
      <c r="T22" s="43"/>
      <c r="U22" s="49">
        <v>0.19</v>
      </c>
      <c r="V22" s="49"/>
      <c r="W22" s="49"/>
      <c r="X22" s="49"/>
      <c r="Y22" s="50"/>
    </row>
    <row r="23" spans="1:25" x14ac:dyDescent="0.25">
      <c r="A23" s="90"/>
      <c r="B23" s="91" t="s">
        <v>102</v>
      </c>
      <c r="C23" s="91" t="s">
        <v>103</v>
      </c>
      <c r="D23" s="104" t="s">
        <v>111</v>
      </c>
      <c r="K23" s="48"/>
      <c r="L23" s="51" t="s">
        <v>59</v>
      </c>
      <c r="M23" s="49"/>
      <c r="N23" s="49" t="s">
        <v>60</v>
      </c>
      <c r="O23" s="105" t="s">
        <v>89</v>
      </c>
      <c r="P23" s="49" t="s">
        <v>61</v>
      </c>
      <c r="Q23" s="52" t="s">
        <v>58</v>
      </c>
      <c r="R23" s="51"/>
      <c r="S23" s="48"/>
      <c r="T23" s="51" t="s">
        <v>59</v>
      </c>
      <c r="U23" s="49"/>
      <c r="V23" s="49" t="s">
        <v>60</v>
      </c>
      <c r="W23" s="105" t="s">
        <v>89</v>
      </c>
      <c r="X23" s="49" t="s">
        <v>61</v>
      </c>
      <c r="Y23" s="52" t="s">
        <v>58</v>
      </c>
    </row>
    <row r="24" spans="1:25" x14ac:dyDescent="0.25">
      <c r="A24" s="92" t="s">
        <v>105</v>
      </c>
      <c r="B24" s="97">
        <v>0</v>
      </c>
      <c r="C24" s="100">
        <v>0</v>
      </c>
      <c r="D24" s="101">
        <v>0</v>
      </c>
      <c r="K24" s="48" t="s">
        <v>63</v>
      </c>
      <c r="L24" s="51"/>
      <c r="M24" s="95"/>
      <c r="N24" s="95">
        <f>27.559</f>
        <v>27.559000000000001</v>
      </c>
      <c r="O24" s="106">
        <f>(N24+P24)/2</f>
        <v>29.466149999999999</v>
      </c>
      <c r="P24" s="95">
        <f>Q25</f>
        <v>31.3733</v>
      </c>
      <c r="Q24" s="52"/>
      <c r="R24" s="51"/>
      <c r="S24" s="48" t="s">
        <v>63</v>
      </c>
      <c r="T24" s="51"/>
      <c r="U24" s="42"/>
      <c r="V24" s="110">
        <f>14.572</f>
        <v>14.571999999999999</v>
      </c>
      <c r="W24" s="112">
        <f>(V24+X24)/2</f>
        <v>22.972650000000002</v>
      </c>
      <c r="X24" s="111">
        <f>Y25</f>
        <v>31.3733</v>
      </c>
      <c r="Y24" s="52"/>
    </row>
    <row r="25" spans="1:25" ht="15.75" thickBot="1" x14ac:dyDescent="0.3">
      <c r="A25" s="93" t="s">
        <v>104</v>
      </c>
      <c r="B25" s="94">
        <f>SUM(E3:E10)</f>
        <v>11.074800000000002</v>
      </c>
      <c r="C25" s="102">
        <f>SUM(D3:D10)+B24</f>
        <v>19.183</v>
      </c>
      <c r="D25" s="103">
        <v>0</v>
      </c>
      <c r="K25" s="48" t="s">
        <v>66</v>
      </c>
      <c r="L25" s="51">
        <f>9.87</f>
        <v>9.8699999999999992</v>
      </c>
      <c r="M25" s="95"/>
      <c r="N25" s="95">
        <f>N24-($M$21+$M$22)*N24</f>
        <v>20.944839999999999</v>
      </c>
      <c r="O25" s="106">
        <f t="shared" ref="O25" si="3">O24-($M$21+$M$22)*O24</f>
        <v>22.394273999999999</v>
      </c>
      <c r="P25" s="95">
        <f>P24-($M$21+$M$22)*P24</f>
        <v>23.843707999999999</v>
      </c>
      <c r="Q25" s="53">
        <f>$B$15</f>
        <v>31.3733</v>
      </c>
      <c r="R25" s="95"/>
      <c r="S25" s="48" t="s">
        <v>66</v>
      </c>
      <c r="T25" s="58">
        <v>0</v>
      </c>
      <c r="U25" s="41"/>
      <c r="V25" s="110">
        <f t="shared" ref="V25:W25" si="4">V24-($U$21+$U$22)*V24</f>
        <v>11.074719999999999</v>
      </c>
      <c r="W25" s="112">
        <f t="shared" si="4"/>
        <v>17.459214000000003</v>
      </c>
      <c r="X25" s="111">
        <f>X24-($U$21+$U$22)*X24</f>
        <v>23.843707999999999</v>
      </c>
      <c r="Y25" s="53">
        <f>$B$15</f>
        <v>31.3733</v>
      </c>
    </row>
    <row r="26" spans="1:25" x14ac:dyDescent="0.25">
      <c r="K26" s="48" t="s">
        <v>94</v>
      </c>
      <c r="L26" s="43"/>
      <c r="M26" s="49"/>
      <c r="N26" s="11">
        <f>N25-$B$25</f>
        <v>9.8700399999999977</v>
      </c>
      <c r="O26" s="107">
        <f>O25-B25</f>
        <v>11.319473999999998</v>
      </c>
      <c r="P26" s="11">
        <f>P25-$B$25</f>
        <v>12.768907999999998</v>
      </c>
      <c r="Q26" s="50"/>
      <c r="R26" s="43"/>
      <c r="S26" s="48" t="s">
        <v>94</v>
      </c>
      <c r="T26" s="43"/>
      <c r="U26" s="49"/>
      <c r="V26" s="11">
        <f>V25-$B$25</f>
        <v>-8.0000000002300453E-5</v>
      </c>
      <c r="W26" s="107">
        <f>W25-B25</f>
        <v>6.3844140000000014</v>
      </c>
      <c r="X26" s="11">
        <f>X25-$B$25</f>
        <v>12.768907999999998</v>
      </c>
      <c r="Y26" s="50"/>
    </row>
    <row r="27" spans="1:25" x14ac:dyDescent="0.25">
      <c r="K27" s="48" t="s">
        <v>95</v>
      </c>
      <c r="L27" s="43"/>
      <c r="M27" s="49"/>
      <c r="N27" s="11">
        <f>N26-$B$24</f>
        <v>9.8700399999999977</v>
      </c>
      <c r="O27" s="108">
        <f>O26-$B$24</f>
        <v>11.319473999999998</v>
      </c>
      <c r="P27" s="11">
        <f>P26-$B$24</f>
        <v>12.768907999999998</v>
      </c>
      <c r="Q27" s="50"/>
      <c r="R27" s="43"/>
      <c r="S27" s="48" t="s">
        <v>95</v>
      </c>
      <c r="T27" s="43"/>
      <c r="U27" s="49"/>
      <c r="V27" s="11">
        <f>V26-$B$24</f>
        <v>-8.0000000002300453E-5</v>
      </c>
      <c r="W27" s="108">
        <f>W26-$B$24</f>
        <v>6.3844140000000014</v>
      </c>
      <c r="X27" s="11">
        <f>X26-$B$24</f>
        <v>12.768907999999998</v>
      </c>
      <c r="Y27" s="50"/>
    </row>
    <row r="28" spans="1:25" x14ac:dyDescent="0.25">
      <c r="K28" s="48" t="s">
        <v>64</v>
      </c>
      <c r="L28" s="43"/>
      <c r="M28" s="49"/>
      <c r="N28" s="11">
        <f>N27-$L$25</f>
        <v>3.9999999998485691E-5</v>
      </c>
      <c r="O28" s="108">
        <f>O27-$L$25</f>
        <v>1.4494739999999986</v>
      </c>
      <c r="P28" s="11">
        <f>P27-$L$25</f>
        <v>2.8989079999999987</v>
      </c>
      <c r="Q28" s="50"/>
      <c r="R28" s="43"/>
      <c r="S28" s="48" t="s">
        <v>64</v>
      </c>
      <c r="T28" s="43"/>
      <c r="U28" s="49"/>
      <c r="V28" s="11">
        <f>V27-$T$25</f>
        <v>-8.0000000002300453E-5</v>
      </c>
      <c r="W28" s="108">
        <f>W27-$T$25</f>
        <v>6.3844140000000014</v>
      </c>
      <c r="X28" s="11">
        <f>X27-$T$25</f>
        <v>12.768907999999998</v>
      </c>
      <c r="Y28" s="50"/>
    </row>
    <row r="29" spans="1:25" ht="15.75" thickBot="1" x14ac:dyDescent="0.3">
      <c r="K29" s="54" t="s">
        <v>90</v>
      </c>
      <c r="L29" s="55"/>
      <c r="M29" s="56"/>
      <c r="N29" s="56"/>
      <c r="O29" s="109">
        <f>O24-B25</f>
        <v>18.391349999999996</v>
      </c>
      <c r="P29" s="56"/>
      <c r="Q29" s="57"/>
      <c r="R29" s="55"/>
      <c r="S29" s="54"/>
      <c r="T29" s="55"/>
      <c r="U29" s="55"/>
      <c r="V29" s="55"/>
      <c r="W29" s="109">
        <f>W24-B25</f>
        <v>11.89785</v>
      </c>
      <c r="X29" s="55"/>
      <c r="Y29" s="57"/>
    </row>
    <row r="30" spans="1:25" x14ac:dyDescent="0.25">
      <c r="O30" s="79">
        <f>O26/O29</f>
        <v>0.6154781459762334</v>
      </c>
      <c r="W30" s="86">
        <f>W26/W29</f>
        <v>0.53660232731123703</v>
      </c>
    </row>
    <row r="32" spans="1:25" x14ac:dyDescent="0.25">
      <c r="W32" s="99"/>
    </row>
    <row r="33" spans="11:25" x14ac:dyDescent="0.25">
      <c r="K33" s="19" t="s">
        <v>112</v>
      </c>
      <c r="M33" s="40"/>
      <c r="N33" s="40"/>
      <c r="O33" s="40"/>
      <c r="P33" s="40"/>
      <c r="S33" s="19" t="s">
        <v>113</v>
      </c>
      <c r="U33" s="40"/>
      <c r="V33" s="40"/>
      <c r="W33" s="40"/>
      <c r="X33" s="40"/>
    </row>
    <row r="34" spans="11:25" x14ac:dyDescent="0.25">
      <c r="K34" s="44" t="s">
        <v>65</v>
      </c>
      <c r="L34" s="45"/>
      <c r="M34" s="46">
        <v>0.05</v>
      </c>
      <c r="N34" s="46"/>
      <c r="O34" s="46"/>
      <c r="P34" s="46"/>
      <c r="Q34" s="47"/>
      <c r="R34" s="45"/>
      <c r="S34" s="44" t="s">
        <v>65</v>
      </c>
      <c r="T34" s="45"/>
      <c r="U34" s="46">
        <v>0.05</v>
      </c>
      <c r="V34" s="46"/>
      <c r="W34" s="46"/>
      <c r="X34" s="46"/>
      <c r="Y34" s="47"/>
    </row>
    <row r="35" spans="11:25" ht="15.75" thickBot="1" x14ac:dyDescent="0.3">
      <c r="K35" s="48" t="s">
        <v>62</v>
      </c>
      <c r="L35" s="43"/>
      <c r="M35" s="49">
        <v>0.19</v>
      </c>
      <c r="N35" s="49" t="s">
        <v>116</v>
      </c>
      <c r="O35" s="49"/>
      <c r="P35" s="49"/>
      <c r="Q35" s="50"/>
      <c r="R35" s="43"/>
      <c r="S35" s="48" t="s">
        <v>62</v>
      </c>
      <c r="T35" s="43"/>
      <c r="U35" s="49">
        <v>0.19</v>
      </c>
      <c r="V35" s="49" t="s">
        <v>116</v>
      </c>
      <c r="W35" s="49"/>
      <c r="X35" s="49"/>
      <c r="Y35" s="50"/>
    </row>
    <row r="36" spans="11:25" x14ac:dyDescent="0.25">
      <c r="K36" s="48"/>
      <c r="L36" s="51" t="s">
        <v>59</v>
      </c>
      <c r="M36" s="49"/>
      <c r="N36" s="49" t="s">
        <v>60</v>
      </c>
      <c r="O36" s="105" t="s">
        <v>89</v>
      </c>
      <c r="P36" s="49" t="s">
        <v>61</v>
      </c>
      <c r="Q36" s="52" t="s">
        <v>58</v>
      </c>
      <c r="R36" s="51"/>
      <c r="S36" s="48"/>
      <c r="T36" s="51" t="s">
        <v>59</v>
      </c>
      <c r="U36" s="49"/>
      <c r="V36" s="49" t="s">
        <v>60</v>
      </c>
      <c r="W36" s="105" t="s">
        <v>89</v>
      </c>
      <c r="X36" s="49" t="s">
        <v>61</v>
      </c>
      <c r="Y36" s="52" t="s">
        <v>58</v>
      </c>
    </row>
    <row r="37" spans="11:25" x14ac:dyDescent="0.25">
      <c r="K37" s="48" t="s">
        <v>63</v>
      </c>
      <c r="L37" s="51"/>
      <c r="M37" s="67"/>
      <c r="N37" s="95">
        <v>17.399999999999999</v>
      </c>
      <c r="O37" s="106">
        <f>(N37+P37)/2</f>
        <v>24.386649999999999</v>
      </c>
      <c r="P37" s="95">
        <f>Q38</f>
        <v>31.3733</v>
      </c>
      <c r="Q37" s="52"/>
      <c r="R37" s="51"/>
      <c r="S37" s="48" t="s">
        <v>63</v>
      </c>
      <c r="T37" s="51"/>
      <c r="U37" s="42"/>
      <c r="V37" s="110">
        <v>7.53</v>
      </c>
      <c r="W37" s="112">
        <f>(V37+X37)/2</f>
        <v>19.451650000000001</v>
      </c>
      <c r="X37" s="111">
        <f>Y38</f>
        <v>31.3733</v>
      </c>
      <c r="Y37" s="52"/>
    </row>
    <row r="38" spans="11:25" x14ac:dyDescent="0.25">
      <c r="K38" s="48" t="s">
        <v>66</v>
      </c>
      <c r="L38" s="51">
        <f>9.87</f>
        <v>9.8699999999999992</v>
      </c>
      <c r="M38" s="68"/>
      <c r="N38" s="95">
        <f>N37-($M$34+$M$35)*Q38</f>
        <v>9.8704079999999976</v>
      </c>
      <c r="O38" s="106">
        <f t="shared" ref="O38" si="5">O37-($M$34+$M$35)*O37</f>
        <v>18.533853999999998</v>
      </c>
      <c r="P38" s="95">
        <f>P37-($M$34+$M$35)*P37</f>
        <v>23.843707999999999</v>
      </c>
      <c r="Q38" s="53">
        <f>$B$15</f>
        <v>31.3733</v>
      </c>
      <c r="R38" s="95"/>
      <c r="S38" s="48" t="s">
        <v>66</v>
      </c>
      <c r="T38" s="58">
        <v>0</v>
      </c>
      <c r="U38" s="41"/>
      <c r="V38" s="110">
        <f>V37-($U$34+$U$35)*Y38</f>
        <v>4.0800000000018599E-4</v>
      </c>
      <c r="W38" s="112">
        <f t="shared" ref="W38" si="6">W37-($U$34+$U$35)*W37</f>
        <v>14.783253999999999</v>
      </c>
      <c r="X38" s="111">
        <f>X37-($U$34+$U$35)*X37</f>
        <v>23.843707999999999</v>
      </c>
      <c r="Y38" s="53">
        <f>$B$15</f>
        <v>31.3733</v>
      </c>
    </row>
    <row r="39" spans="11:25" x14ac:dyDescent="0.25">
      <c r="K39" s="48" t="s">
        <v>94</v>
      </c>
      <c r="L39" s="43"/>
      <c r="M39" s="11"/>
      <c r="N39" s="11">
        <f t="shared" ref="N39:O39" si="7">N38-$D$25</f>
        <v>9.8704079999999976</v>
      </c>
      <c r="O39" s="108">
        <f t="shared" si="7"/>
        <v>18.533853999999998</v>
      </c>
      <c r="P39" s="11">
        <f>P38-$D$25</f>
        <v>23.843707999999999</v>
      </c>
      <c r="Q39" s="50"/>
      <c r="R39" s="43"/>
      <c r="S39" s="48" t="s">
        <v>94</v>
      </c>
      <c r="T39" s="43"/>
      <c r="U39" s="49"/>
      <c r="V39" s="49">
        <f t="shared" ref="V39:X39" si="8">V38-$D$25</f>
        <v>4.0800000000018599E-4</v>
      </c>
      <c r="W39" s="108">
        <f t="shared" si="8"/>
        <v>14.783253999999999</v>
      </c>
      <c r="X39" s="11">
        <f t="shared" si="8"/>
        <v>23.843707999999999</v>
      </c>
      <c r="Y39" s="50"/>
    </row>
    <row r="40" spans="11:25" x14ac:dyDescent="0.25">
      <c r="K40" s="48" t="s">
        <v>95</v>
      </c>
      <c r="L40" s="43"/>
      <c r="M40" s="11"/>
      <c r="N40" s="11">
        <f t="shared" ref="N40:O40" si="9">N39-$D$24</f>
        <v>9.8704079999999976</v>
      </c>
      <c r="O40" s="108">
        <f t="shared" si="9"/>
        <v>18.533853999999998</v>
      </c>
      <c r="P40" s="11">
        <f>P39-$D$24</f>
        <v>23.843707999999999</v>
      </c>
      <c r="Q40" s="50"/>
      <c r="R40" s="43"/>
      <c r="S40" s="48" t="s">
        <v>95</v>
      </c>
      <c r="T40" s="43"/>
      <c r="U40" s="49"/>
      <c r="V40" s="49">
        <f t="shared" ref="V40:X40" si="10">V39-$D$24</f>
        <v>4.0800000000018599E-4</v>
      </c>
      <c r="W40" s="108">
        <f t="shared" si="10"/>
        <v>14.783253999999999</v>
      </c>
      <c r="X40" s="11">
        <f t="shared" si="10"/>
        <v>23.843707999999999</v>
      </c>
      <c r="Y40" s="50"/>
    </row>
    <row r="41" spans="11:25" x14ac:dyDescent="0.25">
      <c r="K41" s="48" t="s">
        <v>64</v>
      </c>
      <c r="L41" s="43"/>
      <c r="M41" s="11"/>
      <c r="N41" s="11">
        <f t="shared" ref="N41:O41" si="11">N40-$L$38</f>
        <v>4.0799999999840963E-4</v>
      </c>
      <c r="O41" s="108">
        <f t="shared" si="11"/>
        <v>8.6638539999999988</v>
      </c>
      <c r="P41" s="11">
        <f>P40-$L$38</f>
        <v>13.973708</v>
      </c>
      <c r="Q41" s="50"/>
      <c r="R41" s="43"/>
      <c r="S41" s="48" t="s">
        <v>64</v>
      </c>
      <c r="T41" s="43"/>
      <c r="U41" s="49"/>
      <c r="V41" s="49">
        <f t="shared" ref="V41:X41" si="12">V40-$T$38</f>
        <v>4.0800000000018599E-4</v>
      </c>
      <c r="W41" s="108">
        <f t="shared" si="12"/>
        <v>14.783253999999999</v>
      </c>
      <c r="X41" s="11">
        <f t="shared" si="12"/>
        <v>23.843707999999999</v>
      </c>
      <c r="Y41" s="50"/>
    </row>
    <row r="42" spans="11:25" ht="15.75" thickBot="1" x14ac:dyDescent="0.3">
      <c r="K42" s="54" t="s">
        <v>90</v>
      </c>
      <c r="L42" s="55"/>
      <c r="M42" s="56"/>
      <c r="N42" s="56"/>
      <c r="O42" s="109">
        <f>O37-D25</f>
        <v>24.386649999999999</v>
      </c>
      <c r="P42" s="56"/>
      <c r="Q42" s="57"/>
      <c r="R42" s="55"/>
      <c r="S42" s="54"/>
      <c r="T42" s="55"/>
      <c r="U42" s="55"/>
      <c r="V42" s="55"/>
      <c r="W42" s="109">
        <f>W37-D25</f>
        <v>19.451650000000001</v>
      </c>
      <c r="X42" s="55"/>
      <c r="Y42" s="57"/>
    </row>
    <row r="43" spans="11:25" x14ac:dyDescent="0.25">
      <c r="O43" s="79">
        <f>O39/O42</f>
        <v>0.7599999999999999</v>
      </c>
      <c r="W43" s="86">
        <f>W39/W42</f>
        <v>0.7599999999999999</v>
      </c>
    </row>
  </sheetData>
  <conditionalFormatting sqref="M29:N29 P29 M28:P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P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X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4:X24 V25:X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P16 M17:O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P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X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X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X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P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 M29:N29 M17:O17 P29 M16:P16 U16:X16 M12:P14 U12:X14 M24:P28 U24:X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5:X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N42 P42 M41:P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P37 N38:P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X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X37 V38:X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X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N42 P42 U41:X41 M37:P41 U37:X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6" r:id="rId1" display="concession fee" xr:uid="{64EECA80-46F5-40E0-8DD6-219781DDD7C2}"/>
    <hyperlink ref="A5" r:id="rId2" xr:uid="{78B22855-A6F8-458F-8F09-4C33FFC28F22}"/>
    <hyperlink ref="A7" r:id="rId3" display="CHP-levy" xr:uid="{009A41F8-F8F4-4DB6-9EF9-4D58E5CED01C}"/>
    <hyperlink ref="A10" r:id="rId4" display="§ 19 StromNEV allocation" xr:uid="{85E61DA2-DF6E-4AAD-B9A2-3651B78A5683}"/>
    <hyperlink ref="A4" r:id="rId5" xr:uid="{859EAF6E-E20F-4A7A-AE32-41007D282D8C}"/>
    <hyperlink ref="A18" r:id="rId6" xr:uid="{E12B8BA0-DA7F-44BE-8EBD-32FE90055E03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8774-07FF-45C0-A96C-B10A66786E5C}">
  <dimension ref="A1:R91"/>
  <sheetViews>
    <sheetView tabSelected="1" topLeftCell="A55" workbookViewId="0">
      <selection activeCell="D89" sqref="D89"/>
    </sheetView>
  </sheetViews>
  <sheetFormatPr defaultRowHeight="15" x14ac:dyDescent="0.25"/>
  <cols>
    <col min="1" max="2" width="20.140625" customWidth="1"/>
  </cols>
  <sheetData>
    <row r="1" spans="1:16" x14ac:dyDescent="0.25">
      <c r="A1" s="19" t="s">
        <v>92</v>
      </c>
      <c r="B1" s="19"/>
    </row>
    <row r="2" spans="1:16" x14ac:dyDescent="0.25">
      <c r="C2" t="s">
        <v>79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80</v>
      </c>
    </row>
    <row r="3" spans="1:16" x14ac:dyDescent="0.25">
      <c r="A3" t="s">
        <v>86</v>
      </c>
      <c r="B3" s="72">
        <v>9.8699999999999992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83</v>
      </c>
      <c r="B4">
        <v>12.19</v>
      </c>
      <c r="C4">
        <v>0</v>
      </c>
      <c r="D4">
        <v>0</v>
      </c>
      <c r="E4">
        <v>-1</v>
      </c>
      <c r="F4">
        <v>0</v>
      </c>
      <c r="G4">
        <v>0</v>
      </c>
      <c r="H4">
        <v>0</v>
      </c>
      <c r="I4">
        <v>-1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82</v>
      </c>
      <c r="B5" s="73">
        <v>24.39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78">
        <f>sharing!P15/flows!B5</f>
        <v>0.19109093890938908</v>
      </c>
      <c r="N5" s="78">
        <f>M5</f>
        <v>0.19109093890938908</v>
      </c>
      <c r="O5" s="78">
        <f>-sharing!P17/flows!B5</f>
        <v>-0.49980729807298074</v>
      </c>
      <c r="P5" s="78">
        <f>O5</f>
        <v>-0.49980729807298074</v>
      </c>
    </row>
    <row r="6" spans="1:16" x14ac:dyDescent="0.25">
      <c r="A6" s="4" t="s">
        <v>81</v>
      </c>
      <c r="B6" s="7">
        <v>7.71</v>
      </c>
      <c r="C6" s="62">
        <v>0</v>
      </c>
      <c r="D6" s="60">
        <v>0</v>
      </c>
      <c r="E6" s="62">
        <v>-1</v>
      </c>
      <c r="F6" s="62">
        <v>0</v>
      </c>
      <c r="G6" s="62">
        <v>0</v>
      </c>
      <c r="H6" s="62">
        <v>0</v>
      </c>
      <c r="I6" s="62">
        <v>-1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-1</v>
      </c>
      <c r="P6" s="62">
        <v>-1</v>
      </c>
    </row>
    <row r="7" spans="1:16" x14ac:dyDescent="0.25">
      <c r="A7" s="6" t="s">
        <v>7</v>
      </c>
      <c r="B7" s="7">
        <v>2.0499999999999998</v>
      </c>
      <c r="C7" s="62">
        <v>0</v>
      </c>
      <c r="D7" s="60">
        <v>0</v>
      </c>
      <c r="E7" s="62">
        <v>-1</v>
      </c>
      <c r="F7" s="62">
        <v>0</v>
      </c>
      <c r="G7" s="62">
        <v>0</v>
      </c>
      <c r="H7" s="62">
        <v>0</v>
      </c>
      <c r="I7" s="62">
        <v>-1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-1</v>
      </c>
      <c r="P7" s="62">
        <v>-1</v>
      </c>
    </row>
    <row r="8" spans="1:16" x14ac:dyDescent="0.25">
      <c r="A8" s="29" t="s">
        <v>0</v>
      </c>
      <c r="B8" s="65">
        <v>6.7560000000000002</v>
      </c>
      <c r="C8" s="62">
        <v>0</v>
      </c>
      <c r="D8" s="60">
        <v>0</v>
      </c>
      <c r="E8" s="62">
        <v>-1</v>
      </c>
      <c r="F8" s="62">
        <v>0</v>
      </c>
      <c r="G8" s="62">
        <v>0</v>
      </c>
      <c r="H8" s="62">
        <v>0</v>
      </c>
      <c r="I8" s="62">
        <v>-1</v>
      </c>
      <c r="J8" s="61">
        <v>0</v>
      </c>
      <c r="K8" s="62">
        <v>0</v>
      </c>
      <c r="L8" s="62">
        <v>0</v>
      </c>
      <c r="M8" s="62">
        <v>0</v>
      </c>
      <c r="N8" s="62">
        <v>0</v>
      </c>
      <c r="O8" s="62">
        <v>-1</v>
      </c>
      <c r="P8" s="62">
        <v>-1</v>
      </c>
    </row>
    <row r="9" spans="1:16" x14ac:dyDescent="0.25">
      <c r="A9" s="69" t="s">
        <v>91</v>
      </c>
      <c r="B9" s="70">
        <v>2.6669999999999998</v>
      </c>
      <c r="C9" s="74">
        <v>0</v>
      </c>
      <c r="D9" s="75">
        <v>0</v>
      </c>
      <c r="E9" s="74">
        <v>-1</v>
      </c>
      <c r="F9" s="74">
        <v>0</v>
      </c>
      <c r="G9" s="74">
        <v>0</v>
      </c>
      <c r="H9" s="74">
        <v>0</v>
      </c>
      <c r="I9" s="74">
        <v>-1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-1</v>
      </c>
      <c r="P9" s="74">
        <v>-1</v>
      </c>
    </row>
    <row r="10" spans="1:16" x14ac:dyDescent="0.25">
      <c r="A10" s="30" t="s">
        <v>5</v>
      </c>
      <c r="B10" s="31">
        <v>1.66</v>
      </c>
      <c r="C10" s="76">
        <f>SUMPRODUCT($B$3:$B$9,C3:C9)</f>
        <v>0</v>
      </c>
      <c r="D10" s="76">
        <f t="shared" ref="D10:P10" si="0">SUMPRODUCT($B$3:$B$9,D3:D9)</f>
        <v>0</v>
      </c>
      <c r="E10" s="76">
        <f t="shared" si="0"/>
        <v>-31.372999999999998</v>
      </c>
      <c r="F10" s="76">
        <f t="shared" si="0"/>
        <v>0</v>
      </c>
      <c r="G10" s="76">
        <f t="shared" si="0"/>
        <v>9.8699999999999992</v>
      </c>
      <c r="H10" s="76">
        <f t="shared" si="0"/>
        <v>0</v>
      </c>
      <c r="I10" s="76">
        <f t="shared" si="0"/>
        <v>-31.372999999999998</v>
      </c>
      <c r="J10" s="76">
        <f t="shared" si="0"/>
        <v>0</v>
      </c>
      <c r="K10" s="76">
        <f t="shared" si="0"/>
        <v>0</v>
      </c>
      <c r="L10" s="76">
        <f t="shared" si="0"/>
        <v>0</v>
      </c>
      <c r="M10" s="76">
        <f t="shared" si="0"/>
        <v>4.6607079999999996</v>
      </c>
      <c r="N10" s="76">
        <f t="shared" si="0"/>
        <v>4.6607079999999996</v>
      </c>
      <c r="O10" s="76">
        <f t="shared" si="0"/>
        <v>-31.3733</v>
      </c>
      <c r="P10" s="76">
        <f t="shared" si="0"/>
        <v>-31.3733</v>
      </c>
    </row>
    <row r="11" spans="1:16" x14ac:dyDescent="0.25">
      <c r="A11" s="34" t="s">
        <v>2</v>
      </c>
      <c r="B11" s="28">
        <v>0.22600000000000001</v>
      </c>
      <c r="C11" s="63"/>
      <c r="D11" s="64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</row>
    <row r="12" spans="1:16" x14ac:dyDescent="0.25">
      <c r="A12" s="34" t="s">
        <v>6</v>
      </c>
      <c r="B12" s="28">
        <v>0.41599999999999998</v>
      </c>
      <c r="C12" s="63"/>
      <c r="D12" s="71" t="s">
        <v>96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</row>
    <row r="13" spans="1:16" x14ac:dyDescent="0.25">
      <c r="A13" s="34" t="s">
        <v>4</v>
      </c>
      <c r="B13" s="28">
        <v>7.0000000000000001E-3</v>
      </c>
      <c r="C13" s="63"/>
      <c r="D13" s="64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</row>
    <row r="14" spans="1:16" x14ac:dyDescent="0.25">
      <c r="A14" s="36" t="s">
        <v>3</v>
      </c>
      <c r="B14" s="37">
        <v>0.35799999999999998</v>
      </c>
    </row>
    <row r="16" spans="1:16" x14ac:dyDescent="0.25">
      <c r="A16" s="19" t="s">
        <v>110</v>
      </c>
      <c r="B16" s="19"/>
    </row>
    <row r="17" spans="1:16" x14ac:dyDescent="0.25">
      <c r="C17" t="s">
        <v>79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 t="s">
        <v>73</v>
      </c>
      <c r="K17" t="s">
        <v>74</v>
      </c>
      <c r="L17" t="s">
        <v>75</v>
      </c>
      <c r="M17" t="s">
        <v>76</v>
      </c>
      <c r="N17" t="s">
        <v>77</v>
      </c>
      <c r="O17" t="s">
        <v>78</v>
      </c>
      <c r="P17" t="s">
        <v>80</v>
      </c>
    </row>
    <row r="18" spans="1:16" x14ac:dyDescent="0.25">
      <c r="A18" t="s">
        <v>86</v>
      </c>
      <c r="B18" s="72">
        <v>9.8699999999999992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t="s">
        <v>83</v>
      </c>
      <c r="B19">
        <v>12.19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82</v>
      </c>
      <c r="B20" s="73">
        <v>24.39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8">
        <f>sharing!W15/flows!B20</f>
        <v>9.554874948749488E-2</v>
      </c>
      <c r="N20" s="78">
        <f>M20</f>
        <v>9.554874948749488E-2</v>
      </c>
      <c r="O20" s="78">
        <f>-sharing!W17/flows!B20</f>
        <v>-0.37409389093890938</v>
      </c>
      <c r="P20" s="78">
        <f>O20</f>
        <v>-0.37409389093890938</v>
      </c>
    </row>
    <row r="21" spans="1:16" x14ac:dyDescent="0.25">
      <c r="A21" s="4" t="s">
        <v>81</v>
      </c>
      <c r="B21" s="7">
        <v>7.71</v>
      </c>
      <c r="C21" s="62">
        <v>0</v>
      </c>
      <c r="D21" s="60">
        <v>0</v>
      </c>
      <c r="E21" s="62">
        <v>-1</v>
      </c>
      <c r="F21" s="62">
        <v>0</v>
      </c>
      <c r="G21" s="62">
        <v>0</v>
      </c>
      <c r="H21" s="62">
        <v>0</v>
      </c>
      <c r="I21" s="62">
        <v>-1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-1</v>
      </c>
      <c r="P21" s="62">
        <v>-1</v>
      </c>
    </row>
    <row r="22" spans="1:16" x14ac:dyDescent="0.25">
      <c r="A22" s="6" t="s">
        <v>7</v>
      </c>
      <c r="B22" s="7">
        <v>2.0499999999999998</v>
      </c>
      <c r="C22" s="62">
        <v>0</v>
      </c>
      <c r="D22" s="60">
        <v>0</v>
      </c>
      <c r="E22" s="62">
        <v>-1</v>
      </c>
      <c r="F22" s="62">
        <v>0</v>
      </c>
      <c r="G22" s="62">
        <v>0</v>
      </c>
      <c r="H22" s="62">
        <v>0</v>
      </c>
      <c r="I22" s="62">
        <v>-1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-1</v>
      </c>
      <c r="P22" s="62">
        <v>-1</v>
      </c>
    </row>
    <row r="23" spans="1:16" x14ac:dyDescent="0.25">
      <c r="A23" s="29" t="s">
        <v>0</v>
      </c>
      <c r="B23" s="65">
        <v>6.7560000000000002</v>
      </c>
      <c r="C23" s="62">
        <v>0</v>
      </c>
      <c r="D23" s="60">
        <v>0</v>
      </c>
      <c r="E23" s="62">
        <v>-1</v>
      </c>
      <c r="F23" s="62">
        <v>0</v>
      </c>
      <c r="G23" s="62">
        <v>0</v>
      </c>
      <c r="H23" s="62">
        <v>0</v>
      </c>
      <c r="I23" s="62">
        <v>-1</v>
      </c>
      <c r="J23" s="61">
        <v>0</v>
      </c>
      <c r="K23" s="62">
        <v>0</v>
      </c>
      <c r="L23" s="62">
        <v>0</v>
      </c>
      <c r="M23" s="62">
        <v>0</v>
      </c>
      <c r="N23" s="62">
        <v>0</v>
      </c>
      <c r="O23" s="62">
        <v>-1</v>
      </c>
      <c r="P23" s="62">
        <v>-1</v>
      </c>
    </row>
    <row r="24" spans="1:16" x14ac:dyDescent="0.25">
      <c r="A24" s="69" t="s">
        <v>91</v>
      </c>
      <c r="B24" s="70">
        <v>2.6669999999999998</v>
      </c>
      <c r="C24" s="74">
        <v>0</v>
      </c>
      <c r="D24" s="75">
        <v>0</v>
      </c>
      <c r="E24" s="74">
        <v>-1</v>
      </c>
      <c r="F24" s="74">
        <v>0</v>
      </c>
      <c r="G24" s="74">
        <v>0</v>
      </c>
      <c r="H24" s="74">
        <v>0</v>
      </c>
      <c r="I24" s="74">
        <v>-1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-1</v>
      </c>
      <c r="P24" s="74">
        <v>-1</v>
      </c>
    </row>
    <row r="25" spans="1:16" x14ac:dyDescent="0.25">
      <c r="A25" s="30" t="s">
        <v>5</v>
      </c>
      <c r="B25" s="31">
        <v>1.66</v>
      </c>
      <c r="C25" s="76">
        <f t="shared" ref="C25:P25" si="1">SUMPRODUCT($B$18:$B$24,C18:C24)</f>
        <v>0</v>
      </c>
      <c r="D25" s="76">
        <f t="shared" si="1"/>
        <v>0</v>
      </c>
      <c r="E25" s="76">
        <f t="shared" si="1"/>
        <v>-31.372999999999998</v>
      </c>
      <c r="F25" s="76">
        <f t="shared" si="1"/>
        <v>0</v>
      </c>
      <c r="G25" s="76">
        <f t="shared" si="1"/>
        <v>0</v>
      </c>
      <c r="H25" s="76">
        <f t="shared" si="1"/>
        <v>0</v>
      </c>
      <c r="I25" s="76">
        <f t="shared" si="1"/>
        <v>-31.372999999999998</v>
      </c>
      <c r="J25" s="76">
        <f t="shared" si="1"/>
        <v>0</v>
      </c>
      <c r="K25" s="76">
        <f t="shared" si="1"/>
        <v>0</v>
      </c>
      <c r="L25" s="76">
        <f t="shared" si="1"/>
        <v>0</v>
      </c>
      <c r="M25" s="76">
        <f t="shared" si="1"/>
        <v>2.3304340000000003</v>
      </c>
      <c r="N25" s="76">
        <f t="shared" si="1"/>
        <v>2.3304340000000003</v>
      </c>
      <c r="O25" s="76">
        <f t="shared" si="1"/>
        <v>-28.30715</v>
      </c>
      <c r="P25" s="76">
        <f t="shared" si="1"/>
        <v>-28.30715</v>
      </c>
    </row>
    <row r="26" spans="1:16" x14ac:dyDescent="0.25">
      <c r="A26" s="34" t="s">
        <v>2</v>
      </c>
      <c r="B26" s="28">
        <v>0.22600000000000001</v>
      </c>
      <c r="C26" s="63"/>
      <c r="D26" s="64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</row>
    <row r="27" spans="1:16" x14ac:dyDescent="0.25">
      <c r="A27" s="34" t="s">
        <v>6</v>
      </c>
      <c r="B27" s="28">
        <v>0.41599999999999998</v>
      </c>
      <c r="C27" s="63"/>
      <c r="D27" s="71" t="s">
        <v>97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 x14ac:dyDescent="0.25">
      <c r="A28" s="34" t="s">
        <v>4</v>
      </c>
      <c r="B28" s="28">
        <v>7.0000000000000001E-3</v>
      </c>
      <c r="C28" s="63"/>
      <c r="D28" s="64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</row>
    <row r="29" spans="1:16" x14ac:dyDescent="0.25">
      <c r="A29" s="36" t="s">
        <v>3</v>
      </c>
      <c r="B29" s="37">
        <v>0.35799999999999998</v>
      </c>
    </row>
    <row r="30" spans="1:16" x14ac:dyDescent="0.25">
      <c r="A30" s="98"/>
      <c r="B30" s="28"/>
    </row>
    <row r="31" spans="1:16" x14ac:dyDescent="0.25">
      <c r="A31" s="19" t="s">
        <v>109</v>
      </c>
      <c r="B31" s="19"/>
    </row>
    <row r="32" spans="1:16" x14ac:dyDescent="0.25">
      <c r="C32" t="s">
        <v>79</v>
      </c>
      <c r="D32" t="s">
        <v>67</v>
      </c>
      <c r="E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73</v>
      </c>
      <c r="K32" t="s">
        <v>74</v>
      </c>
      <c r="L32" t="s">
        <v>75</v>
      </c>
      <c r="M32" t="s">
        <v>76</v>
      </c>
      <c r="N32" t="s">
        <v>77</v>
      </c>
      <c r="O32" t="s">
        <v>78</v>
      </c>
      <c r="P32" t="s">
        <v>80</v>
      </c>
    </row>
    <row r="33" spans="1:16" x14ac:dyDescent="0.25">
      <c r="A33" t="s">
        <v>86</v>
      </c>
      <c r="B33" s="72">
        <v>9.8699999999999992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83</v>
      </c>
      <c r="B34">
        <v>12.19</v>
      </c>
      <c r="C34">
        <v>0</v>
      </c>
      <c r="D34">
        <v>0</v>
      </c>
      <c r="E34">
        <v>-1</v>
      </c>
      <c r="F34">
        <v>0</v>
      </c>
      <c r="G34">
        <v>0</v>
      </c>
      <c r="H34">
        <v>0</v>
      </c>
      <c r="I34">
        <v>-1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85</v>
      </c>
      <c r="B35" s="73">
        <v>24.39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78">
        <f>sharing!O27/flows!B35</f>
        <v>0.46410307503075021</v>
      </c>
      <c r="N35" s="78">
        <f>M35</f>
        <v>0.46410307503075021</v>
      </c>
      <c r="O35" s="78">
        <f>-sharing!O29/flows!B35</f>
        <v>-0.75405289052890512</v>
      </c>
      <c r="P35" s="78">
        <f>O35</f>
        <v>-0.75405289052890512</v>
      </c>
    </row>
    <row r="36" spans="1:16" x14ac:dyDescent="0.25">
      <c r="A36" s="4" t="s">
        <v>81</v>
      </c>
      <c r="B36" s="7">
        <v>7.71</v>
      </c>
      <c r="C36" s="62">
        <v>0</v>
      </c>
      <c r="D36" s="60">
        <v>0</v>
      </c>
      <c r="E36" s="62">
        <v>-1</v>
      </c>
      <c r="F36" s="62">
        <v>0</v>
      </c>
      <c r="G36" s="62">
        <v>0</v>
      </c>
      <c r="H36" s="62">
        <v>0</v>
      </c>
      <c r="I36" s="62">
        <v>-1</v>
      </c>
      <c r="J36" s="62">
        <v>0</v>
      </c>
      <c r="K36" s="62">
        <v>0</v>
      </c>
      <c r="L36" s="62">
        <v>0</v>
      </c>
      <c r="M36" s="61">
        <v>0</v>
      </c>
      <c r="N36" s="61">
        <v>0</v>
      </c>
      <c r="O36" s="59">
        <v>-0.74</v>
      </c>
      <c r="P36" s="59">
        <v>-0.74</v>
      </c>
    </row>
    <row r="37" spans="1:16" x14ac:dyDescent="0.25">
      <c r="A37" s="6" t="s">
        <v>7</v>
      </c>
      <c r="B37" s="7">
        <v>2.0499999999999998</v>
      </c>
      <c r="C37" s="62">
        <v>0</v>
      </c>
      <c r="D37" s="60">
        <v>0</v>
      </c>
      <c r="E37" s="62">
        <v>-1</v>
      </c>
      <c r="F37" s="62">
        <v>0</v>
      </c>
      <c r="G37" s="62">
        <v>0</v>
      </c>
      <c r="H37" s="62">
        <v>0</v>
      </c>
      <c r="I37" s="62">
        <v>-1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</row>
    <row r="38" spans="1:16" x14ac:dyDescent="0.25">
      <c r="A38" s="29" t="s">
        <v>0</v>
      </c>
      <c r="B38" s="65">
        <v>6.7560000000000002</v>
      </c>
      <c r="C38" s="62">
        <v>0</v>
      </c>
      <c r="D38" s="60">
        <v>0</v>
      </c>
      <c r="E38" s="62">
        <v>-1</v>
      </c>
      <c r="F38" s="62">
        <v>0</v>
      </c>
      <c r="G38" s="62">
        <v>0</v>
      </c>
      <c r="H38" s="62">
        <v>0</v>
      </c>
      <c r="I38" s="62">
        <v>-1</v>
      </c>
      <c r="J38" s="61">
        <v>0</v>
      </c>
      <c r="K38" s="62">
        <v>0</v>
      </c>
      <c r="L38" s="62">
        <v>0</v>
      </c>
      <c r="M38" s="61">
        <v>0</v>
      </c>
      <c r="N38" s="61">
        <v>0</v>
      </c>
      <c r="O38" s="61">
        <v>-0.4</v>
      </c>
      <c r="P38" s="61">
        <v>-0.4</v>
      </c>
    </row>
    <row r="39" spans="1:16" x14ac:dyDescent="0.25">
      <c r="A39" s="69" t="s">
        <v>91</v>
      </c>
      <c r="B39" s="70">
        <v>2.6669999999999998</v>
      </c>
      <c r="C39" s="74">
        <v>0</v>
      </c>
      <c r="D39" s="75">
        <v>0</v>
      </c>
      <c r="E39" s="74">
        <v>-1</v>
      </c>
      <c r="F39" s="74">
        <v>0</v>
      </c>
      <c r="G39" s="74">
        <v>0</v>
      </c>
      <c r="H39" s="74">
        <v>0</v>
      </c>
      <c r="I39" s="74">
        <v>-1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-1</v>
      </c>
      <c r="P39" s="74">
        <v>-1</v>
      </c>
    </row>
    <row r="40" spans="1:16" x14ac:dyDescent="0.25">
      <c r="A40" s="30" t="s">
        <v>5</v>
      </c>
      <c r="B40" s="31">
        <v>1.66</v>
      </c>
      <c r="C40" s="76">
        <f>SUMPRODUCT($B$33:$B$39,C33:C39)</f>
        <v>0</v>
      </c>
      <c r="D40" s="76">
        <f t="shared" ref="D40:P40" si="2">SUMPRODUCT($B$33:$B$39,D33:D39)</f>
        <v>0</v>
      </c>
      <c r="E40" s="76">
        <f t="shared" si="2"/>
        <v>-31.372999999999998</v>
      </c>
      <c r="F40" s="76">
        <f t="shared" si="2"/>
        <v>0</v>
      </c>
      <c r="G40" s="76">
        <f t="shared" si="2"/>
        <v>9.8699999999999992</v>
      </c>
      <c r="H40" s="76">
        <f t="shared" si="2"/>
        <v>0</v>
      </c>
      <c r="I40" s="76">
        <f t="shared" si="2"/>
        <v>-31.372999999999998</v>
      </c>
      <c r="J40" s="76">
        <f t="shared" si="2"/>
        <v>0</v>
      </c>
      <c r="K40" s="76">
        <f t="shared" si="2"/>
        <v>0</v>
      </c>
      <c r="L40" s="76">
        <f t="shared" si="2"/>
        <v>0</v>
      </c>
      <c r="M40" s="76">
        <f t="shared" si="2"/>
        <v>11.319473999999998</v>
      </c>
      <c r="N40" s="76">
        <f t="shared" si="2"/>
        <v>11.319473999999998</v>
      </c>
      <c r="O40" s="76">
        <f t="shared" si="2"/>
        <v>-29.466149999999999</v>
      </c>
      <c r="P40" s="76">
        <f t="shared" si="2"/>
        <v>-29.466149999999999</v>
      </c>
    </row>
    <row r="41" spans="1:16" x14ac:dyDescent="0.25">
      <c r="A41" s="34" t="s">
        <v>2</v>
      </c>
      <c r="B41" s="28">
        <v>0.22600000000000001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</row>
    <row r="42" spans="1:16" x14ac:dyDescent="0.25">
      <c r="A42" s="34" t="s">
        <v>6</v>
      </c>
      <c r="B42" s="28">
        <v>0.41599999999999998</v>
      </c>
      <c r="C42" s="63"/>
      <c r="D42" s="71" t="s">
        <v>98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</row>
    <row r="43" spans="1:16" x14ac:dyDescent="0.25">
      <c r="A43" s="34" t="s">
        <v>4</v>
      </c>
      <c r="B43" s="28">
        <v>7.0000000000000001E-3</v>
      </c>
      <c r="C43" s="63"/>
      <c r="D43" s="64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</row>
    <row r="44" spans="1:16" x14ac:dyDescent="0.25">
      <c r="A44" s="36" t="s">
        <v>3</v>
      </c>
      <c r="B44" s="37">
        <v>0.35799999999999998</v>
      </c>
    </row>
    <row r="47" spans="1:16" x14ac:dyDescent="0.25">
      <c r="A47" s="19" t="s">
        <v>93</v>
      </c>
      <c r="B47" s="19"/>
    </row>
    <row r="48" spans="1:16" x14ac:dyDescent="0.25">
      <c r="C48" t="s">
        <v>79</v>
      </c>
      <c r="D48" t="s">
        <v>67</v>
      </c>
      <c r="E48" t="s">
        <v>68</v>
      </c>
      <c r="F48" t="s">
        <v>69</v>
      </c>
      <c r="G48" t="s">
        <v>70</v>
      </c>
      <c r="H48" t="s">
        <v>71</v>
      </c>
      <c r="I48" t="s">
        <v>72</v>
      </c>
      <c r="J48" t="s">
        <v>73</v>
      </c>
      <c r="K48" t="s">
        <v>74</v>
      </c>
      <c r="L48" t="s">
        <v>75</v>
      </c>
      <c r="M48" t="s">
        <v>76</v>
      </c>
      <c r="N48" t="s">
        <v>77</v>
      </c>
      <c r="O48" t="s">
        <v>78</v>
      </c>
      <c r="P48" t="s">
        <v>80</v>
      </c>
    </row>
    <row r="49" spans="1:16" x14ac:dyDescent="0.25">
      <c r="A49" t="s">
        <v>86</v>
      </c>
      <c r="B49" s="72">
        <v>9.8699999999999992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83</v>
      </c>
      <c r="B50">
        <v>12.19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-1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85</v>
      </c>
      <c r="B51" s="73">
        <v>24.39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78">
        <f>sharing!W27/flows!B51</f>
        <v>0.26176359163591639</v>
      </c>
      <c r="N51" s="78">
        <f>M51</f>
        <v>0.26176359163591639</v>
      </c>
      <c r="O51" s="78">
        <f>-sharing!W29/flows!B51</f>
        <v>-0.48781672816728167</v>
      </c>
      <c r="P51" s="78">
        <f>O51</f>
        <v>-0.48781672816728167</v>
      </c>
    </row>
    <row r="52" spans="1:16" x14ac:dyDescent="0.25">
      <c r="A52" s="4" t="s">
        <v>81</v>
      </c>
      <c r="B52" s="7">
        <v>7.71</v>
      </c>
      <c r="C52" s="62">
        <v>0</v>
      </c>
      <c r="D52" s="60">
        <v>0</v>
      </c>
      <c r="E52" s="62">
        <v>-1</v>
      </c>
      <c r="F52" s="62">
        <v>0</v>
      </c>
      <c r="G52" s="62">
        <v>0</v>
      </c>
      <c r="H52" s="62">
        <v>0</v>
      </c>
      <c r="I52" s="62">
        <v>-1</v>
      </c>
      <c r="J52" s="62">
        <v>0</v>
      </c>
      <c r="K52" s="62">
        <v>0</v>
      </c>
      <c r="L52" s="62">
        <v>0</v>
      </c>
      <c r="M52" s="61">
        <v>0</v>
      </c>
      <c r="N52" s="61">
        <v>0</v>
      </c>
      <c r="O52" s="59">
        <v>-0.74</v>
      </c>
      <c r="P52" s="59">
        <v>-0.74</v>
      </c>
    </row>
    <row r="53" spans="1:16" x14ac:dyDescent="0.25">
      <c r="A53" s="6" t="s">
        <v>7</v>
      </c>
      <c r="B53" s="7">
        <v>2.0499999999999998</v>
      </c>
      <c r="C53" s="62">
        <v>0</v>
      </c>
      <c r="D53" s="60">
        <v>0</v>
      </c>
      <c r="E53" s="62">
        <v>-1</v>
      </c>
      <c r="F53" s="62">
        <v>0</v>
      </c>
      <c r="G53" s="62">
        <v>0</v>
      </c>
      <c r="H53" s="62">
        <v>0</v>
      </c>
      <c r="I53" s="62">
        <v>-1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</row>
    <row r="54" spans="1:16" x14ac:dyDescent="0.25">
      <c r="A54" s="29" t="s">
        <v>0</v>
      </c>
      <c r="B54" s="65">
        <v>6.7560000000000002</v>
      </c>
      <c r="C54" s="62">
        <v>0</v>
      </c>
      <c r="D54" s="60">
        <v>0</v>
      </c>
      <c r="E54" s="62">
        <v>-1</v>
      </c>
      <c r="F54" s="62">
        <v>0</v>
      </c>
      <c r="G54" s="62">
        <v>0</v>
      </c>
      <c r="H54" s="62">
        <v>0</v>
      </c>
      <c r="I54" s="62">
        <v>-1</v>
      </c>
      <c r="J54" s="61">
        <v>0</v>
      </c>
      <c r="K54" s="62">
        <v>0</v>
      </c>
      <c r="L54" s="62">
        <v>0</v>
      </c>
      <c r="M54" s="61">
        <v>0</v>
      </c>
      <c r="N54" s="61">
        <v>0</v>
      </c>
      <c r="O54" s="61">
        <v>-0.4</v>
      </c>
      <c r="P54" s="61">
        <v>-0.4</v>
      </c>
    </row>
    <row r="55" spans="1:16" x14ac:dyDescent="0.25">
      <c r="A55" s="69" t="s">
        <v>91</v>
      </c>
      <c r="B55" s="70">
        <v>2.6669999999999998</v>
      </c>
      <c r="C55" s="74">
        <v>0</v>
      </c>
      <c r="D55" s="75">
        <v>0</v>
      </c>
      <c r="E55" s="74">
        <v>-1</v>
      </c>
      <c r="F55" s="74">
        <v>0</v>
      </c>
      <c r="G55" s="74">
        <v>0</v>
      </c>
      <c r="H55" s="74">
        <v>0</v>
      </c>
      <c r="I55" s="74">
        <v>-1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-1</v>
      </c>
      <c r="P55" s="74">
        <v>-1</v>
      </c>
    </row>
    <row r="56" spans="1:16" x14ac:dyDescent="0.25">
      <c r="A56" s="30" t="s">
        <v>5</v>
      </c>
      <c r="B56" s="31">
        <v>1.66</v>
      </c>
      <c r="C56" s="76">
        <f>SUMPRODUCT($B$49:$B$55,C49:C55)</f>
        <v>0</v>
      </c>
      <c r="D56" s="76">
        <f t="shared" ref="D56:P56" si="3">SUMPRODUCT($B$49:$B$55,D49:D55)</f>
        <v>0</v>
      </c>
      <c r="E56" s="76">
        <f t="shared" si="3"/>
        <v>-31.372999999999998</v>
      </c>
      <c r="F56" s="76">
        <f t="shared" si="3"/>
        <v>0</v>
      </c>
      <c r="G56" s="76">
        <f t="shared" si="3"/>
        <v>0</v>
      </c>
      <c r="H56" s="76">
        <f t="shared" si="3"/>
        <v>0</v>
      </c>
      <c r="I56" s="76">
        <f t="shared" si="3"/>
        <v>-31.372999999999998</v>
      </c>
      <c r="J56" s="76">
        <f t="shared" si="3"/>
        <v>0</v>
      </c>
      <c r="K56" s="76">
        <f t="shared" si="3"/>
        <v>0</v>
      </c>
      <c r="L56" s="76">
        <f t="shared" si="3"/>
        <v>0</v>
      </c>
      <c r="M56" s="76">
        <f t="shared" si="3"/>
        <v>6.3844140000000014</v>
      </c>
      <c r="N56" s="76">
        <f t="shared" si="3"/>
        <v>6.3844140000000014</v>
      </c>
      <c r="O56" s="76">
        <f t="shared" si="3"/>
        <v>-22.972650000000002</v>
      </c>
      <c r="P56" s="76">
        <f t="shared" si="3"/>
        <v>-22.972650000000002</v>
      </c>
    </row>
    <row r="57" spans="1:16" x14ac:dyDescent="0.25">
      <c r="A57" s="34" t="s">
        <v>2</v>
      </c>
      <c r="B57" s="28">
        <v>0.22600000000000001</v>
      </c>
      <c r="C57" s="63"/>
      <c r="D57" s="71" t="s">
        <v>99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</row>
    <row r="58" spans="1:16" x14ac:dyDescent="0.25">
      <c r="A58" s="34" t="s">
        <v>6</v>
      </c>
      <c r="B58" s="28">
        <v>0.41599999999999998</v>
      </c>
      <c r="C58" s="63"/>
      <c r="D58" s="64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</row>
    <row r="59" spans="1:16" x14ac:dyDescent="0.25">
      <c r="A59" s="34" t="s">
        <v>4</v>
      </c>
      <c r="B59" s="28">
        <v>7.0000000000000001E-3</v>
      </c>
      <c r="C59" s="63"/>
      <c r="D59" s="64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</row>
    <row r="60" spans="1:16" x14ac:dyDescent="0.25">
      <c r="A60" s="36" t="s">
        <v>3</v>
      </c>
      <c r="B60" s="37">
        <v>0.35799999999999998</v>
      </c>
    </row>
    <row r="63" spans="1:16" x14ac:dyDescent="0.25">
      <c r="A63" s="19" t="s">
        <v>114</v>
      </c>
      <c r="B63" s="19"/>
    </row>
    <row r="64" spans="1:16" x14ac:dyDescent="0.25">
      <c r="C64" t="s">
        <v>79</v>
      </c>
      <c r="D64" t="s">
        <v>67</v>
      </c>
      <c r="E64" t="s">
        <v>68</v>
      </c>
      <c r="F64" t="s">
        <v>69</v>
      </c>
      <c r="G64" t="s">
        <v>70</v>
      </c>
      <c r="H64" t="s">
        <v>71</v>
      </c>
      <c r="I64" t="s">
        <v>72</v>
      </c>
      <c r="J64" t="s">
        <v>73</v>
      </c>
      <c r="K64" t="s">
        <v>74</v>
      </c>
      <c r="L64" t="s">
        <v>75</v>
      </c>
      <c r="M64" t="s">
        <v>76</v>
      </c>
      <c r="N64" t="s">
        <v>77</v>
      </c>
      <c r="O64" t="s">
        <v>78</v>
      </c>
      <c r="P64" t="s">
        <v>80</v>
      </c>
    </row>
    <row r="65" spans="1:18" x14ac:dyDescent="0.25">
      <c r="A65" t="s">
        <v>86</v>
      </c>
      <c r="B65" s="72">
        <v>9.8699999999999992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8" x14ac:dyDescent="0.25">
      <c r="A66" t="s">
        <v>83</v>
      </c>
      <c r="B66">
        <v>12.19</v>
      </c>
      <c r="C66">
        <v>0</v>
      </c>
      <c r="D66">
        <v>0</v>
      </c>
      <c r="E66">
        <v>-1</v>
      </c>
      <c r="F66">
        <v>0</v>
      </c>
      <c r="G66">
        <v>0</v>
      </c>
      <c r="H66">
        <v>0</v>
      </c>
      <c r="I66">
        <v>-1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8" x14ac:dyDescent="0.25">
      <c r="A67" t="s">
        <v>85</v>
      </c>
      <c r="B67" s="73">
        <v>24.39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8">
        <f>sharing!O40/flows!B67</f>
        <v>0.75989561295612951</v>
      </c>
      <c r="N67" s="78">
        <f>M67</f>
        <v>0.75989561295612951</v>
      </c>
      <c r="O67" s="78">
        <f>-sharing!O42/flows!B67</f>
        <v>-0.99986264862648622</v>
      </c>
      <c r="P67" s="78">
        <f>O67</f>
        <v>-0.99986264862648622</v>
      </c>
      <c r="R67" s="18"/>
    </row>
    <row r="68" spans="1:18" x14ac:dyDescent="0.25">
      <c r="A68" s="4" t="s">
        <v>81</v>
      </c>
      <c r="B68" s="7">
        <v>7.71</v>
      </c>
      <c r="C68" s="62">
        <v>0</v>
      </c>
      <c r="D68" s="60">
        <v>0</v>
      </c>
      <c r="E68" s="62">
        <v>-1</v>
      </c>
      <c r="F68" s="62">
        <v>0</v>
      </c>
      <c r="G68" s="62">
        <v>0</v>
      </c>
      <c r="H68" s="62">
        <v>0</v>
      </c>
      <c r="I68" s="62">
        <v>-1</v>
      </c>
      <c r="J68" s="62">
        <v>0</v>
      </c>
      <c r="K68" s="62">
        <v>0</v>
      </c>
      <c r="L68" s="62">
        <v>0</v>
      </c>
      <c r="M68" s="61">
        <v>0</v>
      </c>
      <c r="N68" s="61">
        <v>0</v>
      </c>
      <c r="O68" s="59">
        <v>0</v>
      </c>
      <c r="P68" s="59">
        <v>0</v>
      </c>
    </row>
    <row r="69" spans="1:18" x14ac:dyDescent="0.25">
      <c r="A69" s="6" t="s">
        <v>7</v>
      </c>
      <c r="B69" s="7">
        <v>2.0499999999999998</v>
      </c>
      <c r="C69" s="62">
        <v>0</v>
      </c>
      <c r="D69" s="60">
        <v>0</v>
      </c>
      <c r="E69" s="62">
        <v>-1</v>
      </c>
      <c r="F69" s="62">
        <v>0</v>
      </c>
      <c r="G69" s="62">
        <v>0</v>
      </c>
      <c r="H69" s="62">
        <v>0</v>
      </c>
      <c r="I69" s="62">
        <v>-1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</row>
    <row r="70" spans="1:18" x14ac:dyDescent="0.25">
      <c r="A70" s="29" t="s">
        <v>0</v>
      </c>
      <c r="B70" s="65">
        <v>6.7560000000000002</v>
      </c>
      <c r="C70" s="62">
        <v>0</v>
      </c>
      <c r="D70" s="60">
        <v>0</v>
      </c>
      <c r="E70" s="62">
        <v>-1</v>
      </c>
      <c r="F70" s="62">
        <v>0</v>
      </c>
      <c r="G70" s="62">
        <v>0</v>
      </c>
      <c r="H70" s="62">
        <v>0</v>
      </c>
      <c r="I70" s="62">
        <v>-1</v>
      </c>
      <c r="J70" s="61">
        <v>0</v>
      </c>
      <c r="K70" s="62">
        <v>0</v>
      </c>
      <c r="L70" s="62">
        <v>0</v>
      </c>
      <c r="M70" s="61">
        <v>0</v>
      </c>
      <c r="N70" s="61">
        <v>0</v>
      </c>
      <c r="O70" s="61">
        <v>0</v>
      </c>
      <c r="P70" s="61">
        <v>0</v>
      </c>
    </row>
    <row r="71" spans="1:18" x14ac:dyDescent="0.25">
      <c r="A71" s="69" t="s">
        <v>91</v>
      </c>
      <c r="B71" s="70">
        <v>2.6669999999999998</v>
      </c>
      <c r="C71" s="74">
        <v>0</v>
      </c>
      <c r="D71" s="75">
        <v>0</v>
      </c>
      <c r="E71" s="74">
        <v>-1</v>
      </c>
      <c r="F71" s="74">
        <v>0</v>
      </c>
      <c r="G71" s="74">
        <v>0</v>
      </c>
      <c r="H71" s="74">
        <v>0</v>
      </c>
      <c r="I71" s="74">
        <v>-1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</row>
    <row r="72" spans="1:18" x14ac:dyDescent="0.25">
      <c r="A72" s="30" t="s">
        <v>5</v>
      </c>
      <c r="B72" s="31">
        <v>1.66</v>
      </c>
      <c r="C72" s="76">
        <f>SUMPRODUCT($B$49:$B$55,C65:C71)</f>
        <v>0</v>
      </c>
      <c r="D72" s="76">
        <f t="shared" ref="D72:P72" si="4">SUMPRODUCT($B$49:$B$55,D65:D71)</f>
        <v>0</v>
      </c>
      <c r="E72" s="76">
        <f t="shared" si="4"/>
        <v>-31.372999999999998</v>
      </c>
      <c r="F72" s="76">
        <f t="shared" si="4"/>
        <v>0</v>
      </c>
      <c r="G72" s="76">
        <f t="shared" si="4"/>
        <v>9.8699999999999992</v>
      </c>
      <c r="H72" s="76">
        <f t="shared" si="4"/>
        <v>0</v>
      </c>
      <c r="I72" s="76">
        <f t="shared" si="4"/>
        <v>-31.372999999999998</v>
      </c>
      <c r="J72" s="76">
        <f t="shared" si="4"/>
        <v>0</v>
      </c>
      <c r="K72" s="76">
        <f t="shared" si="4"/>
        <v>0</v>
      </c>
      <c r="L72" s="76">
        <f t="shared" si="4"/>
        <v>0</v>
      </c>
      <c r="M72" s="76">
        <f t="shared" si="4"/>
        <v>18.533853999999998</v>
      </c>
      <c r="N72" s="76">
        <f t="shared" si="4"/>
        <v>18.533853999999998</v>
      </c>
      <c r="O72" s="76">
        <f t="shared" si="4"/>
        <v>-24.386649999999999</v>
      </c>
      <c r="P72" s="76">
        <f t="shared" si="4"/>
        <v>-24.386649999999999</v>
      </c>
    </row>
    <row r="73" spans="1:18" x14ac:dyDescent="0.25">
      <c r="A73" s="34" t="s">
        <v>2</v>
      </c>
      <c r="B73" s="28">
        <v>0.22600000000000001</v>
      </c>
      <c r="C73" s="63"/>
      <c r="D73" s="71" t="s">
        <v>117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</row>
    <row r="74" spans="1:18" x14ac:dyDescent="0.25">
      <c r="A74" s="34" t="s">
        <v>6</v>
      </c>
      <c r="B74" s="28">
        <v>0.41599999999999998</v>
      </c>
      <c r="C74" s="63"/>
      <c r="D74" s="64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</row>
    <row r="75" spans="1:18" x14ac:dyDescent="0.25">
      <c r="A75" s="34" t="s">
        <v>4</v>
      </c>
      <c r="B75" s="28">
        <v>7.0000000000000001E-3</v>
      </c>
      <c r="C75" s="63"/>
      <c r="D75" s="64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</row>
    <row r="76" spans="1:18" x14ac:dyDescent="0.25">
      <c r="A76" s="36" t="s">
        <v>3</v>
      </c>
      <c r="B76" s="37">
        <v>0.35799999999999998</v>
      </c>
    </row>
    <row r="78" spans="1:18" x14ac:dyDescent="0.25">
      <c r="A78" s="19" t="s">
        <v>115</v>
      </c>
      <c r="B78" s="19"/>
    </row>
    <row r="79" spans="1:18" x14ac:dyDescent="0.25">
      <c r="C79" t="s">
        <v>79</v>
      </c>
      <c r="D79" t="s">
        <v>67</v>
      </c>
      <c r="E79" t="s">
        <v>68</v>
      </c>
      <c r="F79" t="s">
        <v>69</v>
      </c>
      <c r="G79" t="s">
        <v>70</v>
      </c>
      <c r="H79" t="s">
        <v>71</v>
      </c>
      <c r="I79" t="s">
        <v>72</v>
      </c>
      <c r="J79" t="s">
        <v>73</v>
      </c>
      <c r="K79" t="s">
        <v>74</v>
      </c>
      <c r="L79" t="s">
        <v>75</v>
      </c>
      <c r="M79" t="s">
        <v>76</v>
      </c>
      <c r="N79" t="s">
        <v>77</v>
      </c>
      <c r="O79" t="s">
        <v>78</v>
      </c>
      <c r="P79" t="s">
        <v>80</v>
      </c>
    </row>
    <row r="80" spans="1:18" x14ac:dyDescent="0.25">
      <c r="A80" t="s">
        <v>86</v>
      </c>
      <c r="B80" s="72">
        <v>9.8699999999999992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t="s">
        <v>83</v>
      </c>
      <c r="B81">
        <v>12.19</v>
      </c>
      <c r="C81">
        <v>0</v>
      </c>
      <c r="D81">
        <v>0</v>
      </c>
      <c r="E81">
        <v>-1</v>
      </c>
      <c r="F81">
        <v>0</v>
      </c>
      <c r="G81">
        <v>0</v>
      </c>
      <c r="H81">
        <v>0</v>
      </c>
      <c r="I81">
        <v>-1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85</v>
      </c>
      <c r="B82" s="73">
        <v>24.39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8">
        <f>sharing!W40/flows!B82</f>
        <v>0.60611947519475196</v>
      </c>
      <c r="N82" s="78">
        <f>M82</f>
        <v>0.60611947519475196</v>
      </c>
      <c r="O82" s="78">
        <f>-sharing!W42/flows!B82</f>
        <v>-0.79752562525625259</v>
      </c>
      <c r="P82" s="78">
        <f>O82</f>
        <v>-0.79752562525625259</v>
      </c>
    </row>
    <row r="83" spans="1:16" x14ac:dyDescent="0.25">
      <c r="A83" s="4" t="s">
        <v>81</v>
      </c>
      <c r="B83" s="7">
        <v>7.71</v>
      </c>
      <c r="C83" s="62">
        <v>0</v>
      </c>
      <c r="D83" s="60">
        <v>0</v>
      </c>
      <c r="E83" s="62">
        <v>-1</v>
      </c>
      <c r="F83" s="62">
        <v>0</v>
      </c>
      <c r="G83" s="62">
        <v>0</v>
      </c>
      <c r="H83" s="62">
        <v>0</v>
      </c>
      <c r="I83" s="62">
        <v>-1</v>
      </c>
      <c r="J83" s="62">
        <v>0</v>
      </c>
      <c r="K83" s="62">
        <v>0</v>
      </c>
      <c r="L83" s="62">
        <v>0</v>
      </c>
      <c r="M83" s="61">
        <v>0</v>
      </c>
      <c r="N83" s="61">
        <v>0</v>
      </c>
      <c r="O83" s="59">
        <v>0</v>
      </c>
      <c r="P83" s="59">
        <v>0</v>
      </c>
    </row>
    <row r="84" spans="1:16" x14ac:dyDescent="0.25">
      <c r="A84" s="6" t="s">
        <v>7</v>
      </c>
      <c r="B84" s="7">
        <v>2.0499999999999998</v>
      </c>
      <c r="C84" s="62">
        <v>0</v>
      </c>
      <c r="D84" s="60">
        <v>0</v>
      </c>
      <c r="E84" s="62">
        <v>-1</v>
      </c>
      <c r="F84" s="62">
        <v>0</v>
      </c>
      <c r="G84" s="62">
        <v>0</v>
      </c>
      <c r="H84" s="62">
        <v>0</v>
      </c>
      <c r="I84" s="62">
        <v>-1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</row>
    <row r="85" spans="1:16" x14ac:dyDescent="0.25">
      <c r="A85" s="29" t="s">
        <v>0</v>
      </c>
      <c r="B85" s="65">
        <v>6.7560000000000002</v>
      </c>
      <c r="C85" s="62">
        <v>0</v>
      </c>
      <c r="D85" s="60">
        <v>0</v>
      </c>
      <c r="E85" s="62">
        <v>-1</v>
      </c>
      <c r="F85" s="62">
        <v>0</v>
      </c>
      <c r="G85" s="62">
        <v>0</v>
      </c>
      <c r="H85" s="62">
        <v>0</v>
      </c>
      <c r="I85" s="62">
        <v>-1</v>
      </c>
      <c r="J85" s="61">
        <v>0</v>
      </c>
      <c r="K85" s="62">
        <v>0</v>
      </c>
      <c r="L85" s="62">
        <v>0</v>
      </c>
      <c r="M85" s="61">
        <v>0</v>
      </c>
      <c r="N85" s="61">
        <v>0</v>
      </c>
      <c r="O85" s="61">
        <v>0</v>
      </c>
      <c r="P85" s="61">
        <v>0</v>
      </c>
    </row>
    <row r="86" spans="1:16" x14ac:dyDescent="0.25">
      <c r="A86" s="69" t="s">
        <v>91</v>
      </c>
      <c r="B86" s="70">
        <v>2.6669999999999998</v>
      </c>
      <c r="C86" s="74">
        <v>0</v>
      </c>
      <c r="D86" s="75">
        <v>0</v>
      </c>
      <c r="E86" s="74">
        <v>-1</v>
      </c>
      <c r="F86" s="74">
        <v>0</v>
      </c>
      <c r="G86" s="74">
        <v>0</v>
      </c>
      <c r="H86" s="74">
        <v>0</v>
      </c>
      <c r="I86" s="74">
        <v>-1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</row>
    <row r="87" spans="1:16" x14ac:dyDescent="0.25">
      <c r="A87" s="30" t="s">
        <v>5</v>
      </c>
      <c r="B87" s="31">
        <v>1.66</v>
      </c>
      <c r="C87" s="76">
        <f>SUMPRODUCT($B$33:$B$39,C80:C86)</f>
        <v>0</v>
      </c>
      <c r="D87" s="76">
        <f t="shared" ref="D87:P87" si="5">SUMPRODUCT($B$33:$B$39,D80:D86)</f>
        <v>0</v>
      </c>
      <c r="E87" s="76">
        <f t="shared" si="5"/>
        <v>-31.372999999999998</v>
      </c>
      <c r="F87" s="76">
        <f t="shared" si="5"/>
        <v>0</v>
      </c>
      <c r="G87" s="76">
        <f t="shared" si="5"/>
        <v>0</v>
      </c>
      <c r="H87" s="76">
        <f t="shared" si="5"/>
        <v>0</v>
      </c>
      <c r="I87" s="76">
        <f t="shared" si="5"/>
        <v>-31.372999999999998</v>
      </c>
      <c r="J87" s="76">
        <f t="shared" si="5"/>
        <v>0</v>
      </c>
      <c r="K87" s="76">
        <f t="shared" si="5"/>
        <v>0</v>
      </c>
      <c r="L87" s="76">
        <f t="shared" si="5"/>
        <v>0</v>
      </c>
      <c r="M87" s="76">
        <f t="shared" si="5"/>
        <v>14.783254000000001</v>
      </c>
      <c r="N87" s="76">
        <f t="shared" si="5"/>
        <v>14.783254000000001</v>
      </c>
      <c r="O87" s="76">
        <f t="shared" si="5"/>
        <v>-19.451650000000001</v>
      </c>
      <c r="P87" s="76">
        <f t="shared" si="5"/>
        <v>-19.451650000000001</v>
      </c>
    </row>
    <row r="88" spans="1:16" x14ac:dyDescent="0.25">
      <c r="A88" s="34" t="s">
        <v>2</v>
      </c>
      <c r="B88" s="28">
        <v>0.22600000000000001</v>
      </c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</row>
    <row r="89" spans="1:16" x14ac:dyDescent="0.25">
      <c r="A89" s="34" t="s">
        <v>6</v>
      </c>
      <c r="B89" s="28">
        <v>0.41599999999999998</v>
      </c>
      <c r="C89" s="63"/>
      <c r="D89" s="71" t="s">
        <v>118</v>
      </c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</row>
    <row r="90" spans="1:16" x14ac:dyDescent="0.25">
      <c r="A90" s="34" t="s">
        <v>4</v>
      </c>
      <c r="B90" s="28">
        <v>7.0000000000000001E-3</v>
      </c>
      <c r="C90" s="63"/>
      <c r="D90" s="64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</row>
    <row r="91" spans="1:16" x14ac:dyDescent="0.25">
      <c r="A91" s="36" t="s">
        <v>3</v>
      </c>
      <c r="B91" s="37">
        <v>0.35799999999999998</v>
      </c>
    </row>
  </sheetData>
  <conditionalFormatting sqref="C52:P55 C57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P9 C11:P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P55 C1:P2 C6:P9 C11:P11 C57:P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P55 C6:P9 C1:P2 C57:P6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P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P55 C1:P9 C57:P6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P24 C26:P26 C28:P28 E27:P27 C42:D4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P17 C21:P24 C26:P2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P24 C16:P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P2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P2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P39 C27:D27 C43:P43 E41:P4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P39 C27:D27 C43:P45 E41:P4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P39 C27:D27 C43:P45 E41:P4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P39 C27:D27 C43:P45 E41:P4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P2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P71 C73:P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P71 C73:P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P71 C73:P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P71 C73:P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D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P86 C90:P90 E88:P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P86 C90:P92 E88:P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P86 C90:P92 E88:P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P86 C90:P92 E88:P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6" r:id="rId1" display="concession fee" xr:uid="{1B627137-0D27-4085-8C41-E3B764AF3CB9}"/>
    <hyperlink ref="A54" r:id="rId2" xr:uid="{FB89DE13-2B3C-4A8F-90C7-5C1BC368C6B9}"/>
    <hyperlink ref="A57" r:id="rId3" display="CHP-levy" xr:uid="{30BBF252-7030-40A4-9822-1CC666E533EF}"/>
    <hyperlink ref="A60" r:id="rId4" display="§ 19 StromNEV allocation" xr:uid="{7955DD03-5677-42CA-8BFA-10E05B650E38}"/>
    <hyperlink ref="A53" r:id="rId5" xr:uid="{7C23C32D-CA9D-4C9E-8770-522680D36F04}"/>
    <hyperlink ref="A10" r:id="rId6" display="concession fee" xr:uid="{65B6BA9E-A057-40E5-9452-B07C1ADAA997}"/>
    <hyperlink ref="A8" r:id="rId7" xr:uid="{4317E8A8-6C10-4901-9615-A05215B2E55A}"/>
    <hyperlink ref="A11" r:id="rId8" display="CHP-levy" xr:uid="{E53F0DC9-0D04-4D2D-8F3F-74B425464FF6}"/>
    <hyperlink ref="A14" r:id="rId9" display="§ 19 StromNEV allocation" xr:uid="{5E34FFE7-FCA1-43C0-8CAB-96EAB7ECC3C3}"/>
    <hyperlink ref="A7" r:id="rId10" xr:uid="{99E66E12-6560-42A9-98DD-AA1B9525D448}"/>
    <hyperlink ref="D57" r:id="rId11" xr:uid="{B462C9AE-A50F-441D-A2EC-CA2520C780D2}"/>
    <hyperlink ref="A25" r:id="rId12" display="concession fee" xr:uid="{22821DB1-19D0-45CD-A167-DA09800DE30C}"/>
    <hyperlink ref="A23" r:id="rId13" xr:uid="{B7C3C000-68BB-4C9F-B7DB-35D52A8D2CCC}"/>
    <hyperlink ref="A26" r:id="rId14" display="CHP-levy" xr:uid="{358C55E1-352B-4C04-A850-46C6E40036C0}"/>
    <hyperlink ref="A29" r:id="rId15" display="§ 19 StromNEV allocation" xr:uid="{CCBC80D3-021A-43DA-B6FA-5F508A7C82AF}"/>
    <hyperlink ref="A22" r:id="rId16" xr:uid="{4C91AEC2-F2A1-49E9-9E25-A3BCCFB0B70A}"/>
    <hyperlink ref="A40" r:id="rId17" display="concession fee" xr:uid="{36286D9D-7949-4025-BA06-98186CABF419}"/>
    <hyperlink ref="A38" r:id="rId18" xr:uid="{EE4AF8E3-6D87-4A03-9CB3-96AD2157C5FC}"/>
    <hyperlink ref="A41" r:id="rId19" display="CHP-levy" xr:uid="{81A33068-90B1-4837-B649-D568A9125143}"/>
    <hyperlink ref="A44" r:id="rId20" display="§ 19 StromNEV allocation" xr:uid="{22B35478-B516-4227-A902-A3314B54D261}"/>
    <hyperlink ref="A37" r:id="rId21" xr:uid="{62E274AA-226B-4D9A-8F3B-97754AAAFEE1}"/>
    <hyperlink ref="D27" r:id="rId22" xr:uid="{FD48DE4D-6162-40AC-8BBF-C8A6D6370BD9}"/>
    <hyperlink ref="D12" r:id="rId23" xr:uid="{EFD3FC3C-ABCE-48F9-BAAC-9B445FEE7B97}"/>
    <hyperlink ref="D42" r:id="rId24" xr:uid="{6AB2FA8B-248A-4868-B366-64F54E2B542B}"/>
    <hyperlink ref="A72" r:id="rId25" display="concession fee" xr:uid="{066E26F4-C5D6-4838-ACED-D9F4F0B8BBEC}"/>
    <hyperlink ref="A70" r:id="rId26" xr:uid="{671306C1-423D-47F3-BD4F-69F1D72745FD}"/>
    <hyperlink ref="A73" r:id="rId27" display="CHP-levy" xr:uid="{E74CE6C0-512B-4A55-ACAC-057AA87B5842}"/>
    <hyperlink ref="A76" r:id="rId28" display="§ 19 StromNEV allocation" xr:uid="{D3579349-7EE2-4D7B-BA8F-8A3271707B8F}"/>
    <hyperlink ref="A69" r:id="rId29" xr:uid="{BC722069-6EF5-4BC9-A51C-1267D71BEDF8}"/>
    <hyperlink ref="D73" r:id="rId30" xr:uid="{357A85EE-4A1F-4874-B9B6-F7DCBCCE8FC4}"/>
    <hyperlink ref="A87" r:id="rId31" display="concession fee" xr:uid="{24F0A94D-A48B-4405-BC46-F40EA2845B02}"/>
    <hyperlink ref="A85" r:id="rId32" xr:uid="{B6D3B7C5-1535-42CC-98B1-0DAB94BBA13E}"/>
    <hyperlink ref="A88" r:id="rId33" display="CHP-levy" xr:uid="{7806000F-7595-4775-9716-31A5DA5B23BA}"/>
    <hyperlink ref="A91" r:id="rId34" display="§ 19 StromNEV allocation" xr:uid="{2076EF4E-220F-471F-B104-EEE02575E792}"/>
    <hyperlink ref="A84" r:id="rId35" xr:uid="{47E4051E-B393-4C55-8DDC-D25D73C6ED82}"/>
    <hyperlink ref="D89" r:id="rId36" xr:uid="{9599D874-E74A-47FB-B2B1-BEEC1C7FCF90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storage</vt:lpstr>
      <vt:lpstr>sharing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2020-06-10T08:12:57Z</dcterms:created>
  <dcterms:modified xsi:type="dcterms:W3CDTF">2020-08-28T15:21:53Z</dcterms:modified>
</cp:coreProperties>
</file>