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codeName="EstaPasta_de_trabalho" autoCompressPictures="0" defaultThemeVersion="124226"/>
  <xr:revisionPtr revIDLastSave="0" documentId="13_ncr:1_{1D087483-72B7-4ADA-B9FC-BE29AA36214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dos Gerais" sheetId="9" r:id="rId1"/>
    <sheet name="Adições" sheetId="26" r:id="rId2"/>
    <sheet name="Sheet1" sheetId="33" r:id="rId3"/>
    <sheet name="Importação" sheetId="8" state="hidden" r:id="rId4"/>
    <sheet name="Saida 1 - Importador" sheetId="22" state="hidden" r:id="rId5"/>
    <sheet name="Saída 2 - Encomendante" sheetId="27" r:id="rId6"/>
    <sheet name="Resumo" sheetId="32" state="hidden" r:id="rId7"/>
    <sheet name="Quadro Sintético" sheetId="30" state="hidden" r:id="rId8"/>
    <sheet name="Notas - Sintético" sheetId="17" state="hidden" r:id="rId9"/>
    <sheet name="Notas - Analítico" sheetId="31" r:id="rId10"/>
    <sheet name="Tabela" sheetId="24" state="hidden" r:id="rId11"/>
  </sheets>
  <definedNames>
    <definedName name="_xlnm.Print_Area" localSheetId="1">Adições!$A$12:$AA$25</definedName>
    <definedName name="_xlnm.Print_Area" localSheetId="0">'Dados Gerais'!$A$1:$C$203</definedName>
    <definedName name="_xlnm.Print_Area" localSheetId="3">Importação!$A$1:$E$41</definedName>
    <definedName name="_xlnm.Print_Area" localSheetId="8">'Notas - Sintético'!$A$1:$J$55</definedName>
    <definedName name="_xlnm.Print_Area" localSheetId="7">'Quadro Sintético'!$A$1:$D$91</definedName>
    <definedName name="_xlnm.Print_Area" localSheetId="6">Resumo!$A$1:$E$76</definedName>
    <definedName name="_xlnm.Print_Area" localSheetId="4">'Saida 1 - Importador'!$A$1:$E$72</definedName>
    <definedName name="_xlnm.Print_Area" localSheetId="5">'Saída 2 - Encomendante'!$A$1:$E$55</definedName>
    <definedName name="_xlnm.Print_Area" localSheetId="10">Tabela!$A$1:$C$10</definedName>
    <definedName name="_xlnm.Print_Titles" localSheetId="0">'Dados Gerais'!$1:$2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5" i="9" l="1"/>
  <c r="C55" i="9"/>
  <c r="C24" i="9"/>
  <c r="C92" i="9" s="1"/>
  <c r="C23" i="9"/>
  <c r="C22" i="9"/>
  <c r="M32" i="26"/>
  <c r="E32" i="26"/>
  <c r="M31" i="26"/>
  <c r="E31" i="26"/>
  <c r="M30" i="26"/>
  <c r="E30" i="26" s="1"/>
  <c r="M29" i="26"/>
  <c r="M28" i="26"/>
  <c r="E28" i="26" s="1"/>
  <c r="M27" i="26"/>
  <c r="M26" i="26"/>
  <c r="E26" i="26" s="1"/>
  <c r="M25" i="26"/>
  <c r="E25" i="26"/>
  <c r="M24" i="26"/>
  <c r="E24" i="26" s="1"/>
  <c r="M23" i="26"/>
  <c r="M22" i="26"/>
  <c r="M21" i="26"/>
  <c r="B26" i="9"/>
  <c r="C64" i="9"/>
  <c r="AO19" i="26" s="1"/>
  <c r="AJ11" i="31"/>
  <c r="AK11" i="31"/>
  <c r="AJ10" i="31"/>
  <c r="AK10" i="31"/>
  <c r="AJ9" i="31"/>
  <c r="AK9" i="31"/>
  <c r="AJ8" i="31"/>
  <c r="AK8" i="31"/>
  <c r="AJ7" i="31"/>
  <c r="AK7" i="31"/>
  <c r="AJ6" i="31"/>
  <c r="AK6" i="31"/>
  <c r="AK5" i="31"/>
  <c r="AJ5" i="31"/>
  <c r="M20" i="26"/>
  <c r="E20" i="26" s="1"/>
  <c r="M19" i="26"/>
  <c r="E19" i="26" s="1"/>
  <c r="M18" i="26"/>
  <c r="M17" i="26"/>
  <c r="E17" i="26" s="1"/>
  <c r="M16" i="26"/>
  <c r="E16" i="26" s="1"/>
  <c r="M15" i="26"/>
  <c r="E15" i="26" s="1"/>
  <c r="L41" i="9"/>
  <c r="H23" i="33"/>
  <c r="H22" i="33"/>
  <c r="H19" i="33"/>
  <c r="I18" i="33"/>
  <c r="I9" i="33"/>
  <c r="F8" i="33"/>
  <c r="I8" i="33"/>
  <c r="I7" i="33"/>
  <c r="F7" i="33"/>
  <c r="I5" i="33"/>
  <c r="K8" i="26"/>
  <c r="L9" i="26"/>
  <c r="K9" i="26"/>
  <c r="K7" i="26"/>
  <c r="E18" i="26"/>
  <c r="L10" i="26"/>
  <c r="K10" i="26"/>
  <c r="C118" i="9"/>
  <c r="C119" i="9"/>
  <c r="BQ3" i="26"/>
  <c r="BI15" i="26" s="1"/>
  <c r="C21" i="31"/>
  <c r="C22" i="31"/>
  <c r="C23" i="31"/>
  <c r="C24" i="31"/>
  <c r="C25" i="31"/>
  <c r="C26" i="31"/>
  <c r="C6" i="31"/>
  <c r="C7" i="31"/>
  <c r="C8" i="31"/>
  <c r="C9" i="31"/>
  <c r="C10" i="31"/>
  <c r="C11" i="31"/>
  <c r="C12" i="31"/>
  <c r="C13" i="31"/>
  <c r="C14" i="31"/>
  <c r="C15" i="31"/>
  <c r="C16" i="31"/>
  <c r="C17" i="31"/>
  <c r="C18" i="31"/>
  <c r="C19" i="31"/>
  <c r="C20" i="31"/>
  <c r="C27" i="31"/>
  <c r="C28" i="31"/>
  <c r="C29" i="31"/>
  <c r="C30" i="31"/>
  <c r="C31" i="31"/>
  <c r="C32" i="31"/>
  <c r="C33" i="31"/>
  <c r="C5" i="31"/>
  <c r="F36" i="26"/>
  <c r="F37" i="26"/>
  <c r="F38" i="26"/>
  <c r="F39" i="26"/>
  <c r="F40" i="26"/>
  <c r="F41" i="26"/>
  <c r="F42" i="26"/>
  <c r="F43" i="26"/>
  <c r="C29" i="9"/>
  <c r="BO26" i="26"/>
  <c r="BO27" i="26"/>
  <c r="AD18" i="31" s="1"/>
  <c r="BO28" i="26"/>
  <c r="BO29" i="26"/>
  <c r="BO30" i="26"/>
  <c r="BO31" i="26"/>
  <c r="BO32" i="26"/>
  <c r="BO33" i="26"/>
  <c r="BO34" i="26"/>
  <c r="BO35" i="26"/>
  <c r="BO36" i="26"/>
  <c r="BO37" i="26"/>
  <c r="BO38" i="26"/>
  <c r="BO39" i="26"/>
  <c r="BO40" i="26"/>
  <c r="BO41" i="26"/>
  <c r="BO42" i="26"/>
  <c r="BO43" i="26"/>
  <c r="I8" i="26"/>
  <c r="BO4" i="26"/>
  <c r="BO3" i="26"/>
  <c r="BQ26" i="26"/>
  <c r="BQ27" i="26"/>
  <c r="AF18" i="31" s="1"/>
  <c r="BQ28" i="26"/>
  <c r="BQ29" i="26"/>
  <c r="BQ30" i="26"/>
  <c r="BQ31" i="26"/>
  <c r="BQ32" i="26"/>
  <c r="BQ33" i="26"/>
  <c r="BQ34" i="26"/>
  <c r="BQ35" i="26"/>
  <c r="BQ36" i="26"/>
  <c r="BQ37" i="26"/>
  <c r="BQ38" i="26"/>
  <c r="BQ39" i="26"/>
  <c r="BQ40" i="26"/>
  <c r="BQ41" i="26"/>
  <c r="BQ42" i="26"/>
  <c r="BQ43" i="26"/>
  <c r="BP26" i="26"/>
  <c r="AE17" i="31" s="1"/>
  <c r="BP27" i="26"/>
  <c r="BP28" i="26"/>
  <c r="BP29" i="26"/>
  <c r="BP30" i="26"/>
  <c r="BP31" i="26"/>
  <c r="BP32" i="26"/>
  <c r="BP33" i="26"/>
  <c r="BP34" i="26"/>
  <c r="BP35" i="26"/>
  <c r="BP36" i="26"/>
  <c r="BP37" i="26"/>
  <c r="BP38" i="26"/>
  <c r="BP39" i="26"/>
  <c r="BP40" i="26"/>
  <c r="BP41" i="26"/>
  <c r="BP42" i="26"/>
  <c r="BP43" i="26"/>
  <c r="BR36" i="26"/>
  <c r="BR37" i="26"/>
  <c r="BR38" i="26"/>
  <c r="BR39" i="26"/>
  <c r="BR40" i="26"/>
  <c r="BR41" i="26"/>
  <c r="BR42" i="26"/>
  <c r="BR43" i="26"/>
  <c r="BN36" i="26"/>
  <c r="BN37" i="26"/>
  <c r="BN38" i="26"/>
  <c r="BN39" i="26"/>
  <c r="BN40" i="26"/>
  <c r="BN41" i="26"/>
  <c r="BN42" i="26"/>
  <c r="BN43" i="26"/>
  <c r="BL36" i="26"/>
  <c r="BL37" i="26"/>
  <c r="BL38" i="26"/>
  <c r="BL39" i="26"/>
  <c r="BL40" i="26"/>
  <c r="BL41" i="26"/>
  <c r="BL42" i="26"/>
  <c r="BL43" i="26"/>
  <c r="BM36" i="26"/>
  <c r="BM37" i="26"/>
  <c r="BM38" i="26"/>
  <c r="BM39" i="26"/>
  <c r="BM40" i="26"/>
  <c r="BM41" i="26"/>
  <c r="BM42" i="26"/>
  <c r="BM43" i="26"/>
  <c r="BK36" i="26"/>
  <c r="BK37" i="26"/>
  <c r="BK38" i="26"/>
  <c r="BK39" i="26"/>
  <c r="BK40" i="26"/>
  <c r="BK41" i="26"/>
  <c r="BK42" i="26"/>
  <c r="BK43" i="26"/>
  <c r="BJ36" i="26"/>
  <c r="BJ37" i="26"/>
  <c r="BJ38" i="26"/>
  <c r="BJ39" i="26"/>
  <c r="BJ40" i="26"/>
  <c r="BJ41" i="26"/>
  <c r="BJ42" i="26"/>
  <c r="BJ43" i="26"/>
  <c r="BI31" i="26"/>
  <c r="BI32" i="26"/>
  <c r="BI33" i="26"/>
  <c r="BI34" i="26"/>
  <c r="BI35" i="26"/>
  <c r="BI36" i="26"/>
  <c r="BI37" i="26"/>
  <c r="BI38" i="26"/>
  <c r="BI39" i="26"/>
  <c r="BI40" i="26"/>
  <c r="BI41" i="26"/>
  <c r="BI42" i="26"/>
  <c r="BI43" i="26"/>
  <c r="AP36" i="26"/>
  <c r="AP37" i="26"/>
  <c r="AP38" i="26"/>
  <c r="AP39" i="26"/>
  <c r="AP40" i="26"/>
  <c r="AP41" i="26"/>
  <c r="AP42" i="26"/>
  <c r="AP43" i="26"/>
  <c r="AN36" i="26"/>
  <c r="AN37" i="26"/>
  <c r="AN38" i="26"/>
  <c r="AN39" i="26"/>
  <c r="AN40" i="26"/>
  <c r="AN41" i="26"/>
  <c r="AN42" i="26"/>
  <c r="AN43" i="26"/>
  <c r="BG36" i="26"/>
  <c r="BG37" i="26"/>
  <c r="BG38" i="26"/>
  <c r="BG39" i="26"/>
  <c r="BG40" i="26"/>
  <c r="BG41" i="26"/>
  <c r="BG42" i="26"/>
  <c r="BG43" i="26"/>
  <c r="BF36" i="26"/>
  <c r="BF37" i="26"/>
  <c r="BF38" i="26"/>
  <c r="BF39" i="26"/>
  <c r="BF40" i="26"/>
  <c r="BF41" i="26"/>
  <c r="BF42" i="26"/>
  <c r="BF43" i="26"/>
  <c r="BE36" i="26"/>
  <c r="BE37" i="26"/>
  <c r="BE38" i="26"/>
  <c r="BE39" i="26"/>
  <c r="BE40" i="26"/>
  <c r="BE41" i="26"/>
  <c r="BE42" i="26"/>
  <c r="BE43" i="26"/>
  <c r="BD36" i="26"/>
  <c r="BD37" i="26"/>
  <c r="BD38" i="26"/>
  <c r="BD39" i="26"/>
  <c r="BD40" i="26"/>
  <c r="BD41" i="26"/>
  <c r="BD42" i="26"/>
  <c r="BD43" i="26"/>
  <c r="BC36" i="26"/>
  <c r="BC37" i="26"/>
  <c r="BC38" i="26"/>
  <c r="BC39" i="26"/>
  <c r="BC40" i="26"/>
  <c r="BC41" i="26"/>
  <c r="BC42" i="26"/>
  <c r="BC43" i="26"/>
  <c r="BB36" i="26"/>
  <c r="BB37" i="26"/>
  <c r="BB38" i="26"/>
  <c r="BB39" i="26"/>
  <c r="BB40" i="26"/>
  <c r="BB41" i="26"/>
  <c r="BB42" i="26"/>
  <c r="BB43" i="26"/>
  <c r="BA36" i="26"/>
  <c r="BA37" i="26"/>
  <c r="BA38" i="26"/>
  <c r="BA39" i="26"/>
  <c r="BA40" i="26"/>
  <c r="BA41" i="26"/>
  <c r="BA42" i="26"/>
  <c r="BA43" i="26"/>
  <c r="AY36" i="26"/>
  <c r="AY37" i="26"/>
  <c r="AY38" i="26"/>
  <c r="AY39" i="26"/>
  <c r="AY40" i="26"/>
  <c r="AY41" i="26"/>
  <c r="AY42" i="26"/>
  <c r="AY43" i="26"/>
  <c r="AT36" i="26"/>
  <c r="AT37" i="26"/>
  <c r="AT38" i="26"/>
  <c r="AT39" i="26"/>
  <c r="AT40" i="26"/>
  <c r="AT41" i="26"/>
  <c r="AT42" i="26"/>
  <c r="AT43" i="26"/>
  <c r="AW36" i="26"/>
  <c r="AW37" i="26"/>
  <c r="AW38" i="26"/>
  <c r="AW39" i="26"/>
  <c r="AW40" i="26"/>
  <c r="AW41" i="26"/>
  <c r="AW42" i="26"/>
  <c r="AW43" i="26"/>
  <c r="AV36" i="26"/>
  <c r="AV37" i="26"/>
  <c r="AV38" i="26"/>
  <c r="AV39" i="26"/>
  <c r="AV40" i="26"/>
  <c r="AV41" i="26"/>
  <c r="AV42" i="26"/>
  <c r="AV43" i="26"/>
  <c r="AU36" i="26"/>
  <c r="AU37" i="26"/>
  <c r="AU38" i="26"/>
  <c r="AU39" i="26"/>
  <c r="AU40" i="26"/>
  <c r="AU41" i="26"/>
  <c r="AU42" i="26"/>
  <c r="AU43" i="26"/>
  <c r="B45" i="26"/>
  <c r="D10" i="26" a="1"/>
  <c r="D10" i="26" s="1"/>
  <c r="E63" i="32"/>
  <c r="A25" i="32"/>
  <c r="A24" i="32"/>
  <c r="A23" i="32"/>
  <c r="A22" i="32"/>
  <c r="A21" i="32"/>
  <c r="A20" i="32"/>
  <c r="A19" i="32"/>
  <c r="A18" i="32"/>
  <c r="A17" i="32"/>
  <c r="A16" i="32"/>
  <c r="A15" i="32"/>
  <c r="A10" i="32"/>
  <c r="D6" i="32"/>
  <c r="G2" i="31"/>
  <c r="A1" i="31"/>
  <c r="B6" i="31"/>
  <c r="B7" i="31"/>
  <c r="B8" i="31"/>
  <c r="F8" i="31" s="1"/>
  <c r="B9" i="31"/>
  <c r="D9" i="31" s="1"/>
  <c r="E9" i="31"/>
  <c r="B10" i="31"/>
  <c r="E10" i="31" s="1"/>
  <c r="B11" i="31"/>
  <c r="B12" i="31"/>
  <c r="B13" i="31"/>
  <c r="B14" i="31"/>
  <c r="B15" i="31"/>
  <c r="B16" i="31"/>
  <c r="F16" i="31" s="1"/>
  <c r="B17" i="31"/>
  <c r="E17" i="31" s="1"/>
  <c r="B18" i="31"/>
  <c r="B19" i="31"/>
  <c r="B20" i="31"/>
  <c r="AD20" i="31" s="1"/>
  <c r="B21" i="31"/>
  <c r="E21" i="31" s="1"/>
  <c r="B22" i="31"/>
  <c r="B23" i="31"/>
  <c r="B24" i="31"/>
  <c r="F24" i="31"/>
  <c r="B25" i="31"/>
  <c r="E25" i="31"/>
  <c r="B26" i="31"/>
  <c r="AF26" i="31" s="1"/>
  <c r="E26" i="31"/>
  <c r="B27" i="31"/>
  <c r="AF27" i="31" s="1"/>
  <c r="B28" i="31"/>
  <c r="J28" i="31"/>
  <c r="B29" i="31"/>
  <c r="V29" i="31" s="1"/>
  <c r="B30" i="31"/>
  <c r="X30" i="31" s="1"/>
  <c r="I30" i="31"/>
  <c r="B31" i="31"/>
  <c r="G31" i="31" s="1"/>
  <c r="B32" i="31"/>
  <c r="F32" i="31"/>
  <c r="B33" i="31"/>
  <c r="AE33" i="31" s="1"/>
  <c r="E33" i="31"/>
  <c r="B34" i="31"/>
  <c r="I34" i="31"/>
  <c r="B5" i="31"/>
  <c r="F5" i="31" s="1"/>
  <c r="G36" i="26"/>
  <c r="G37" i="26"/>
  <c r="G38" i="26"/>
  <c r="G39" i="26"/>
  <c r="G40" i="26"/>
  <c r="G41" i="26"/>
  <c r="G42" i="26"/>
  <c r="G43" i="26"/>
  <c r="G44" i="26"/>
  <c r="E36" i="26"/>
  <c r="E37" i="26"/>
  <c r="E38" i="26"/>
  <c r="E39" i="26"/>
  <c r="E40" i="26"/>
  <c r="E41" i="26"/>
  <c r="E42" i="26"/>
  <c r="E43" i="26"/>
  <c r="AL19" i="26"/>
  <c r="AL20" i="26"/>
  <c r="AL21" i="26"/>
  <c r="AL22" i="26"/>
  <c r="AL23" i="26"/>
  <c r="AL24" i="26"/>
  <c r="AL25" i="26"/>
  <c r="AL26" i="26"/>
  <c r="AL27" i="26"/>
  <c r="AL28" i="26"/>
  <c r="AL29" i="26"/>
  <c r="AL30" i="26"/>
  <c r="AL31" i="26"/>
  <c r="AL32" i="26"/>
  <c r="AL33" i="26"/>
  <c r="AL34" i="26"/>
  <c r="AL35" i="26"/>
  <c r="AL36" i="26"/>
  <c r="AL37" i="26"/>
  <c r="AL38" i="26"/>
  <c r="AL39" i="26"/>
  <c r="AL40" i="26"/>
  <c r="AL41" i="26"/>
  <c r="AL42" i="26"/>
  <c r="AL43" i="26"/>
  <c r="AK26" i="26"/>
  <c r="AK27" i="26"/>
  <c r="AK28" i="26"/>
  <c r="AK29" i="26"/>
  <c r="AK30" i="26"/>
  <c r="AK31" i="26"/>
  <c r="AK32" i="26"/>
  <c r="AK33" i="26"/>
  <c r="AK34" i="26"/>
  <c r="AK35" i="26"/>
  <c r="AK36" i="26"/>
  <c r="AK37" i="26"/>
  <c r="AK38" i="26"/>
  <c r="AK39" i="26"/>
  <c r="AK40" i="26"/>
  <c r="AK41" i="26"/>
  <c r="AK42" i="26"/>
  <c r="AK43" i="26"/>
  <c r="AJ26" i="26"/>
  <c r="AJ27" i="26"/>
  <c r="AJ28" i="26"/>
  <c r="AJ29" i="26"/>
  <c r="AJ30" i="26"/>
  <c r="AJ31" i="26"/>
  <c r="AJ32" i="26"/>
  <c r="AJ33" i="26"/>
  <c r="AJ34" i="26"/>
  <c r="AJ35" i="26"/>
  <c r="AJ36" i="26"/>
  <c r="AJ37" i="26"/>
  <c r="AJ38" i="26"/>
  <c r="AJ39" i="26"/>
  <c r="AJ40" i="26"/>
  <c r="AJ41" i="26"/>
  <c r="AJ42" i="26"/>
  <c r="AJ43" i="26"/>
  <c r="AI26" i="26"/>
  <c r="AI27" i="26"/>
  <c r="AI28" i="26"/>
  <c r="AI29" i="26"/>
  <c r="AI30" i="26"/>
  <c r="AI31" i="26"/>
  <c r="AI32" i="26"/>
  <c r="AI33" i="26"/>
  <c r="AI34" i="26"/>
  <c r="AI35" i="26"/>
  <c r="AI36" i="26"/>
  <c r="AI37" i="26"/>
  <c r="AI38" i="26"/>
  <c r="AI39" i="26"/>
  <c r="AI40" i="26"/>
  <c r="AI41" i="26"/>
  <c r="AI42" i="26"/>
  <c r="AI43" i="26"/>
  <c r="AG26" i="26"/>
  <c r="AG27" i="26"/>
  <c r="AG28" i="26"/>
  <c r="AG29" i="26"/>
  <c r="AG30" i="26"/>
  <c r="AG31" i="26"/>
  <c r="AG32" i="26"/>
  <c r="AG33" i="26"/>
  <c r="AG34" i="26"/>
  <c r="AG35" i="26"/>
  <c r="AG36" i="26"/>
  <c r="AG37" i="26"/>
  <c r="AG38" i="26"/>
  <c r="AG39" i="26"/>
  <c r="AG40" i="26"/>
  <c r="AG41" i="26"/>
  <c r="AG42" i="26"/>
  <c r="AG43" i="26"/>
  <c r="AK16" i="26"/>
  <c r="AK17" i="26"/>
  <c r="AK18" i="26"/>
  <c r="AK19" i="26"/>
  <c r="AK20" i="26"/>
  <c r="AK21" i="26"/>
  <c r="AK22" i="26"/>
  <c r="AK23" i="26"/>
  <c r="AK24" i="26"/>
  <c r="AK25" i="26"/>
  <c r="AG16" i="26"/>
  <c r="AG17" i="26"/>
  <c r="AG18" i="26"/>
  <c r="AG19" i="26"/>
  <c r="AG20" i="26"/>
  <c r="AG21" i="26"/>
  <c r="AG22" i="26"/>
  <c r="AG23" i="26"/>
  <c r="AG24" i="26"/>
  <c r="AG25" i="26"/>
  <c r="AJ16" i="26"/>
  <c r="AJ17" i="26"/>
  <c r="AJ18" i="26"/>
  <c r="AJ19" i="26"/>
  <c r="AJ20" i="26"/>
  <c r="AJ21" i="26"/>
  <c r="AJ22" i="26"/>
  <c r="AJ23" i="26"/>
  <c r="AJ24" i="26"/>
  <c r="AJ25" i="26"/>
  <c r="U36" i="26"/>
  <c r="U37" i="26"/>
  <c r="U38" i="26"/>
  <c r="U39" i="26"/>
  <c r="U40" i="26"/>
  <c r="U41" i="26"/>
  <c r="U42" i="26"/>
  <c r="U43" i="26"/>
  <c r="M33" i="26"/>
  <c r="M34" i="26"/>
  <c r="M35" i="26"/>
  <c r="M36" i="26"/>
  <c r="M37" i="26"/>
  <c r="M38" i="26"/>
  <c r="M39" i="26"/>
  <c r="M40" i="26"/>
  <c r="M41" i="26"/>
  <c r="M42" i="26"/>
  <c r="M43" i="26"/>
  <c r="AI25" i="26"/>
  <c r="AI24" i="26"/>
  <c r="AI23" i="26"/>
  <c r="AI22" i="26"/>
  <c r="AI21" i="26"/>
  <c r="AI20" i="26"/>
  <c r="AI19" i="26"/>
  <c r="L34" i="31"/>
  <c r="P34" i="31"/>
  <c r="R34" i="31"/>
  <c r="AE34" i="31"/>
  <c r="AE26" i="31"/>
  <c r="AE18" i="31"/>
  <c r="AE25" i="31"/>
  <c r="P28" i="31"/>
  <c r="AE32" i="31"/>
  <c r="AE24" i="31"/>
  <c r="AE31" i="31"/>
  <c r="AE30" i="31"/>
  <c r="AE29" i="31"/>
  <c r="AE28" i="31"/>
  <c r="BP4" i="26"/>
  <c r="M32" i="31"/>
  <c r="N31" i="31"/>
  <c r="P30" i="31"/>
  <c r="R28" i="31"/>
  <c r="R32" i="31"/>
  <c r="P33" i="31"/>
  <c r="R31" i="31"/>
  <c r="P32" i="31"/>
  <c r="R30" i="31"/>
  <c r="P31" i="31"/>
  <c r="L28" i="31"/>
  <c r="M34" i="31"/>
  <c r="N32" i="31"/>
  <c r="L32" i="31"/>
  <c r="M30" i="31"/>
  <c r="N28" i="31"/>
  <c r="L31" i="31"/>
  <c r="M29" i="31"/>
  <c r="M31" i="31"/>
  <c r="M28" i="31"/>
  <c r="N34" i="31"/>
  <c r="AC34" i="31"/>
  <c r="AF34" i="31"/>
  <c r="W34" i="31"/>
  <c r="AF25" i="31"/>
  <c r="AD34" i="31"/>
  <c r="Z28" i="31"/>
  <c r="Z30" i="31"/>
  <c r="AF28" i="31"/>
  <c r="AF17" i="31"/>
  <c r="AD28" i="31"/>
  <c r="AC33" i="31"/>
  <c r="V34" i="31"/>
  <c r="W28" i="31"/>
  <c r="Z34" i="31"/>
  <c r="AD26" i="31"/>
  <c r="AF30" i="31"/>
  <c r="AD25" i="31"/>
  <c r="AF29" i="31"/>
  <c r="T32" i="31"/>
  <c r="AB32" i="31"/>
  <c r="AB31" i="31"/>
  <c r="V32" i="31"/>
  <c r="AB30" i="31"/>
  <c r="AC32" i="31"/>
  <c r="AG31" i="31"/>
  <c r="V31" i="31"/>
  <c r="T30" i="31"/>
  <c r="T28" i="31"/>
  <c r="V30" i="31"/>
  <c r="W32" i="31"/>
  <c r="AB28" i="31"/>
  <c r="AD32" i="31"/>
  <c r="AD24" i="31"/>
  <c r="AG29" i="31"/>
  <c r="W31" i="31"/>
  <c r="AD31" i="31"/>
  <c r="AG28" i="31"/>
  <c r="T31" i="31"/>
  <c r="AG32" i="31"/>
  <c r="T34" i="31"/>
  <c r="V28" i="31"/>
  <c r="W30" i="31"/>
  <c r="Z32" i="31"/>
  <c r="AB34" i="31"/>
  <c r="AC28" i="31"/>
  <c r="AD30" i="31"/>
  <c r="AF32" i="31"/>
  <c r="AF24" i="31"/>
  <c r="AC31" i="31"/>
  <c r="AG30" i="31"/>
  <c r="BP5" i="26"/>
  <c r="T33" i="31"/>
  <c r="Z31" i="31"/>
  <c r="AD29" i="31"/>
  <c r="AF31" i="31"/>
  <c r="AG34" i="31"/>
  <c r="K32" i="31"/>
  <c r="K31" i="31"/>
  <c r="F15" i="31"/>
  <c r="U32" i="31"/>
  <c r="E24" i="31"/>
  <c r="AA32" i="31"/>
  <c r="O32" i="31"/>
  <c r="D24" i="31"/>
  <c r="O31" i="31"/>
  <c r="D8" i="31"/>
  <c r="E8" i="31"/>
  <c r="O30" i="31"/>
  <c r="X34" i="31"/>
  <c r="AA31" i="31"/>
  <c r="D7" i="31"/>
  <c r="E7" i="31"/>
  <c r="AA30" i="31"/>
  <c r="D6" i="31"/>
  <c r="E6" i="31"/>
  <c r="G6" i="31" s="1"/>
  <c r="J32" i="31"/>
  <c r="X32" i="31"/>
  <c r="U34" i="31"/>
  <c r="G30" i="31"/>
  <c r="K34" i="31"/>
  <c r="X31" i="31"/>
  <c r="F19" i="31"/>
  <c r="D32" i="31"/>
  <c r="D16" i="31"/>
  <c r="J31" i="31"/>
  <c r="K30" i="31"/>
  <c r="O28" i="31"/>
  <c r="Q34" i="31"/>
  <c r="U31" i="31"/>
  <c r="D31" i="31"/>
  <c r="D15" i="31"/>
  <c r="E32" i="31"/>
  <c r="E16" i="31"/>
  <c r="F31" i="31"/>
  <c r="F11" i="31"/>
  <c r="I29" i="31"/>
  <c r="K29" i="31"/>
  <c r="X29" i="31"/>
  <c r="U30" i="31"/>
  <c r="AA28" i="31"/>
  <c r="D30" i="31"/>
  <c r="D14" i="31"/>
  <c r="E31" i="31"/>
  <c r="E15" i="31"/>
  <c r="G15" i="31" s="1"/>
  <c r="F29" i="31"/>
  <c r="F7" i="31"/>
  <c r="I27" i="31"/>
  <c r="K28" i="31"/>
  <c r="O34" i="31"/>
  <c r="Q32" i="31"/>
  <c r="X28" i="31"/>
  <c r="Q28" i="31"/>
  <c r="D29" i="31"/>
  <c r="E30" i="31"/>
  <c r="E14" i="31"/>
  <c r="Q31" i="31"/>
  <c r="U28" i="31"/>
  <c r="AA34" i="31"/>
  <c r="C34" i="31"/>
  <c r="F30" i="31"/>
  <c r="F22" i="31"/>
  <c r="F14" i="31"/>
  <c r="F6" i="31"/>
  <c r="I28" i="31"/>
  <c r="J34" i="31"/>
  <c r="G28" i="31"/>
  <c r="J33" i="31"/>
  <c r="F28" i="31"/>
  <c r="F12" i="31"/>
  <c r="D12" i="31"/>
  <c r="D11" i="31"/>
  <c r="E11" i="31"/>
  <c r="F34" i="31"/>
  <c r="F26" i="31"/>
  <c r="F18" i="31"/>
  <c r="G33" i="31"/>
  <c r="I32" i="31"/>
  <c r="J30" i="31"/>
  <c r="E12" i="31"/>
  <c r="G34" i="31"/>
  <c r="D34" i="31"/>
  <c r="D26" i="31"/>
  <c r="G26" i="31"/>
  <c r="D18" i="31"/>
  <c r="E34" i="31"/>
  <c r="E18" i="31"/>
  <c r="F25" i="31"/>
  <c r="F17" i="31"/>
  <c r="G32" i="31"/>
  <c r="I31" i="31"/>
  <c r="D28" i="31"/>
  <c r="E28" i="31"/>
  <c r="D33" i="31"/>
  <c r="D25" i="31"/>
  <c r="G25" i="31"/>
  <c r="D17" i="31"/>
  <c r="BP3" i="26"/>
  <c r="G24" i="31"/>
  <c r="BI26" i="26"/>
  <c r="BO16" i="26"/>
  <c r="AD7" i="31" s="1"/>
  <c r="BO17" i="26"/>
  <c r="AD8" i="31" s="1"/>
  <c r="BO18" i="26"/>
  <c r="BO14" i="26"/>
  <c r="BO19" i="26"/>
  <c r="BO20" i="26"/>
  <c r="AD11" i="31" s="1"/>
  <c r="BO21" i="26"/>
  <c r="AD12" i="31" s="1"/>
  <c r="BO22" i="26"/>
  <c r="BO15" i="26"/>
  <c r="AD6" i="31" s="1"/>
  <c r="BO23" i="26"/>
  <c r="AD14" i="31" s="1"/>
  <c r="BO24" i="26"/>
  <c r="AD15" i="31" s="1"/>
  <c r="BO25" i="26"/>
  <c r="AD16" i="31" s="1"/>
  <c r="BI20" i="26"/>
  <c r="BI14" i="26"/>
  <c r="BI16" i="26"/>
  <c r="G16" i="31"/>
  <c r="AS36" i="26"/>
  <c r="AS37" i="26"/>
  <c r="AS38" i="26"/>
  <c r="AS39" i="26"/>
  <c r="AS40" i="26"/>
  <c r="AS41" i="26"/>
  <c r="AS42" i="26"/>
  <c r="AS43" i="26"/>
  <c r="AX36" i="26"/>
  <c r="AX37" i="26"/>
  <c r="AX38" i="26"/>
  <c r="AX39" i="26"/>
  <c r="AX40" i="26"/>
  <c r="AX41" i="26"/>
  <c r="AX42" i="26"/>
  <c r="AX43" i="26"/>
  <c r="AR36" i="26"/>
  <c r="AR37" i="26"/>
  <c r="AR38" i="26"/>
  <c r="AR39" i="26"/>
  <c r="AR40" i="26"/>
  <c r="AR41" i="26"/>
  <c r="AR42" i="26"/>
  <c r="AR43" i="26"/>
  <c r="AQ36" i="26"/>
  <c r="AQ37" i="26"/>
  <c r="AQ38" i="26"/>
  <c r="AQ39" i="26"/>
  <c r="AQ40" i="26"/>
  <c r="AQ41" i="26"/>
  <c r="AQ42" i="26"/>
  <c r="AQ43" i="26"/>
  <c r="AO36" i="26"/>
  <c r="AO37" i="26"/>
  <c r="AO38" i="26"/>
  <c r="AO39" i="26"/>
  <c r="AO40" i="26"/>
  <c r="AO41" i="26"/>
  <c r="AO42" i="26"/>
  <c r="AO43" i="26"/>
  <c r="AL15" i="26"/>
  <c r="AL16" i="26"/>
  <c r="AL17" i="26"/>
  <c r="AL18" i="26"/>
  <c r="AL14" i="26"/>
  <c r="AK15" i="26"/>
  <c r="AK14" i="26"/>
  <c r="AJ15" i="26"/>
  <c r="AJ14" i="26"/>
  <c r="AI15" i="26"/>
  <c r="AI16" i="26"/>
  <c r="AI17" i="26"/>
  <c r="AI18" i="26"/>
  <c r="AI14" i="26"/>
  <c r="AG15" i="26"/>
  <c r="AG14" i="26"/>
  <c r="D88" i="30"/>
  <c r="D85" i="30"/>
  <c r="D84" i="30"/>
  <c r="D65" i="30"/>
  <c r="D43" i="30"/>
  <c r="C11" i="9"/>
  <c r="A3" i="32"/>
  <c r="A139" i="9"/>
  <c r="H22" i="24"/>
  <c r="L16" i="24"/>
  <c r="C192" i="9"/>
  <c r="B149" i="9"/>
  <c r="B148" i="9"/>
  <c r="B158" i="9"/>
  <c r="C25" i="9"/>
  <c r="C15" i="9"/>
  <c r="C13" i="9"/>
  <c r="G47" i="17"/>
  <c r="A180" i="9"/>
  <c r="H46" i="24"/>
  <c r="L40" i="24"/>
  <c r="H34" i="24"/>
  <c r="L30" i="24"/>
  <c r="AN16" i="26"/>
  <c r="AP16" i="26" s="1"/>
  <c r="O7" i="31" s="1"/>
  <c r="AN24" i="26"/>
  <c r="AP24" i="26" s="1"/>
  <c r="O15" i="31" s="1"/>
  <c r="AN32" i="26"/>
  <c r="AP32" i="26" s="1"/>
  <c r="AN17" i="26"/>
  <c r="AP17" i="26" s="1"/>
  <c r="O8" i="31" s="1"/>
  <c r="AN25" i="26"/>
  <c r="AP25" i="26" s="1"/>
  <c r="O16" i="31" s="1"/>
  <c r="AN33" i="26"/>
  <c r="AN14" i="26"/>
  <c r="AP14" i="26" s="1"/>
  <c r="AN30" i="26"/>
  <c r="AP30" i="26" s="1"/>
  <c r="AN18" i="26"/>
  <c r="AP18" i="26"/>
  <c r="AN26" i="26"/>
  <c r="AP26" i="26" s="1"/>
  <c r="O17" i="31" s="1"/>
  <c r="AN34" i="26"/>
  <c r="AN19" i="26"/>
  <c r="AP19" i="26" s="1"/>
  <c r="AN27" i="26"/>
  <c r="AP27" i="26" s="1"/>
  <c r="O18" i="31" s="1"/>
  <c r="AN35" i="26"/>
  <c r="AN20" i="26"/>
  <c r="AP20" i="26" s="1"/>
  <c r="O11" i="31" s="1"/>
  <c r="AN15" i="26"/>
  <c r="AP15" i="26"/>
  <c r="O6" i="31" s="1"/>
  <c r="AN28" i="26"/>
  <c r="AP28" i="26" s="1"/>
  <c r="O19" i="31" s="1"/>
  <c r="AN22" i="26"/>
  <c r="AP22" i="26" s="1"/>
  <c r="AN31" i="26"/>
  <c r="AN21" i="26"/>
  <c r="AP21" i="26"/>
  <c r="O12" i="31" s="1"/>
  <c r="AN29" i="26"/>
  <c r="AP29" i="26" s="1"/>
  <c r="AN23" i="26"/>
  <c r="AP23" i="26"/>
  <c r="O14" i="31" s="1"/>
  <c r="B59" i="9"/>
  <c r="C26" i="9"/>
  <c r="L15" i="24"/>
  <c r="L20" i="24"/>
  <c r="L19" i="24"/>
  <c r="L18" i="24"/>
  <c r="L17" i="24"/>
  <c r="G33" i="17"/>
  <c r="L29" i="24"/>
  <c r="L28" i="24"/>
  <c r="L39" i="24"/>
  <c r="L44" i="24"/>
  <c r="L27" i="24"/>
  <c r="L43" i="24"/>
  <c r="L32" i="24"/>
  <c r="L42" i="24"/>
  <c r="L31" i="24"/>
  <c r="L41" i="24"/>
  <c r="A128" i="9"/>
  <c r="B24" i="8"/>
  <c r="A24" i="8"/>
  <c r="A4" i="8"/>
  <c r="B100" i="9"/>
  <c r="B101" i="9"/>
  <c r="A117" i="9"/>
  <c r="C9" i="32"/>
  <c r="D9" i="32"/>
  <c r="A120" i="9"/>
  <c r="C120" i="9"/>
  <c r="C10" i="8" s="1"/>
  <c r="D10" i="8" s="1"/>
  <c r="A126" i="9"/>
  <c r="A127" i="9"/>
  <c r="C128" i="9"/>
  <c r="C130" i="9"/>
  <c r="C131" i="9"/>
  <c r="A136" i="9"/>
  <c r="A137" i="9"/>
  <c r="A138" i="9"/>
  <c r="B141" i="9"/>
  <c r="B142" i="9"/>
  <c r="B150" i="9"/>
  <c r="B151" i="9"/>
  <c r="A176" i="9"/>
  <c r="A177" i="9"/>
  <c r="A178" i="9"/>
  <c r="A179" i="9"/>
  <c r="B182" i="9"/>
  <c r="B183" i="9"/>
  <c r="A2" i="9"/>
  <c r="A50" i="22"/>
  <c r="A71" i="9"/>
  <c r="D3" i="26"/>
  <c r="D4" i="26"/>
  <c r="I4" i="26" s="1"/>
  <c r="D5" i="26"/>
  <c r="I6" i="26"/>
  <c r="D8" i="26" s="1"/>
  <c r="A92" i="9"/>
  <c r="A91" i="9"/>
  <c r="C91" i="9"/>
  <c r="A45" i="17"/>
  <c r="A31" i="17"/>
  <c r="A39" i="17"/>
  <c r="A25" i="22"/>
  <c r="A16" i="22"/>
  <c r="A17" i="22"/>
  <c r="A18" i="22"/>
  <c r="A19" i="22"/>
  <c r="A20" i="22"/>
  <c r="A21" i="22"/>
  <c r="A22" i="22"/>
  <c r="A23" i="22"/>
  <c r="A24" i="22"/>
  <c r="C21" i="8"/>
  <c r="C22" i="8"/>
  <c r="C23" i="8"/>
  <c r="A15" i="8"/>
  <c r="A16" i="8"/>
  <c r="A17" i="8"/>
  <c r="A18" i="8"/>
  <c r="A19" i="8"/>
  <c r="A20" i="8"/>
  <c r="A21" i="8"/>
  <c r="A22" i="8"/>
  <c r="A23" i="8"/>
  <c r="A29" i="8"/>
  <c r="A30" i="8"/>
  <c r="A31" i="8"/>
  <c r="A32" i="8"/>
  <c r="A33" i="8"/>
  <c r="A34" i="8"/>
  <c r="A35" i="8"/>
  <c r="C29" i="8"/>
  <c r="C30" i="8"/>
  <c r="C31" i="8"/>
  <c r="C32" i="8"/>
  <c r="C33" i="8"/>
  <c r="D33" i="8" s="1"/>
  <c r="C34" i="8"/>
  <c r="C35" i="8"/>
  <c r="C36" i="22" s="1"/>
  <c r="D36" i="22" s="1"/>
  <c r="C7" i="9"/>
  <c r="G25" i="17"/>
  <c r="D23" i="8"/>
  <c r="C24" i="32"/>
  <c r="D24" i="32"/>
  <c r="A35" i="22"/>
  <c r="A35" i="32"/>
  <c r="A34" i="22"/>
  <c r="A34" i="32"/>
  <c r="C22" i="22"/>
  <c r="D22" i="22"/>
  <c r="C22" i="32"/>
  <c r="D22" i="32" s="1"/>
  <c r="A33" i="22"/>
  <c r="A33" i="32"/>
  <c r="C33" i="22"/>
  <c r="C33" i="32"/>
  <c r="D33" i="32"/>
  <c r="C32" i="22"/>
  <c r="C32" i="32"/>
  <c r="D32" i="32"/>
  <c r="A31" i="22"/>
  <c r="A31" i="32"/>
  <c r="A36" i="22"/>
  <c r="A36" i="32"/>
  <c r="C36" i="32"/>
  <c r="D36" i="32" s="1"/>
  <c r="D22" i="8"/>
  <c r="C23" i="32"/>
  <c r="D23" i="32"/>
  <c r="B25" i="22"/>
  <c r="B25" i="32"/>
  <c r="C35" i="22"/>
  <c r="C35" i="32"/>
  <c r="D35" i="32"/>
  <c r="A32" i="22"/>
  <c r="A32" i="32"/>
  <c r="C31" i="22"/>
  <c r="C31" i="32"/>
  <c r="D31" i="32"/>
  <c r="A30" i="22"/>
  <c r="A30" i="32"/>
  <c r="C30" i="22"/>
  <c r="C30" i="32"/>
  <c r="D30" i="32"/>
  <c r="I5" i="26"/>
  <c r="L22" i="24"/>
  <c r="B12" i="9"/>
  <c r="D42" i="30"/>
  <c r="L34" i="24"/>
  <c r="B14" i="9"/>
  <c r="L46" i="24"/>
  <c r="A115" i="9"/>
  <c r="A1" i="32"/>
  <c r="D21" i="8"/>
  <c r="C23" i="22"/>
  <c r="D23" i="22"/>
  <c r="C24" i="22"/>
  <c r="D24" i="22"/>
  <c r="C87" i="9"/>
  <c r="C129" i="9" s="1"/>
  <c r="G10" i="17"/>
  <c r="A10" i="17"/>
  <c r="A25" i="17"/>
  <c r="B152" i="9"/>
  <c r="B180" i="9"/>
  <c r="B28" i="27"/>
  <c r="D64" i="30"/>
  <c r="B16" i="9"/>
  <c r="M14" i="26"/>
  <c r="E14" i="26" s="1"/>
  <c r="C27" i="9"/>
  <c r="BA34" i="26"/>
  <c r="BA35" i="26"/>
  <c r="BA31" i="26"/>
  <c r="BA32" i="26"/>
  <c r="BA33" i="26"/>
  <c r="BA30" i="26"/>
  <c r="BA26" i="26"/>
  <c r="BA27" i="26"/>
  <c r="BA28" i="26"/>
  <c r="BA29" i="26"/>
  <c r="BA19" i="26"/>
  <c r="BA24" i="26"/>
  <c r="BA17" i="26"/>
  <c r="BA20" i="26"/>
  <c r="BA14" i="26"/>
  <c r="BA16" i="26"/>
  <c r="BA18" i="26"/>
  <c r="BA21" i="26"/>
  <c r="BA15" i="26"/>
  <c r="BA22" i="26"/>
  <c r="BA23" i="26"/>
  <c r="BA25" i="26"/>
  <c r="D41" i="30"/>
  <c r="D87" i="30"/>
  <c r="B109" i="9"/>
  <c r="B98" i="9"/>
  <c r="G53" i="17"/>
  <c r="C8" i="9"/>
  <c r="G39" i="17"/>
  <c r="D5" i="27"/>
  <c r="A1" i="27"/>
  <c r="B159" i="9"/>
  <c r="A35" i="17" s="1"/>
  <c r="A74" i="30"/>
  <c r="A49" i="17"/>
  <c r="C20" i="8"/>
  <c r="C21" i="32" s="1"/>
  <c r="D21" i="32" s="1"/>
  <c r="C127" i="9"/>
  <c r="A50" i="30"/>
  <c r="A3" i="27"/>
  <c r="C72" i="9"/>
  <c r="J6" i="17"/>
  <c r="C19" i="30"/>
  <c r="D62" i="30"/>
  <c r="D61" i="30"/>
  <c r="I7" i="26"/>
  <c r="C121" i="9"/>
  <c r="G6" i="17"/>
  <c r="C73" i="9"/>
  <c r="C20" i="30" s="1"/>
  <c r="B132" i="9"/>
  <c r="B36" i="9"/>
  <c r="A43" i="9"/>
  <c r="A3" i="8"/>
  <c r="A6" i="17"/>
  <c r="D30" i="22"/>
  <c r="A9" i="8"/>
  <c r="A8" i="8"/>
  <c r="B37" i="9"/>
  <c r="A8" i="22"/>
  <c r="A8" i="32"/>
  <c r="A9" i="22"/>
  <c r="A9" i="32"/>
  <c r="C9" i="8"/>
  <c r="D9" i="8" s="1"/>
  <c r="C9" i="22"/>
  <c r="D9" i="22"/>
  <c r="C45" i="26"/>
  <c r="D9" i="26" s="1"/>
  <c r="G19" i="17"/>
  <c r="M11" i="26"/>
  <c r="B191" i="9"/>
  <c r="C14" i="8"/>
  <c r="C15" i="32" s="1"/>
  <c r="D15" i="32" s="1"/>
  <c r="C28" i="8"/>
  <c r="D31" i="22"/>
  <c r="D29" i="8"/>
  <c r="D33" i="22"/>
  <c r="A28" i="8"/>
  <c r="A15" i="22"/>
  <c r="A10" i="22"/>
  <c r="D6" i="22"/>
  <c r="A14" i="8"/>
  <c r="D6" i="8"/>
  <c r="A10" i="8"/>
  <c r="B45" i="9"/>
  <c r="B44" i="9"/>
  <c r="B42" i="9"/>
  <c r="B38" i="9"/>
  <c r="E34" i="26"/>
  <c r="E33" i="26"/>
  <c r="E35" i="26"/>
  <c r="A29" i="22"/>
  <c r="A29" i="32"/>
  <c r="G35" i="26"/>
  <c r="G34" i="26"/>
  <c r="G33" i="26"/>
  <c r="A27" i="30"/>
  <c r="A3" i="22"/>
  <c r="A5" i="8"/>
  <c r="A2" i="17"/>
  <c r="D31" i="8"/>
  <c r="D35" i="22"/>
  <c r="D30" i="8"/>
  <c r="D32" i="22"/>
  <c r="D32" i="8"/>
  <c r="D35" i="8"/>
  <c r="D40" i="30"/>
  <c r="D39" i="30"/>
  <c r="D45" i="30"/>
  <c r="F33" i="26"/>
  <c r="F35" i="26"/>
  <c r="F34" i="26"/>
  <c r="U35" i="26"/>
  <c r="AQ35" i="26"/>
  <c r="U34" i="26"/>
  <c r="AQ34" i="26"/>
  <c r="N24" i="31"/>
  <c r="U33" i="26"/>
  <c r="AQ33" i="26"/>
  <c r="AS35" i="26"/>
  <c r="AV33" i="26"/>
  <c r="I26" i="31"/>
  <c r="J26" i="31"/>
  <c r="AR35" i="26"/>
  <c r="I25" i="31"/>
  <c r="J25" i="31"/>
  <c r="AR34" i="26"/>
  <c r="K25" i="31"/>
  <c r="AS34" i="26"/>
  <c r="I24" i="31"/>
  <c r="J24" i="31"/>
  <c r="AR33" i="26"/>
  <c r="K24" i="31"/>
  <c r="AS33" i="26"/>
  <c r="AU34" i="26"/>
  <c r="M25" i="31"/>
  <c r="K26" i="31"/>
  <c r="AV35" i="26"/>
  <c r="N26" i="31"/>
  <c r="AU33" i="26"/>
  <c r="M24" i="31"/>
  <c r="AV34" i="26"/>
  <c r="N25" i="31"/>
  <c r="AU35" i="26"/>
  <c r="M26" i="31"/>
  <c r="Q26" i="31"/>
  <c r="AX35" i="26"/>
  <c r="Q25" i="31"/>
  <c r="AX34" i="26"/>
  <c r="Q24" i="31"/>
  <c r="AX33" i="26"/>
  <c r="AO35" i="26"/>
  <c r="AP35" i="26"/>
  <c r="O26" i="31"/>
  <c r="A21" i="17"/>
  <c r="AO33" i="26"/>
  <c r="AP33" i="26"/>
  <c r="O24" i="31"/>
  <c r="AO34" i="26"/>
  <c r="AP34" i="26"/>
  <c r="O25" i="31"/>
  <c r="AP31" i="26"/>
  <c r="AW34" i="26"/>
  <c r="P25" i="31"/>
  <c r="AW35" i="26"/>
  <c r="P26" i="31"/>
  <c r="AT34" i="26"/>
  <c r="L25" i="31"/>
  <c r="AT33" i="26"/>
  <c r="L24" i="31"/>
  <c r="AT35" i="26"/>
  <c r="L26" i="31"/>
  <c r="AW33" i="26"/>
  <c r="P24" i="31"/>
  <c r="AY35" i="26"/>
  <c r="AY34" i="26"/>
  <c r="AY33" i="26"/>
  <c r="R25" i="31"/>
  <c r="R26" i="31"/>
  <c r="R24" i="31"/>
  <c r="A17" i="17"/>
  <c r="A49" i="22"/>
  <c r="A42" i="22"/>
  <c r="A44" i="22"/>
  <c r="A43" i="22"/>
  <c r="A1" i="22"/>
  <c r="C6" i="17"/>
  <c r="C102" i="9"/>
  <c r="C45" i="22"/>
  <c r="D45" i="22"/>
  <c r="C139" i="9"/>
  <c r="C152" i="9"/>
  <c r="C180" i="9"/>
  <c r="C28" i="27"/>
  <c r="D28" i="27"/>
  <c r="C45" i="32"/>
  <c r="D45" i="32"/>
  <c r="C80" i="30"/>
  <c r="C81" i="30"/>
  <c r="D86" i="30"/>
  <c r="D90" i="30"/>
  <c r="BP16" i="26"/>
  <c r="AE7" i="31" s="1"/>
  <c r="BQ16" i="26"/>
  <c r="AF7" i="31" s="1"/>
  <c r="BP17" i="26"/>
  <c r="AE8" i="31" s="1"/>
  <c r="BQ17" i="26"/>
  <c r="AF8" i="31" s="1"/>
  <c r="BP18" i="26"/>
  <c r="BQ18" i="26"/>
  <c r="BP19" i="26"/>
  <c r="BQ19" i="26"/>
  <c r="BP20" i="26"/>
  <c r="AE11" i="31" s="1"/>
  <c r="BQ20" i="26"/>
  <c r="BP21" i="26"/>
  <c r="AE12" i="31" s="1"/>
  <c r="BQ21" i="26"/>
  <c r="AF12" i="31" s="1"/>
  <c r="BP22" i="26"/>
  <c r="AE13" i="31" s="1"/>
  <c r="BQ22" i="26"/>
  <c r="AF13" i="31" s="1"/>
  <c r="BP23" i="26"/>
  <c r="AE14" i="31" s="1"/>
  <c r="BQ23" i="26"/>
  <c r="AF14" i="31" s="1"/>
  <c r="BP24" i="26"/>
  <c r="AE15" i="31" s="1"/>
  <c r="BQ24" i="26"/>
  <c r="AF15" i="31" s="1"/>
  <c r="BP25" i="26"/>
  <c r="AE16" i="31" s="1"/>
  <c r="BQ25" i="26"/>
  <c r="AF16" i="31" s="1"/>
  <c r="BP14" i="26"/>
  <c r="BQ14" i="26"/>
  <c r="BP15" i="26"/>
  <c r="AE6" i="31" s="1"/>
  <c r="BQ15" i="26"/>
  <c r="AF6" i="31" s="1"/>
  <c r="F27" i="9"/>
  <c r="G27" i="9"/>
  <c r="C49" i="17"/>
  <c r="C53" i="17"/>
  <c r="E27" i="9"/>
  <c r="H53" i="17"/>
  <c r="H55" i="17"/>
  <c r="H27" i="9"/>
  <c r="D27" i="9"/>
  <c r="C87" i="30"/>
  <c r="C52" i="27"/>
  <c r="D52" i="27"/>
  <c r="X26" i="31"/>
  <c r="U26" i="31"/>
  <c r="T26" i="31"/>
  <c r="BD35" i="26"/>
  <c r="X25" i="31"/>
  <c r="U25" i="31"/>
  <c r="T25" i="31"/>
  <c r="BD34" i="26"/>
  <c r="AC25" i="31"/>
  <c r="BN34" i="26"/>
  <c r="W24" i="31"/>
  <c r="BF33" i="26"/>
  <c r="BD33" i="26"/>
  <c r="T24" i="31"/>
  <c r="U24" i="31"/>
  <c r="X24" i="31"/>
  <c r="AC26" i="31"/>
  <c r="BN35" i="26"/>
  <c r="BB33" i="26"/>
  <c r="BC33" i="26"/>
  <c r="V24" i="31"/>
  <c r="BL35" i="26"/>
  <c r="Z26" i="31"/>
  <c r="AA26" i="31"/>
  <c r="AG26" i="31"/>
  <c r="BJ34" i="26"/>
  <c r="BK34" i="26"/>
  <c r="AB25" i="31"/>
  <c r="BL34" i="26"/>
  <c r="Z25" i="31"/>
  <c r="AA25" i="31"/>
  <c r="AG25" i="31"/>
  <c r="W26" i="31"/>
  <c r="BF35" i="26"/>
  <c r="BG35" i="26"/>
  <c r="AB24" i="31"/>
  <c r="BK33" i="26"/>
  <c r="BJ33" i="26"/>
  <c r="BG34" i="26"/>
  <c r="BB34" i="26"/>
  <c r="BC34" i="26"/>
  <c r="V25" i="31"/>
  <c r="BR35" i="26"/>
  <c r="AC24" i="31"/>
  <c r="BN33" i="26"/>
  <c r="BF34" i="26"/>
  <c r="W25" i="31"/>
  <c r="BB35" i="26"/>
  <c r="BC35" i="26"/>
  <c r="V26" i="31"/>
  <c r="BL33" i="26"/>
  <c r="Z24" i="31"/>
  <c r="AA24" i="31"/>
  <c r="AG24" i="31"/>
  <c r="BE35" i="26"/>
  <c r="BM35" i="26"/>
  <c r="BJ35" i="26"/>
  <c r="BK35" i="26"/>
  <c r="AB26" i="31"/>
  <c r="BM33" i="26"/>
  <c r="BR33" i="26"/>
  <c r="BE34" i="26"/>
  <c r="BM34" i="26"/>
  <c r="BR34" i="26"/>
  <c r="BE33" i="26"/>
  <c r="BG33" i="26"/>
  <c r="C59" i="9"/>
  <c r="C18" i="30" s="1"/>
  <c r="B65" i="9"/>
  <c r="C65" i="9"/>
  <c r="C36" i="30"/>
  <c r="C37" i="8" l="1"/>
  <c r="C21" i="22"/>
  <c r="D21" i="22" s="1"/>
  <c r="D20" i="8"/>
  <c r="AO25" i="26"/>
  <c r="BI23" i="26"/>
  <c r="BI30" i="26"/>
  <c r="BI22" i="26"/>
  <c r="BI29" i="26"/>
  <c r="BI17" i="26"/>
  <c r="BI28" i="26"/>
  <c r="BI27" i="26"/>
  <c r="BI19" i="26"/>
  <c r="BI18" i="26"/>
  <c r="BI25" i="26"/>
  <c r="BI24" i="26"/>
  <c r="BI21" i="26"/>
  <c r="E27" i="31"/>
  <c r="F27" i="31"/>
  <c r="O27" i="31"/>
  <c r="G27" i="31"/>
  <c r="V27" i="31"/>
  <c r="T27" i="31"/>
  <c r="Z29" i="31"/>
  <c r="Z27" i="31"/>
  <c r="N29" i="31"/>
  <c r="L27" i="31"/>
  <c r="R33" i="31"/>
  <c r="N37" i="26"/>
  <c r="AD33" i="31"/>
  <c r="L33" i="31"/>
  <c r="AE27" i="31"/>
  <c r="D27" i="31"/>
  <c r="O29" i="31"/>
  <c r="Q30" i="31"/>
  <c r="AC30" i="31"/>
  <c r="L30" i="31"/>
  <c r="M27" i="31"/>
  <c r="P27" i="31"/>
  <c r="I33" i="31"/>
  <c r="J27" i="31"/>
  <c r="AB29" i="31"/>
  <c r="AF33" i="31"/>
  <c r="AG33" i="31"/>
  <c r="L29" i="31"/>
  <c r="P29" i="31"/>
  <c r="E29" i="31"/>
  <c r="Q27" i="31"/>
  <c r="K33" i="31"/>
  <c r="AG27" i="31"/>
  <c r="AD27" i="31"/>
  <c r="N27" i="31"/>
  <c r="R29" i="31"/>
  <c r="N30" i="31"/>
  <c r="AA27" i="31"/>
  <c r="R27" i="31"/>
  <c r="F33" i="31"/>
  <c r="X27" i="31"/>
  <c r="U29" i="31"/>
  <c r="Q29" i="31"/>
  <c r="AA33" i="31"/>
  <c r="AC27" i="31"/>
  <c r="AC29" i="31"/>
  <c r="W33" i="31"/>
  <c r="N33" i="31"/>
  <c r="AA29" i="31"/>
  <c r="U33" i="31"/>
  <c r="X33" i="31"/>
  <c r="U27" i="31"/>
  <c r="AB33" i="31"/>
  <c r="AB27" i="31"/>
  <c r="T29" i="31"/>
  <c r="Z33" i="31"/>
  <c r="M33" i="31"/>
  <c r="J29" i="31"/>
  <c r="O33" i="31"/>
  <c r="W27" i="31"/>
  <c r="G29" i="31"/>
  <c r="K27" i="31"/>
  <c r="Q33" i="31"/>
  <c r="W29" i="31"/>
  <c r="V33" i="31"/>
  <c r="C23" i="30"/>
  <c r="B23" i="30" s="1"/>
  <c r="C34" i="32"/>
  <c r="D34" i="32" s="1"/>
  <c r="C34" i="22"/>
  <c r="D34" i="22" s="1"/>
  <c r="C29" i="32"/>
  <c r="C38" i="32" s="1"/>
  <c r="AO26" i="26"/>
  <c r="AO24" i="26"/>
  <c r="AO31" i="26"/>
  <c r="G12" i="31"/>
  <c r="N19" i="26"/>
  <c r="G19" i="26" s="1"/>
  <c r="I3" i="26"/>
  <c r="N32" i="26"/>
  <c r="G32" i="26" s="1"/>
  <c r="C15" i="22"/>
  <c r="D15" i="22" s="1"/>
  <c r="AO15" i="26"/>
  <c r="D14" i="8"/>
  <c r="C29" i="22"/>
  <c r="D28" i="8"/>
  <c r="D37" i="8" s="1"/>
  <c r="C10" i="22"/>
  <c r="D10" i="22" s="1"/>
  <c r="C10" i="32"/>
  <c r="D10" i="32" s="1"/>
  <c r="D7" i="26"/>
  <c r="AO30" i="26"/>
  <c r="AO21" i="26"/>
  <c r="AO27" i="26"/>
  <c r="C10" i="17"/>
  <c r="AO23" i="26"/>
  <c r="AO22" i="26"/>
  <c r="AO17" i="26"/>
  <c r="AO29" i="26"/>
  <c r="AO28" i="26"/>
  <c r="AO32" i="26"/>
  <c r="AO18" i="26"/>
  <c r="D63" i="30"/>
  <c r="D68" i="30" s="1"/>
  <c r="AF19" i="31"/>
  <c r="C24" i="8"/>
  <c r="C25" i="32" s="1"/>
  <c r="D25" i="32" s="1"/>
  <c r="AF22" i="31"/>
  <c r="G18" i="31"/>
  <c r="G8" i="31"/>
  <c r="N38" i="26"/>
  <c r="N20" i="26"/>
  <c r="G20" i="26" s="1"/>
  <c r="N30" i="26"/>
  <c r="G30" i="26" s="1"/>
  <c r="AO14" i="26"/>
  <c r="G7" i="31"/>
  <c r="G14" i="26"/>
  <c r="AO20" i="26"/>
  <c r="C132" i="9"/>
  <c r="M9" i="26"/>
  <c r="AO16" i="26"/>
  <c r="O22" i="31"/>
  <c r="G9" i="31"/>
  <c r="AD17" i="31"/>
  <c r="E22" i="31"/>
  <c r="D22" i="31"/>
  <c r="AE22" i="31"/>
  <c r="AF10" i="31"/>
  <c r="F10" i="31"/>
  <c r="AD10" i="31"/>
  <c r="D10" i="31"/>
  <c r="G10" i="31" s="1"/>
  <c r="AD22" i="31"/>
  <c r="AE10" i="31"/>
  <c r="O10" i="31"/>
  <c r="G14" i="31"/>
  <c r="AE5" i="31"/>
  <c r="AF9" i="31"/>
  <c r="O9" i="31"/>
  <c r="AF21" i="31"/>
  <c r="O21" i="31"/>
  <c r="E5" i="31"/>
  <c r="F21" i="31"/>
  <c r="O5" i="31"/>
  <c r="F9" i="31"/>
  <c r="AD21" i="31"/>
  <c r="D5" i="31"/>
  <c r="AE21" i="31"/>
  <c r="AD5" i="31"/>
  <c r="D21" i="31"/>
  <c r="G21" i="31" s="1"/>
  <c r="AD9" i="31"/>
  <c r="AF5" i="31"/>
  <c r="AE9" i="31"/>
  <c r="AE20" i="31"/>
  <c r="O20" i="31"/>
  <c r="F20" i="31"/>
  <c r="D20" i="31"/>
  <c r="AF20" i="31"/>
  <c r="BP45" i="26"/>
  <c r="C161" i="9" s="1"/>
  <c r="D39" i="17" s="1"/>
  <c r="BQ45" i="26"/>
  <c r="C166" i="9" s="1"/>
  <c r="D35" i="17" s="1"/>
  <c r="E20" i="31"/>
  <c r="G17" i="31"/>
  <c r="AF11" i="31"/>
  <c r="E13" i="31"/>
  <c r="O13" i="31"/>
  <c r="F13" i="31"/>
  <c r="D13" i="31"/>
  <c r="AD13" i="31"/>
  <c r="AD23" i="31"/>
  <c r="E23" i="31"/>
  <c r="O23" i="31"/>
  <c r="F23" i="31"/>
  <c r="AE23" i="31"/>
  <c r="AF23" i="31"/>
  <c r="D23" i="31"/>
  <c r="E23" i="26"/>
  <c r="M45" i="26"/>
  <c r="O23" i="26" s="1"/>
  <c r="G26" i="26"/>
  <c r="AP45" i="26"/>
  <c r="N43" i="26"/>
  <c r="E21" i="26"/>
  <c r="N25" i="26"/>
  <c r="G25" i="26" s="1"/>
  <c r="N39" i="26"/>
  <c r="N16" i="26"/>
  <c r="N23" i="26"/>
  <c r="N36" i="26"/>
  <c r="N35" i="26"/>
  <c r="N17" i="26"/>
  <c r="N28" i="26"/>
  <c r="G28" i="26" s="1"/>
  <c r="N40" i="26"/>
  <c r="N15" i="26"/>
  <c r="G11" i="31"/>
  <c r="N21" i="26"/>
  <c r="E29" i="26"/>
  <c r="E22" i="26"/>
  <c r="N26" i="26"/>
  <c r="C10" i="9"/>
  <c r="N42" i="26"/>
  <c r="N18" i="26"/>
  <c r="E27" i="26"/>
  <c r="N31" i="26"/>
  <c r="N14" i="26"/>
  <c r="N41" i="26"/>
  <c r="E19" i="31"/>
  <c r="AE19" i="31"/>
  <c r="N24" i="26"/>
  <c r="G24" i="26" s="1"/>
  <c r="AD19" i="31"/>
  <c r="N29" i="26"/>
  <c r="N33" i="26"/>
  <c r="N22" i="26"/>
  <c r="N27" i="26"/>
  <c r="G27" i="26" s="1"/>
  <c r="N34" i="26"/>
  <c r="D19" i="31"/>
  <c r="D29" i="32" l="1"/>
  <c r="D38" i="32" s="1"/>
  <c r="O22" i="26"/>
  <c r="O26" i="26"/>
  <c r="C38" i="22"/>
  <c r="D29" i="22"/>
  <c r="D38" i="22" s="1"/>
  <c r="C25" i="22"/>
  <c r="D25" i="22" s="1"/>
  <c r="D24" i="8"/>
  <c r="G22" i="31"/>
  <c r="O27" i="26"/>
  <c r="O28" i="26"/>
  <c r="AO45" i="26"/>
  <c r="AN45" i="26" s="1"/>
  <c r="O32" i="26"/>
  <c r="G23" i="31"/>
  <c r="O21" i="26"/>
  <c r="G19" i="31"/>
  <c r="G5" i="31"/>
  <c r="G13" i="31"/>
  <c r="C42" i="27"/>
  <c r="D42" i="27" s="1"/>
  <c r="C187" i="9"/>
  <c r="AE36" i="31"/>
  <c r="G20" i="31"/>
  <c r="O36" i="31"/>
  <c r="G16" i="26"/>
  <c r="G29" i="26"/>
  <c r="G22" i="26"/>
  <c r="G23" i="26"/>
  <c r="O29" i="26"/>
  <c r="O16" i="26"/>
  <c r="O24" i="26"/>
  <c r="O17" i="26"/>
  <c r="O31" i="26"/>
  <c r="O20" i="26"/>
  <c r="O18" i="26"/>
  <c r="O19" i="26"/>
  <c r="O15" i="26"/>
  <c r="O14" i="26"/>
  <c r="O30" i="26"/>
  <c r="D2" i="26"/>
  <c r="O25" i="26"/>
  <c r="G18" i="26"/>
  <c r="G21" i="26"/>
  <c r="AF36" i="31"/>
  <c r="G15" i="26"/>
  <c r="G17" i="26"/>
  <c r="N45" i="26"/>
  <c r="E36" i="31"/>
  <c r="G31" i="26"/>
  <c r="C53" i="27" l="1"/>
  <c r="D53" i="27" s="1"/>
  <c r="C63" i="32"/>
  <c r="C74" i="32" s="1"/>
  <c r="D74" i="32" s="1"/>
  <c r="G36" i="31"/>
  <c r="P15" i="26"/>
  <c r="P14" i="26"/>
  <c r="O38" i="26"/>
  <c r="C36" i="9"/>
  <c r="O43" i="26"/>
  <c r="I2" i="26"/>
  <c r="P24" i="26"/>
  <c r="P18" i="26"/>
  <c r="F18" i="26" s="1"/>
  <c r="P33" i="26"/>
  <c r="Q33" i="26" s="1"/>
  <c r="R33" i="26" s="1"/>
  <c r="P40" i="26"/>
  <c r="P31" i="26"/>
  <c r="F31" i="26" s="1"/>
  <c r="P37" i="26"/>
  <c r="P26" i="26"/>
  <c r="P16" i="26"/>
  <c r="F16" i="26" s="1"/>
  <c r="P39" i="26"/>
  <c r="O37" i="26"/>
  <c r="Q37" i="26" s="1"/>
  <c r="R37" i="26" s="1"/>
  <c r="O36" i="26"/>
  <c r="P36" i="26"/>
  <c r="P19" i="26"/>
  <c r="F19" i="26" s="1"/>
  <c r="P35" i="26"/>
  <c r="Q35" i="26" s="1"/>
  <c r="R35" i="26" s="1"/>
  <c r="O39" i="26"/>
  <c r="O40" i="26"/>
  <c r="Q40" i="26" s="1"/>
  <c r="R40" i="26" s="1"/>
  <c r="P30" i="26"/>
  <c r="F30" i="26" s="1"/>
  <c r="P17" i="26"/>
  <c r="F17" i="26" s="1"/>
  <c r="P43" i="26"/>
  <c r="P34" i="26"/>
  <c r="Q34" i="26" s="1"/>
  <c r="R34" i="26" s="1"/>
  <c r="P25" i="26"/>
  <c r="P42" i="26"/>
  <c r="P41" i="26"/>
  <c r="O41" i="26"/>
  <c r="P32" i="26"/>
  <c r="P38" i="26"/>
  <c r="P20" i="26"/>
  <c r="F20" i="26" s="1"/>
  <c r="O42" i="26"/>
  <c r="P22" i="26"/>
  <c r="P21" i="26"/>
  <c r="P29" i="26"/>
  <c r="F29" i="26" s="1"/>
  <c r="P28" i="26"/>
  <c r="P27" i="26"/>
  <c r="P23" i="26"/>
  <c r="Q38" i="26" l="1"/>
  <c r="R38" i="26" s="1"/>
  <c r="Z38" i="26" s="1"/>
  <c r="C70" i="30"/>
  <c r="Q36" i="26"/>
  <c r="R36" i="26" s="1"/>
  <c r="T36" i="26" s="1"/>
  <c r="Q31" i="26"/>
  <c r="R31" i="26" s="1"/>
  <c r="AQ31" i="26" s="1"/>
  <c r="Q16" i="26"/>
  <c r="R16" i="26" s="1"/>
  <c r="AB16" i="26" s="1"/>
  <c r="Q17" i="26"/>
  <c r="R17" i="26" s="1"/>
  <c r="AQ17" i="26" s="1"/>
  <c r="Q18" i="26"/>
  <c r="R18" i="26" s="1"/>
  <c r="V18" i="26" s="1"/>
  <c r="Q30" i="26"/>
  <c r="R30" i="26" s="1"/>
  <c r="U30" i="26" s="1"/>
  <c r="F28" i="26"/>
  <c r="Q28" i="26"/>
  <c r="R28" i="26" s="1"/>
  <c r="V34" i="26"/>
  <c r="Z34" i="26"/>
  <c r="T34" i="26"/>
  <c r="AB34" i="26"/>
  <c r="P45" i="26"/>
  <c r="Q14" i="26"/>
  <c r="F14" i="26"/>
  <c r="F15" i="26"/>
  <c r="Q15" i="26"/>
  <c r="R15" i="26" s="1"/>
  <c r="F21" i="26"/>
  <c r="Q21" i="26"/>
  <c r="R21" i="26" s="1"/>
  <c r="Q26" i="26"/>
  <c r="R26" i="26" s="1"/>
  <c r="F26" i="26"/>
  <c r="Q22" i="26"/>
  <c r="R22" i="26" s="1"/>
  <c r="F22" i="26"/>
  <c r="Q42" i="26"/>
  <c r="R42" i="26" s="1"/>
  <c r="T40" i="26"/>
  <c r="V40" i="26"/>
  <c r="Z40" i="26"/>
  <c r="AB40" i="26"/>
  <c r="Q39" i="26"/>
  <c r="R39" i="26" s="1"/>
  <c r="AB33" i="26"/>
  <c r="T33" i="26"/>
  <c r="Z33" i="26"/>
  <c r="V33" i="26"/>
  <c r="Q19" i="26"/>
  <c r="R19" i="26" s="1"/>
  <c r="Z35" i="26"/>
  <c r="AB35" i="26"/>
  <c r="V35" i="26"/>
  <c r="T35" i="26"/>
  <c r="Q20" i="26"/>
  <c r="R20" i="26" s="1"/>
  <c r="F32" i="26"/>
  <c r="Q32" i="26"/>
  <c r="R32" i="26" s="1"/>
  <c r="Q24" i="26"/>
  <c r="R24" i="26" s="1"/>
  <c r="F24" i="26"/>
  <c r="O45" i="26"/>
  <c r="Q41" i="26"/>
  <c r="R41" i="26" s="1"/>
  <c r="Q43" i="26"/>
  <c r="R43" i="26" s="1"/>
  <c r="F23" i="26"/>
  <c r="Q23" i="26"/>
  <c r="R23" i="26" s="1"/>
  <c r="V37" i="26"/>
  <c r="Z37" i="26"/>
  <c r="T37" i="26"/>
  <c r="AB37" i="26"/>
  <c r="C191" i="9"/>
  <c r="L36" i="9"/>
  <c r="C37" i="9"/>
  <c r="C90" i="9"/>
  <c r="C94" i="9" s="1"/>
  <c r="Q29" i="26"/>
  <c r="R29" i="26" s="1"/>
  <c r="F27" i="26"/>
  <c r="Q27" i="26"/>
  <c r="R27" i="26" s="1"/>
  <c r="Q25" i="26"/>
  <c r="R25" i="26" s="1"/>
  <c r="F25" i="26"/>
  <c r="V38" i="26" l="1"/>
  <c r="AB38" i="26"/>
  <c r="T38" i="26"/>
  <c r="T31" i="26"/>
  <c r="AB36" i="26"/>
  <c r="Z36" i="26"/>
  <c r="X37" i="26"/>
  <c r="V36" i="26"/>
  <c r="X36" i="26" s="1"/>
  <c r="Z17" i="26"/>
  <c r="M8" i="31" s="1"/>
  <c r="AB17" i="26"/>
  <c r="AV17" i="26" s="1"/>
  <c r="T17" i="26"/>
  <c r="AS17" i="26" s="1"/>
  <c r="AQ30" i="26"/>
  <c r="I21" i="31" s="1"/>
  <c r="J21" i="31" s="1"/>
  <c r="T16" i="26"/>
  <c r="AS16" i="26" s="1"/>
  <c r="U16" i="26"/>
  <c r="V31" i="26"/>
  <c r="V16" i="26"/>
  <c r="AB18" i="26"/>
  <c r="N9" i="31" s="1"/>
  <c r="U31" i="26"/>
  <c r="Z16" i="26"/>
  <c r="AU16" i="26" s="1"/>
  <c r="V30" i="26"/>
  <c r="Z30" i="26"/>
  <c r="AU30" i="26" s="1"/>
  <c r="AQ18" i="26"/>
  <c r="I9" i="31" s="1"/>
  <c r="J9" i="31" s="1"/>
  <c r="Z31" i="26"/>
  <c r="AU31" i="26" s="1"/>
  <c r="U17" i="26"/>
  <c r="AQ16" i="26"/>
  <c r="AR16" i="26" s="1"/>
  <c r="T18" i="26"/>
  <c r="AB31" i="26"/>
  <c r="AV31" i="26" s="1"/>
  <c r="V17" i="26"/>
  <c r="U18" i="26"/>
  <c r="AB30" i="26"/>
  <c r="AV30" i="26" s="1"/>
  <c r="Z18" i="26"/>
  <c r="M9" i="31" s="1"/>
  <c r="T30" i="26"/>
  <c r="X35" i="26"/>
  <c r="AQ27" i="26"/>
  <c r="AB27" i="26"/>
  <c r="Z27" i="26"/>
  <c r="V27" i="26"/>
  <c r="U27" i="26"/>
  <c r="T27" i="26"/>
  <c r="AB15" i="26"/>
  <c r="T15" i="26"/>
  <c r="Z15" i="26"/>
  <c r="V15" i="26"/>
  <c r="U15" i="26"/>
  <c r="AQ15" i="26"/>
  <c r="AV16" i="26"/>
  <c r="N7" i="31"/>
  <c r="Z23" i="26"/>
  <c r="V23" i="26"/>
  <c r="U23" i="26"/>
  <c r="T23" i="26"/>
  <c r="AQ23" i="26"/>
  <c r="AB23" i="26"/>
  <c r="AB32" i="26"/>
  <c r="Z32" i="26"/>
  <c r="V32" i="26"/>
  <c r="AQ32" i="26"/>
  <c r="U32" i="26"/>
  <c r="T32" i="26"/>
  <c r="AH9" i="26" s="1"/>
  <c r="AB29" i="26"/>
  <c r="AQ29" i="26"/>
  <c r="Z29" i="26"/>
  <c r="V29" i="26"/>
  <c r="U29" i="26"/>
  <c r="T29" i="26"/>
  <c r="AQ20" i="26"/>
  <c r="Z20" i="26"/>
  <c r="AB20" i="26"/>
  <c r="V20" i="26"/>
  <c r="T20" i="26"/>
  <c r="U20" i="26"/>
  <c r="V21" i="26"/>
  <c r="U21" i="26"/>
  <c r="T21" i="26"/>
  <c r="AQ21" i="26"/>
  <c r="AB21" i="26"/>
  <c r="Z21" i="26"/>
  <c r="V39" i="26"/>
  <c r="Z39" i="26"/>
  <c r="AB39" i="26"/>
  <c r="T39" i="26"/>
  <c r="V41" i="26"/>
  <c r="Z41" i="26"/>
  <c r="AB41" i="26"/>
  <c r="T41" i="26"/>
  <c r="Q45" i="26"/>
  <c r="R14" i="26"/>
  <c r="V28" i="26"/>
  <c r="U28" i="26"/>
  <c r="T28" i="26"/>
  <c r="Z28" i="26"/>
  <c r="AQ28" i="26"/>
  <c r="AB28" i="26"/>
  <c r="AB25" i="26"/>
  <c r="Z25" i="26"/>
  <c r="V25" i="26"/>
  <c r="U25" i="26"/>
  <c r="T25" i="26"/>
  <c r="AQ25" i="26"/>
  <c r="C39" i="9"/>
  <c r="C117" i="9" s="1"/>
  <c r="C38" i="9"/>
  <c r="X40" i="26"/>
  <c r="AR17" i="26"/>
  <c r="I8" i="31"/>
  <c r="J8" i="31" s="1"/>
  <c r="C133" i="9"/>
  <c r="C30" i="30"/>
  <c r="A94" i="9"/>
  <c r="C11" i="22"/>
  <c r="C11" i="32"/>
  <c r="Z42" i="26"/>
  <c r="AB42" i="26"/>
  <c r="V42" i="26"/>
  <c r="T42" i="26"/>
  <c r="V43" i="26"/>
  <c r="T43" i="26"/>
  <c r="Z43" i="26"/>
  <c r="AB43" i="26"/>
  <c r="U26" i="26"/>
  <c r="T26" i="26"/>
  <c r="AQ26" i="26"/>
  <c r="AB26" i="26"/>
  <c r="Z26" i="26"/>
  <c r="V26" i="26"/>
  <c r="X33" i="26"/>
  <c r="AB24" i="26"/>
  <c r="Z24" i="26"/>
  <c r="V24" i="26"/>
  <c r="AQ24" i="26"/>
  <c r="T24" i="26"/>
  <c r="U24" i="26"/>
  <c r="I22" i="31"/>
  <c r="J22" i="31" s="1"/>
  <c r="AR31" i="26"/>
  <c r="X34" i="26"/>
  <c r="Z19" i="26"/>
  <c r="AQ19" i="26"/>
  <c r="AB19" i="26"/>
  <c r="T19" i="26"/>
  <c r="U19" i="26"/>
  <c r="V19" i="26"/>
  <c r="AQ22" i="26"/>
  <c r="AB22" i="26"/>
  <c r="Z22" i="26"/>
  <c r="V22" i="26"/>
  <c r="U22" i="26"/>
  <c r="T22" i="26"/>
  <c r="AH7" i="26" l="1"/>
  <c r="AH6" i="26"/>
  <c r="AH3" i="26"/>
  <c r="X18" i="26"/>
  <c r="Q9" i="31" s="1"/>
  <c r="AH5" i="26"/>
  <c r="AS31" i="26"/>
  <c r="AH8" i="26"/>
  <c r="K8" i="31"/>
  <c r="X38" i="26"/>
  <c r="N8" i="31"/>
  <c r="AV18" i="26"/>
  <c r="X31" i="26"/>
  <c r="AX31" i="26" s="1"/>
  <c r="K22" i="31"/>
  <c r="N22" i="31"/>
  <c r="AR18" i="26"/>
  <c r="M21" i="31"/>
  <c r="AU17" i="26"/>
  <c r="I7" i="31"/>
  <c r="J7" i="31" s="1"/>
  <c r="AS18" i="26"/>
  <c r="K9" i="31"/>
  <c r="X43" i="26"/>
  <c r="X30" i="26"/>
  <c r="Q21" i="31" s="1"/>
  <c r="M22" i="31"/>
  <c r="N21" i="31"/>
  <c r="X17" i="26"/>
  <c r="Q8" i="31" s="1"/>
  <c r="AR30" i="26"/>
  <c r="AU18" i="26"/>
  <c r="K7" i="31"/>
  <c r="X16" i="26"/>
  <c r="AX16" i="26" s="1"/>
  <c r="AS30" i="26"/>
  <c r="K21" i="31"/>
  <c r="M7" i="31"/>
  <c r="X41" i="26"/>
  <c r="X42" i="26"/>
  <c r="AV25" i="26"/>
  <c r="N16" i="31"/>
  <c r="AU29" i="26"/>
  <c r="M20" i="31"/>
  <c r="N19" i="31"/>
  <c r="AV28" i="26"/>
  <c r="AU21" i="26"/>
  <c r="M12" i="31"/>
  <c r="N20" i="31"/>
  <c r="AV29" i="26"/>
  <c r="AV15" i="26"/>
  <c r="N6" i="31"/>
  <c r="AV19" i="26"/>
  <c r="N10" i="31"/>
  <c r="C45" i="9"/>
  <c r="C46" i="9" s="1"/>
  <c r="C40" i="9"/>
  <c r="K11" i="31"/>
  <c r="AS20" i="26"/>
  <c r="X20" i="26"/>
  <c r="AV23" i="26"/>
  <c r="N14" i="31"/>
  <c r="AU22" i="26"/>
  <c r="M13" i="31"/>
  <c r="I15" i="31"/>
  <c r="J15" i="31" s="1"/>
  <c r="AR24" i="26"/>
  <c r="I20" i="31"/>
  <c r="J20" i="31" s="1"/>
  <c r="AR29" i="26"/>
  <c r="X15" i="26"/>
  <c r="K6" i="31"/>
  <c r="AS15" i="26"/>
  <c r="AR19" i="26"/>
  <c r="I10" i="31"/>
  <c r="J10" i="31" s="1"/>
  <c r="AV24" i="26"/>
  <c r="N15" i="31"/>
  <c r="AS22" i="26"/>
  <c r="X22" i="26"/>
  <c r="K13" i="31"/>
  <c r="D11" i="22"/>
  <c r="C68" i="22"/>
  <c r="C172" i="9"/>
  <c r="C8" i="32"/>
  <c r="C8" i="8"/>
  <c r="C8" i="22"/>
  <c r="AU28" i="26"/>
  <c r="M19" i="31"/>
  <c r="AV21" i="26"/>
  <c r="N12" i="31"/>
  <c r="AS32" i="26"/>
  <c r="X32" i="26"/>
  <c r="K23" i="31"/>
  <c r="AR23" i="26"/>
  <c r="I14" i="31"/>
  <c r="J14" i="31" s="1"/>
  <c r="X27" i="26"/>
  <c r="K18" i="31"/>
  <c r="AS27" i="26"/>
  <c r="AR26" i="26"/>
  <c r="I17" i="31"/>
  <c r="J17" i="31" s="1"/>
  <c r="M6" i="31"/>
  <c r="AU15" i="26"/>
  <c r="X19" i="26"/>
  <c r="K10" i="31"/>
  <c r="AS19" i="26"/>
  <c r="AU24" i="26"/>
  <c r="M15" i="31"/>
  <c r="C71" i="32"/>
  <c r="D71" i="32" s="1"/>
  <c r="D11" i="32"/>
  <c r="M10" i="31"/>
  <c r="AU19" i="26"/>
  <c r="A11" i="32"/>
  <c r="A133" i="9"/>
  <c r="A11" i="22"/>
  <c r="X28" i="26"/>
  <c r="AS28" i="26"/>
  <c r="K19" i="31"/>
  <c r="AR21" i="26"/>
  <c r="I12" i="31"/>
  <c r="J12" i="31" s="1"/>
  <c r="AV20" i="26"/>
  <c r="N11" i="31"/>
  <c r="X23" i="26"/>
  <c r="AS23" i="26"/>
  <c r="K14" i="31"/>
  <c r="AU26" i="26"/>
  <c r="M17" i="31"/>
  <c r="I19" i="31"/>
  <c r="J19" i="31" s="1"/>
  <c r="AR28" i="26"/>
  <c r="AS21" i="26"/>
  <c r="K12" i="31"/>
  <c r="X21" i="26"/>
  <c r="AU20" i="26"/>
  <c r="M11" i="31"/>
  <c r="AR32" i="26"/>
  <c r="I23" i="31"/>
  <c r="J23" i="31" s="1"/>
  <c r="AR25" i="26"/>
  <c r="I16" i="31"/>
  <c r="J16" i="31" s="1"/>
  <c r="I11" i="31"/>
  <c r="J11" i="31" s="1"/>
  <c r="AR20" i="26"/>
  <c r="M18" i="31"/>
  <c r="AU27" i="26"/>
  <c r="AV22" i="26"/>
  <c r="N13" i="31"/>
  <c r="N17" i="31"/>
  <c r="AV26" i="26"/>
  <c r="X25" i="26"/>
  <c r="AS25" i="26"/>
  <c r="K16" i="31"/>
  <c r="V14" i="26"/>
  <c r="AB14" i="26"/>
  <c r="Z14" i="26"/>
  <c r="R45" i="26"/>
  <c r="T14" i="26"/>
  <c r="AH4" i="26" s="1"/>
  <c r="AQ14" i="26"/>
  <c r="U14" i="26"/>
  <c r="X39" i="26"/>
  <c r="K20" i="31"/>
  <c r="X29" i="26"/>
  <c r="AS29" i="26"/>
  <c r="AU32" i="26"/>
  <c r="M23" i="31"/>
  <c r="M14" i="31"/>
  <c r="AU23" i="26"/>
  <c r="AV27" i="26"/>
  <c r="N18" i="31"/>
  <c r="AR22" i="26"/>
  <c r="I13" i="31"/>
  <c r="J13" i="31" s="1"/>
  <c r="I18" i="31"/>
  <c r="J18" i="31" s="1"/>
  <c r="AR27" i="26"/>
  <c r="AV32" i="26"/>
  <c r="N23" i="31"/>
  <c r="I6" i="31"/>
  <c r="J6" i="31" s="1"/>
  <c r="AR15" i="26"/>
  <c r="K17" i="31"/>
  <c r="AS26" i="26"/>
  <c r="X26" i="26"/>
  <c r="AS24" i="26"/>
  <c r="X24" i="26"/>
  <c r="K15" i="31"/>
  <c r="AU25" i="26"/>
  <c r="M16" i="31"/>
  <c r="AX18" i="26" l="1"/>
  <c r="Q7" i="31"/>
  <c r="AX30" i="26"/>
  <c r="Q22" i="31"/>
  <c r="AX17" i="26"/>
  <c r="Q12" i="31"/>
  <c r="AX21" i="26"/>
  <c r="Q19" i="31"/>
  <c r="AX28" i="26"/>
  <c r="AX22" i="26"/>
  <c r="Q13" i="31"/>
  <c r="N5" i="31"/>
  <c r="N36" i="31" s="1"/>
  <c r="AB45" i="26"/>
  <c r="AV14" i="26"/>
  <c r="AV45" i="26" s="1"/>
  <c r="V45" i="26"/>
  <c r="AC14" i="26" s="1"/>
  <c r="D68" i="22"/>
  <c r="AX20" i="26"/>
  <c r="Q11" i="31"/>
  <c r="C53" i="9"/>
  <c r="C66" i="9"/>
  <c r="C193" i="9" s="1"/>
  <c r="C6" i="30"/>
  <c r="E10" i="17"/>
  <c r="Q20" i="31"/>
  <c r="AX29" i="26"/>
  <c r="Q17" i="31"/>
  <c r="AX26" i="26"/>
  <c r="AR14" i="26"/>
  <c r="I5" i="31"/>
  <c r="J5" i="31" s="1"/>
  <c r="AX25" i="26"/>
  <c r="Q16" i="31"/>
  <c r="Q15" i="31"/>
  <c r="AX24" i="26"/>
  <c r="AS14" i="26"/>
  <c r="AS45" i="26" s="1"/>
  <c r="K5" i="31"/>
  <c r="K36" i="31" s="1"/>
  <c r="T45" i="26"/>
  <c r="X14" i="26"/>
  <c r="Q14" i="31"/>
  <c r="AX23" i="26"/>
  <c r="AX27" i="26"/>
  <c r="Q18" i="31"/>
  <c r="AU14" i="26"/>
  <c r="AU45" i="26" s="1"/>
  <c r="M5" i="31"/>
  <c r="M36" i="31" s="1"/>
  <c r="Z45" i="26"/>
  <c r="C52" i="9" s="1"/>
  <c r="D8" i="22"/>
  <c r="D13" i="22" s="1"/>
  <c r="C13" i="22"/>
  <c r="D8" i="8"/>
  <c r="D12" i="8" s="1"/>
  <c r="C12" i="8"/>
  <c r="AX19" i="26"/>
  <c r="Q10" i="31"/>
  <c r="D8" i="32"/>
  <c r="D13" i="32" s="1"/>
  <c r="C13" i="32"/>
  <c r="AX32" i="26"/>
  <c r="Q23" i="31"/>
  <c r="C67" i="22"/>
  <c r="AX15" i="26"/>
  <c r="Q6" i="31"/>
  <c r="C54" i="9" l="1"/>
  <c r="C17" i="30" s="1"/>
  <c r="AD14" i="26"/>
  <c r="P5" i="31" s="1"/>
  <c r="H10" i="17"/>
  <c r="AC17" i="26"/>
  <c r="AD34" i="26"/>
  <c r="AD40" i="26"/>
  <c r="AD30" i="26"/>
  <c r="AD17" i="26"/>
  <c r="AC37" i="26"/>
  <c r="AC40" i="26"/>
  <c r="AC38" i="26"/>
  <c r="AC35" i="26"/>
  <c r="AD18" i="26"/>
  <c r="AC18" i="26"/>
  <c r="AD35" i="26"/>
  <c r="AC16" i="26"/>
  <c r="AD31" i="26"/>
  <c r="AD16" i="26"/>
  <c r="AC34" i="26"/>
  <c r="AC30" i="26"/>
  <c r="AD38" i="26"/>
  <c r="AC31" i="26"/>
  <c r="AC33" i="26"/>
  <c r="AD33" i="26"/>
  <c r="AC36" i="26"/>
  <c r="AD36" i="26"/>
  <c r="AD37" i="26"/>
  <c r="AC41" i="26"/>
  <c r="AC32" i="26"/>
  <c r="AC15" i="26"/>
  <c r="AD42" i="26"/>
  <c r="AC22" i="26"/>
  <c r="AC27" i="26"/>
  <c r="AC42" i="26"/>
  <c r="AC23" i="26"/>
  <c r="AD15" i="26"/>
  <c r="AC19" i="26"/>
  <c r="AD24" i="26"/>
  <c r="AD26" i="26"/>
  <c r="AD20" i="26"/>
  <c r="AC25" i="26"/>
  <c r="AD41" i="26"/>
  <c r="AD32" i="26"/>
  <c r="AC24" i="26"/>
  <c r="AC26" i="26"/>
  <c r="AD27" i="26"/>
  <c r="AD28" i="26"/>
  <c r="AC28" i="26"/>
  <c r="AD21" i="26"/>
  <c r="AC39" i="26"/>
  <c r="AC21" i="26"/>
  <c r="AD29" i="26"/>
  <c r="AD23" i="26"/>
  <c r="AD22" i="26"/>
  <c r="AD19" i="26"/>
  <c r="AC43" i="26"/>
  <c r="AD25" i="26"/>
  <c r="AC29" i="26"/>
  <c r="AD39" i="26"/>
  <c r="AD43" i="26"/>
  <c r="AC20" i="26"/>
  <c r="C124" i="9"/>
  <c r="C17" i="8"/>
  <c r="B52" i="9"/>
  <c r="D15" i="30" s="1"/>
  <c r="H6" i="17"/>
  <c r="C15" i="30"/>
  <c r="C34" i="30" s="1"/>
  <c r="C69" i="9"/>
  <c r="B69" i="9" s="1"/>
  <c r="AT14" i="26"/>
  <c r="L5" i="31"/>
  <c r="Q5" i="31"/>
  <c r="Q36" i="31" s="1"/>
  <c r="X45" i="26"/>
  <c r="AX14" i="26"/>
  <c r="AX45" i="26" s="1"/>
  <c r="C50" i="27"/>
  <c r="D67" i="22"/>
  <c r="C70" i="32"/>
  <c r="J36" i="31"/>
  <c r="B53" i="9"/>
  <c r="C125" i="9"/>
  <c r="C18" i="8"/>
  <c r="C70" i="9"/>
  <c r="B70" i="9" s="1"/>
  <c r="E6" i="17"/>
  <c r="C7" i="30"/>
  <c r="C67" i="9"/>
  <c r="B67" i="9" s="1"/>
  <c r="B50" i="9"/>
  <c r="C196" i="9" s="1"/>
  <c r="C15" i="8"/>
  <c r="C122" i="9"/>
  <c r="C16" i="30"/>
  <c r="AR45" i="26"/>
  <c r="C19" i="8" l="1"/>
  <c r="D19" i="8" s="1"/>
  <c r="C71" i="9"/>
  <c r="B71" i="9" s="1"/>
  <c r="C126" i="9"/>
  <c r="I6" i="17"/>
  <c r="B54" i="9"/>
  <c r="AW14" i="26"/>
  <c r="AY14" i="26" s="1"/>
  <c r="AZ14" i="26" s="1"/>
  <c r="R5" i="31"/>
  <c r="AW16" i="26"/>
  <c r="P7" i="31"/>
  <c r="B7" i="30"/>
  <c r="D7" i="30"/>
  <c r="AW22" i="26"/>
  <c r="P13" i="31"/>
  <c r="L6" i="31"/>
  <c r="AT15" i="26"/>
  <c r="D17" i="8"/>
  <c r="C18" i="32"/>
  <c r="D18" i="32" s="1"/>
  <c r="C18" i="22"/>
  <c r="D18" i="22" s="1"/>
  <c r="AC45" i="26"/>
  <c r="D29" i="9"/>
  <c r="E34" i="9"/>
  <c r="AT28" i="26"/>
  <c r="L19" i="31"/>
  <c r="P6" i="31"/>
  <c r="AW15" i="26"/>
  <c r="D18" i="8"/>
  <c r="C19" i="32"/>
  <c r="D19" i="32" s="1"/>
  <c r="C19" i="22"/>
  <c r="D19" i="22" s="1"/>
  <c r="AW28" i="26"/>
  <c r="P19" i="31"/>
  <c r="L14" i="31"/>
  <c r="AT23" i="26"/>
  <c r="AT16" i="26"/>
  <c r="L7" i="31"/>
  <c r="D70" i="32"/>
  <c r="AW20" i="26"/>
  <c r="P11" i="31"/>
  <c r="E67" i="22"/>
  <c r="C8" i="30"/>
  <c r="AT20" i="26"/>
  <c r="L11" i="31"/>
  <c r="AW21" i="26"/>
  <c r="P12" i="31"/>
  <c r="AW18" i="26"/>
  <c r="P9" i="31"/>
  <c r="P18" i="31"/>
  <c r="AW27" i="26"/>
  <c r="P20" i="31"/>
  <c r="AW29" i="26"/>
  <c r="P17" i="31"/>
  <c r="AW26" i="26"/>
  <c r="C13" i="30"/>
  <c r="AT19" i="26"/>
  <c r="L10" i="31"/>
  <c r="C35" i="30"/>
  <c r="D16" i="30"/>
  <c r="AD45" i="26"/>
  <c r="AT29" i="26"/>
  <c r="L20" i="31"/>
  <c r="AT31" i="26"/>
  <c r="L22" i="31"/>
  <c r="AW25" i="26"/>
  <c r="P16" i="31"/>
  <c r="L17" i="31"/>
  <c r="AT26" i="26"/>
  <c r="AT27" i="26"/>
  <c r="L18" i="31"/>
  <c r="D15" i="8"/>
  <c r="C16" i="32"/>
  <c r="C16" i="22"/>
  <c r="AT24" i="26"/>
  <c r="L15" i="31"/>
  <c r="AT22" i="26"/>
  <c r="L13" i="31"/>
  <c r="AT30" i="26"/>
  <c r="L21" i="31"/>
  <c r="P8" i="31"/>
  <c r="AW17" i="26"/>
  <c r="AW19" i="26"/>
  <c r="P10" i="31"/>
  <c r="AW32" i="26"/>
  <c r="P23" i="31"/>
  <c r="AW30" i="26"/>
  <c r="P21" i="31"/>
  <c r="P14" i="31"/>
  <c r="AW23" i="26"/>
  <c r="AT25" i="26"/>
  <c r="L16" i="31"/>
  <c r="AT32" i="26"/>
  <c r="L23" i="31"/>
  <c r="AW31" i="26"/>
  <c r="P22" i="31"/>
  <c r="AT17" i="26"/>
  <c r="L8" i="31"/>
  <c r="AT21" i="26"/>
  <c r="L12" i="31"/>
  <c r="D50" i="27"/>
  <c r="P15" i="31"/>
  <c r="AW24" i="26"/>
  <c r="L9" i="31"/>
  <c r="AT18" i="26"/>
  <c r="F10" i="17"/>
  <c r="R19" i="31" l="1"/>
  <c r="C20" i="22"/>
  <c r="D20" i="22" s="1"/>
  <c r="C20" i="32"/>
  <c r="D20" i="32" s="1"/>
  <c r="AY28" i="26"/>
  <c r="R8" i="31"/>
  <c r="R13" i="31"/>
  <c r="AY18" i="26"/>
  <c r="AY22" i="26"/>
  <c r="AW45" i="26"/>
  <c r="R9" i="31"/>
  <c r="AY25" i="26"/>
  <c r="AY30" i="26"/>
  <c r="AY17" i="26"/>
  <c r="P36" i="31"/>
  <c r="R6" i="31"/>
  <c r="AY26" i="26"/>
  <c r="R16" i="31"/>
  <c r="R21" i="31"/>
  <c r="R17" i="31"/>
  <c r="AY15" i="26"/>
  <c r="R10" i="31"/>
  <c r="AY16" i="26"/>
  <c r="E52" i="27"/>
  <c r="E50" i="27"/>
  <c r="AY19" i="26"/>
  <c r="R11" i="31"/>
  <c r="AY23" i="26"/>
  <c r="AY29" i="26"/>
  <c r="R18" i="31"/>
  <c r="R7" i="31"/>
  <c r="R12" i="31"/>
  <c r="AY20" i="26"/>
  <c r="R22" i="31"/>
  <c r="R20" i="31"/>
  <c r="R23" i="31"/>
  <c r="L36" i="31"/>
  <c r="R14" i="31"/>
  <c r="C16" i="8"/>
  <c r="E29" i="9"/>
  <c r="F6" i="17"/>
  <c r="B51" i="9"/>
  <c r="C14" i="30"/>
  <c r="C22" i="30" s="1"/>
  <c r="C68" i="9"/>
  <c r="B68" i="9" s="1"/>
  <c r="B111" i="9" s="1"/>
  <c r="C123" i="9"/>
  <c r="C75" i="9"/>
  <c r="E24" i="9" s="1"/>
  <c r="C61" i="9"/>
  <c r="AY21" i="26"/>
  <c r="R15" i="31"/>
  <c r="AT45" i="26"/>
  <c r="AY24" i="26"/>
  <c r="AY31" i="26"/>
  <c r="D16" i="22"/>
  <c r="D16" i="32"/>
  <c r="AY32" i="26"/>
  <c r="AY27" i="26"/>
  <c r="E70" i="32"/>
  <c r="E74" i="32"/>
  <c r="R36" i="31" l="1"/>
  <c r="C17" i="32"/>
  <c r="F29" i="9"/>
  <c r="C17" i="22"/>
  <c r="D16" i="8"/>
  <c r="D26" i="8" s="1"/>
  <c r="D39" i="8" s="1"/>
  <c r="D41" i="8" s="1"/>
  <c r="C26" i="8"/>
  <c r="I24" i="9"/>
  <c r="J24" i="9" s="1"/>
  <c r="C24" i="30"/>
  <c r="C29" i="30" s="1"/>
  <c r="H29" i="9"/>
  <c r="H12" i="17"/>
  <c r="H24" i="9" s="1"/>
  <c r="D24" i="9" s="1"/>
  <c r="C173" i="9"/>
  <c r="B162" i="9"/>
  <c r="E31" i="9"/>
  <c r="B21" i="17"/>
  <c r="C33" i="30"/>
  <c r="I29" i="9"/>
  <c r="B14" i="30"/>
  <c r="AY45" i="26"/>
  <c r="D14" i="30"/>
  <c r="B6" i="17"/>
  <c r="C39" i="8" l="1"/>
  <c r="C69" i="22" s="1"/>
  <c r="C41" i="8"/>
  <c r="D17" i="22"/>
  <c r="D27" i="22" s="1"/>
  <c r="D40" i="22" s="1"/>
  <c r="C27" i="22"/>
  <c r="C40" i="22" s="1"/>
  <c r="B35" i="17"/>
  <c r="C197" i="9"/>
  <c r="D17" i="32"/>
  <c r="D27" i="32" s="1"/>
  <c r="D40" i="32" s="1"/>
  <c r="C27" i="32"/>
  <c r="C40" i="32" s="1"/>
  <c r="D69" i="22" l="1"/>
  <c r="C72" i="32"/>
  <c r="E12" i="8"/>
  <c r="E37" i="8"/>
  <c r="E26" i="8"/>
  <c r="E39" i="8" l="1"/>
  <c r="E41" i="8" s="1"/>
  <c r="D72" i="32"/>
  <c r="E69" i="22"/>
  <c r="E72" i="32" l="1"/>
  <c r="D11" i="26" l="1"/>
  <c r="E11" i="26"/>
  <c r="BB14" i="26"/>
  <c r="BC14" i="26"/>
  <c r="BD14" i="26"/>
  <c r="BE14" i="26"/>
  <c r="BF14" i="26"/>
  <c r="BG14" i="26"/>
  <c r="BJ14" i="26"/>
  <c r="BK14" i="26"/>
  <c r="BL14" i="26"/>
  <c r="BM14" i="26"/>
  <c r="BN14" i="26"/>
  <c r="BR14" i="26"/>
  <c r="BS14" i="26"/>
  <c r="BB15" i="26"/>
  <c r="BC15" i="26"/>
  <c r="BD15" i="26"/>
  <c r="BE15" i="26"/>
  <c r="BF15" i="26"/>
  <c r="BG15" i="26"/>
  <c r="BJ15" i="26"/>
  <c r="BK15" i="26"/>
  <c r="BL15" i="26"/>
  <c r="BM15" i="26"/>
  <c r="BN15" i="26"/>
  <c r="BR15" i="26"/>
  <c r="BS15" i="26"/>
  <c r="BB16" i="26"/>
  <c r="BC16" i="26"/>
  <c r="BD16" i="26"/>
  <c r="BE16" i="26"/>
  <c r="BF16" i="26"/>
  <c r="BG16" i="26"/>
  <c r="BJ16" i="26"/>
  <c r="BK16" i="26"/>
  <c r="BL16" i="26"/>
  <c r="BM16" i="26"/>
  <c r="BN16" i="26"/>
  <c r="BR16" i="26"/>
  <c r="BB17" i="26"/>
  <c r="BC17" i="26"/>
  <c r="BD17" i="26"/>
  <c r="BE17" i="26"/>
  <c r="BF17" i="26"/>
  <c r="BG17" i="26"/>
  <c r="BJ17" i="26"/>
  <c r="BK17" i="26"/>
  <c r="BL17" i="26"/>
  <c r="BM17" i="26"/>
  <c r="BN17" i="26"/>
  <c r="BR17" i="26"/>
  <c r="BB18" i="26"/>
  <c r="BC18" i="26"/>
  <c r="BD18" i="26"/>
  <c r="BE18" i="26"/>
  <c r="BF18" i="26"/>
  <c r="BG18" i="26"/>
  <c r="BJ18" i="26"/>
  <c r="BK18" i="26"/>
  <c r="BL18" i="26"/>
  <c r="BM18" i="26"/>
  <c r="BN18" i="26"/>
  <c r="BR18" i="26"/>
  <c r="BB19" i="26"/>
  <c r="BC19" i="26"/>
  <c r="BD19" i="26"/>
  <c r="BE19" i="26"/>
  <c r="BF19" i="26"/>
  <c r="BG19" i="26"/>
  <c r="BJ19" i="26"/>
  <c r="BK19" i="26"/>
  <c r="BL19" i="26"/>
  <c r="BM19" i="26"/>
  <c r="BN19" i="26"/>
  <c r="BR19" i="26"/>
  <c r="BB20" i="26"/>
  <c r="BC20" i="26"/>
  <c r="BD20" i="26"/>
  <c r="BE20" i="26"/>
  <c r="BF20" i="26"/>
  <c r="BG20" i="26"/>
  <c r="BJ20" i="26"/>
  <c r="BK20" i="26"/>
  <c r="BL20" i="26"/>
  <c r="BM20" i="26"/>
  <c r="BN20" i="26"/>
  <c r="BR20" i="26"/>
  <c r="BB21" i="26"/>
  <c r="BC21" i="26"/>
  <c r="BD21" i="26"/>
  <c r="BE21" i="26"/>
  <c r="BF21" i="26"/>
  <c r="BG21" i="26"/>
  <c r="BJ21" i="26"/>
  <c r="BK21" i="26"/>
  <c r="BL21" i="26"/>
  <c r="BM21" i="26"/>
  <c r="BN21" i="26"/>
  <c r="BR21" i="26"/>
  <c r="BB22" i="26"/>
  <c r="BC22" i="26"/>
  <c r="BD22" i="26"/>
  <c r="BE22" i="26"/>
  <c r="BF22" i="26"/>
  <c r="BG22" i="26"/>
  <c r="BJ22" i="26"/>
  <c r="BK22" i="26"/>
  <c r="BL22" i="26"/>
  <c r="BM22" i="26"/>
  <c r="BN22" i="26"/>
  <c r="BR22" i="26"/>
  <c r="BB23" i="26"/>
  <c r="BC23" i="26"/>
  <c r="BD23" i="26"/>
  <c r="BE23" i="26"/>
  <c r="BF23" i="26"/>
  <c r="BG23" i="26"/>
  <c r="BJ23" i="26"/>
  <c r="BK23" i="26"/>
  <c r="BL23" i="26"/>
  <c r="BM23" i="26"/>
  <c r="BN23" i="26"/>
  <c r="BR23" i="26"/>
  <c r="BB24" i="26"/>
  <c r="BC24" i="26"/>
  <c r="BD24" i="26"/>
  <c r="BE24" i="26"/>
  <c r="BF24" i="26"/>
  <c r="BG24" i="26"/>
  <c r="BJ24" i="26"/>
  <c r="BK24" i="26"/>
  <c r="BL24" i="26"/>
  <c r="BM24" i="26"/>
  <c r="BN24" i="26"/>
  <c r="BR24" i="26"/>
  <c r="BB25" i="26"/>
  <c r="BC25" i="26"/>
  <c r="BD25" i="26"/>
  <c r="BE25" i="26"/>
  <c r="BF25" i="26"/>
  <c r="BG25" i="26"/>
  <c r="BJ25" i="26"/>
  <c r="BK25" i="26"/>
  <c r="BL25" i="26"/>
  <c r="BM25" i="26"/>
  <c r="BN25" i="26"/>
  <c r="BR25" i="26"/>
  <c r="BB26" i="26"/>
  <c r="BC26" i="26"/>
  <c r="BD26" i="26"/>
  <c r="BE26" i="26"/>
  <c r="BF26" i="26"/>
  <c r="BG26" i="26"/>
  <c r="BJ26" i="26"/>
  <c r="BK26" i="26"/>
  <c r="BL26" i="26"/>
  <c r="BM26" i="26"/>
  <c r="BN26" i="26"/>
  <c r="BR26" i="26"/>
  <c r="BB27" i="26"/>
  <c r="BC27" i="26"/>
  <c r="BD27" i="26"/>
  <c r="BE27" i="26"/>
  <c r="BF27" i="26"/>
  <c r="BG27" i="26"/>
  <c r="BJ27" i="26"/>
  <c r="BK27" i="26"/>
  <c r="BL27" i="26"/>
  <c r="BM27" i="26"/>
  <c r="BN27" i="26"/>
  <c r="BR27" i="26"/>
  <c r="BB28" i="26"/>
  <c r="BC28" i="26"/>
  <c r="BD28" i="26"/>
  <c r="BE28" i="26"/>
  <c r="BF28" i="26"/>
  <c r="BG28" i="26"/>
  <c r="BJ28" i="26"/>
  <c r="BK28" i="26"/>
  <c r="BL28" i="26"/>
  <c r="BM28" i="26"/>
  <c r="BN28" i="26"/>
  <c r="BR28" i="26"/>
  <c r="BB29" i="26"/>
  <c r="BC29" i="26"/>
  <c r="BD29" i="26"/>
  <c r="BE29" i="26"/>
  <c r="BF29" i="26"/>
  <c r="BG29" i="26"/>
  <c r="BJ29" i="26"/>
  <c r="BK29" i="26"/>
  <c r="BL29" i="26"/>
  <c r="BM29" i="26"/>
  <c r="BN29" i="26"/>
  <c r="BR29" i="26"/>
  <c r="BB30" i="26"/>
  <c r="BC30" i="26"/>
  <c r="BD30" i="26"/>
  <c r="BE30" i="26"/>
  <c r="BF30" i="26"/>
  <c r="BG30" i="26"/>
  <c r="BJ30" i="26"/>
  <c r="BK30" i="26"/>
  <c r="BL30" i="26"/>
  <c r="BM30" i="26"/>
  <c r="BN30" i="26"/>
  <c r="BR30" i="26"/>
  <c r="BB31" i="26"/>
  <c r="BC31" i="26"/>
  <c r="BD31" i="26"/>
  <c r="BE31" i="26"/>
  <c r="BF31" i="26"/>
  <c r="BG31" i="26"/>
  <c r="BJ31" i="26"/>
  <c r="BK31" i="26"/>
  <c r="BL31" i="26"/>
  <c r="BM31" i="26"/>
  <c r="BN31" i="26"/>
  <c r="BR31" i="26"/>
  <c r="BB32" i="26"/>
  <c r="BC32" i="26"/>
  <c r="BD32" i="26"/>
  <c r="BE32" i="26"/>
  <c r="BF32" i="26"/>
  <c r="BG32" i="26"/>
  <c r="BJ32" i="26"/>
  <c r="BK32" i="26"/>
  <c r="BL32" i="26"/>
  <c r="BM32" i="26"/>
  <c r="BN32" i="26"/>
  <c r="BR32" i="26"/>
  <c r="BA45" i="26"/>
  <c r="BB45" i="26"/>
  <c r="BC45" i="26"/>
  <c r="BE45" i="26"/>
  <c r="BF45" i="26"/>
  <c r="BG45" i="26"/>
  <c r="BI45" i="26"/>
  <c r="BJ45" i="26"/>
  <c r="BK45" i="26"/>
  <c r="BM45" i="26"/>
  <c r="BN45" i="26"/>
  <c r="BR45" i="26"/>
  <c r="C18" i="9"/>
  <c r="C20" i="9"/>
  <c r="D25" i="9"/>
  <c r="E25" i="9"/>
  <c r="F25" i="9"/>
  <c r="G25" i="9"/>
  <c r="H25" i="9"/>
  <c r="I25" i="9"/>
  <c r="J25" i="9"/>
  <c r="D26" i="9"/>
  <c r="E26" i="9"/>
  <c r="F26" i="9"/>
  <c r="G26" i="9"/>
  <c r="H26" i="9"/>
  <c r="I26" i="9"/>
  <c r="J26" i="9"/>
  <c r="I27" i="9"/>
  <c r="J27" i="9"/>
  <c r="D30" i="9"/>
  <c r="E30" i="9"/>
  <c r="F30" i="9"/>
  <c r="H30" i="9"/>
  <c r="I30" i="9"/>
  <c r="D31" i="9"/>
  <c r="H31" i="9"/>
  <c r="I31" i="9"/>
  <c r="D32" i="9"/>
  <c r="E32" i="9"/>
  <c r="F32" i="9"/>
  <c r="H32" i="9"/>
  <c r="I32" i="9"/>
  <c r="E36" i="9"/>
  <c r="E39" i="9"/>
  <c r="B97" i="9"/>
  <c r="C97" i="9"/>
  <c r="C98" i="9"/>
  <c r="C99" i="9"/>
  <c r="C100" i="9"/>
  <c r="C101" i="9"/>
  <c r="C104" i="9"/>
  <c r="A106" i="9"/>
  <c r="C108" i="9"/>
  <c r="C109" i="9"/>
  <c r="C110" i="9"/>
  <c r="C111" i="9"/>
  <c r="C113" i="9"/>
  <c r="C134" i="9"/>
  <c r="C135" i="9"/>
  <c r="C136" i="9"/>
  <c r="C137" i="9"/>
  <c r="C138" i="9"/>
  <c r="C140" i="9"/>
  <c r="C141" i="9"/>
  <c r="C142" i="9"/>
  <c r="C144" i="9"/>
  <c r="C148" i="9"/>
  <c r="C149" i="9"/>
  <c r="C150" i="9"/>
  <c r="C151" i="9"/>
  <c r="C154" i="9"/>
  <c r="A156" i="9"/>
  <c r="C158" i="9"/>
  <c r="C159" i="9"/>
  <c r="C160" i="9"/>
  <c r="C162" i="9"/>
  <c r="C164" i="9"/>
  <c r="C168" i="9"/>
  <c r="C174" i="9"/>
  <c r="C176" i="9"/>
  <c r="C177" i="9"/>
  <c r="C178" i="9"/>
  <c r="C179" i="9"/>
  <c r="C181" i="9"/>
  <c r="C182" i="9"/>
  <c r="C183" i="9"/>
  <c r="C185" i="9"/>
  <c r="C189" i="9"/>
  <c r="C194" i="9"/>
  <c r="C195" i="9"/>
  <c r="C198" i="9"/>
  <c r="C199" i="9"/>
  <c r="C200" i="9"/>
  <c r="C201" i="9"/>
  <c r="C202" i="9"/>
  <c r="C203" i="9"/>
  <c r="T5" i="31"/>
  <c r="U5" i="31"/>
  <c r="V5" i="31"/>
  <c r="W5" i="31"/>
  <c r="X5" i="31"/>
  <c r="Z5" i="31"/>
  <c r="AA5" i="31"/>
  <c r="AB5" i="31"/>
  <c r="AC5" i="31"/>
  <c r="AG5" i="31"/>
  <c r="AH5" i="31"/>
  <c r="T6" i="31"/>
  <c r="U6" i="31"/>
  <c r="V6" i="31"/>
  <c r="W6" i="31"/>
  <c r="X6" i="31"/>
  <c r="Z6" i="31"/>
  <c r="AA6" i="31"/>
  <c r="AB6" i="31"/>
  <c r="AC6" i="31"/>
  <c r="AG6" i="31"/>
  <c r="AH6" i="31"/>
  <c r="T7" i="31"/>
  <c r="U7" i="31"/>
  <c r="V7" i="31"/>
  <c r="W7" i="31"/>
  <c r="X7" i="31"/>
  <c r="Z7" i="31"/>
  <c r="AA7" i="31"/>
  <c r="AB7" i="31"/>
  <c r="AC7" i="31"/>
  <c r="AG7" i="31"/>
  <c r="AH7" i="31"/>
  <c r="T8" i="31"/>
  <c r="U8" i="31"/>
  <c r="V8" i="31"/>
  <c r="W8" i="31"/>
  <c r="X8" i="31"/>
  <c r="Z8" i="31"/>
  <c r="AA8" i="31"/>
  <c r="AB8" i="31"/>
  <c r="AC8" i="31"/>
  <c r="AG8" i="31"/>
  <c r="AH8" i="31"/>
  <c r="T9" i="31"/>
  <c r="U9" i="31"/>
  <c r="V9" i="31"/>
  <c r="W9" i="31"/>
  <c r="X9" i="31"/>
  <c r="Z9" i="31"/>
  <c r="AA9" i="31"/>
  <c r="AB9" i="31"/>
  <c r="AC9" i="31"/>
  <c r="AG9" i="31"/>
  <c r="AH9" i="31"/>
  <c r="T10" i="31"/>
  <c r="U10" i="31"/>
  <c r="V10" i="31"/>
  <c r="W10" i="31"/>
  <c r="X10" i="31"/>
  <c r="Z10" i="31"/>
  <c r="AA10" i="31"/>
  <c r="AB10" i="31"/>
  <c r="AC10" i="31"/>
  <c r="AG10" i="31"/>
  <c r="AH10" i="31"/>
  <c r="T11" i="31"/>
  <c r="U11" i="31"/>
  <c r="V11" i="31"/>
  <c r="W11" i="31"/>
  <c r="X11" i="31"/>
  <c r="Z11" i="31"/>
  <c r="AA11" i="31"/>
  <c r="AB11" i="31"/>
  <c r="AC11" i="31"/>
  <c r="AG11" i="31"/>
  <c r="AH11" i="31"/>
  <c r="T12" i="31"/>
  <c r="U12" i="31"/>
  <c r="V12" i="31"/>
  <c r="W12" i="31"/>
  <c r="X12" i="31"/>
  <c r="Z12" i="31"/>
  <c r="AA12" i="31"/>
  <c r="AB12" i="31"/>
  <c r="AC12" i="31"/>
  <c r="AG12" i="31"/>
  <c r="T13" i="31"/>
  <c r="U13" i="31"/>
  <c r="V13" i="31"/>
  <c r="W13" i="31"/>
  <c r="X13" i="31"/>
  <c r="Z13" i="31"/>
  <c r="AA13" i="31"/>
  <c r="AB13" i="31"/>
  <c r="AC13" i="31"/>
  <c r="AG13" i="31"/>
  <c r="T14" i="31"/>
  <c r="U14" i="31"/>
  <c r="V14" i="31"/>
  <c r="W14" i="31"/>
  <c r="X14" i="31"/>
  <c r="Z14" i="31"/>
  <c r="AA14" i="31"/>
  <c r="AB14" i="31"/>
  <c r="AC14" i="31"/>
  <c r="AG14" i="31"/>
  <c r="T15" i="31"/>
  <c r="U15" i="31"/>
  <c r="V15" i="31"/>
  <c r="W15" i="31"/>
  <c r="X15" i="31"/>
  <c r="Z15" i="31"/>
  <c r="AA15" i="31"/>
  <c r="AB15" i="31"/>
  <c r="AC15" i="31"/>
  <c r="AG15" i="31"/>
  <c r="T16" i="31"/>
  <c r="U16" i="31"/>
  <c r="V16" i="31"/>
  <c r="W16" i="31"/>
  <c r="X16" i="31"/>
  <c r="Z16" i="31"/>
  <c r="AA16" i="31"/>
  <c r="AB16" i="31"/>
  <c r="AC16" i="31"/>
  <c r="AG16" i="31"/>
  <c r="T17" i="31"/>
  <c r="U17" i="31"/>
  <c r="V17" i="31"/>
  <c r="W17" i="31"/>
  <c r="X17" i="31"/>
  <c r="Z17" i="31"/>
  <c r="AA17" i="31"/>
  <c r="AB17" i="31"/>
  <c r="AC17" i="31"/>
  <c r="AG17" i="31"/>
  <c r="T18" i="31"/>
  <c r="U18" i="31"/>
  <c r="V18" i="31"/>
  <c r="W18" i="31"/>
  <c r="X18" i="31"/>
  <c r="Z18" i="31"/>
  <c r="AA18" i="31"/>
  <c r="AB18" i="31"/>
  <c r="AC18" i="31"/>
  <c r="AG18" i="31"/>
  <c r="T19" i="31"/>
  <c r="U19" i="31"/>
  <c r="V19" i="31"/>
  <c r="W19" i="31"/>
  <c r="X19" i="31"/>
  <c r="Z19" i="31"/>
  <c r="AA19" i="31"/>
  <c r="AB19" i="31"/>
  <c r="AC19" i="31"/>
  <c r="AG19" i="31"/>
  <c r="T20" i="31"/>
  <c r="U20" i="31"/>
  <c r="V20" i="31"/>
  <c r="W20" i="31"/>
  <c r="X20" i="31"/>
  <c r="Z20" i="31"/>
  <c r="AA20" i="31"/>
  <c r="AB20" i="31"/>
  <c r="AC20" i="31"/>
  <c r="AG20" i="31"/>
  <c r="T21" i="31"/>
  <c r="U21" i="31"/>
  <c r="V21" i="31"/>
  <c r="W21" i="31"/>
  <c r="X21" i="31"/>
  <c r="Z21" i="31"/>
  <c r="AA21" i="31"/>
  <c r="AB21" i="31"/>
  <c r="AC21" i="31"/>
  <c r="AG21" i="31"/>
  <c r="T22" i="31"/>
  <c r="U22" i="31"/>
  <c r="V22" i="31"/>
  <c r="W22" i="31"/>
  <c r="X22" i="31"/>
  <c r="Z22" i="31"/>
  <c r="AA22" i="31"/>
  <c r="AB22" i="31"/>
  <c r="AC22" i="31"/>
  <c r="AG22" i="31"/>
  <c r="T23" i="31"/>
  <c r="U23" i="31"/>
  <c r="V23" i="31"/>
  <c r="W23" i="31"/>
  <c r="X23" i="31"/>
  <c r="Z23" i="31"/>
  <c r="AA23" i="31"/>
  <c r="AB23" i="31"/>
  <c r="AC23" i="31"/>
  <c r="AG23" i="31"/>
  <c r="U36" i="31"/>
  <c r="V36" i="31"/>
  <c r="W36" i="31"/>
  <c r="X36" i="31"/>
  <c r="AA36" i="31"/>
  <c r="AB36" i="31"/>
  <c r="AC36" i="31"/>
  <c r="AG36" i="31"/>
  <c r="V38" i="31"/>
  <c r="C21" i="17"/>
  <c r="F21" i="17"/>
  <c r="C25" i="17"/>
  <c r="F25" i="17"/>
  <c r="H25" i="17"/>
  <c r="H27" i="17"/>
  <c r="C35" i="17"/>
  <c r="F35" i="17"/>
  <c r="C39" i="17"/>
  <c r="F39" i="17"/>
  <c r="H39" i="17"/>
  <c r="H41" i="17"/>
  <c r="C31" i="30"/>
  <c r="B32" i="30"/>
  <c r="C32" i="30"/>
  <c r="B38" i="30"/>
  <c r="C38" i="30"/>
  <c r="C39" i="30"/>
  <c r="C40" i="30"/>
  <c r="C41" i="30"/>
  <c r="C42" i="30"/>
  <c r="C43" i="30"/>
  <c r="C45" i="30"/>
  <c r="C46" i="30"/>
  <c r="C47" i="30"/>
  <c r="C53" i="30"/>
  <c r="B54" i="30"/>
  <c r="C54" i="30"/>
  <c r="C55" i="30"/>
  <c r="C56" i="30"/>
  <c r="C57" i="30"/>
  <c r="C58" i="30"/>
  <c r="B60" i="30"/>
  <c r="C60" i="30"/>
  <c r="C61" i="30"/>
  <c r="C62" i="30"/>
  <c r="C63" i="30"/>
  <c r="C64" i="30"/>
  <c r="C65" i="30"/>
  <c r="C68" i="30"/>
  <c r="C69" i="30"/>
  <c r="C71" i="30"/>
  <c r="C77" i="30"/>
  <c r="B79" i="30"/>
  <c r="C79" i="30"/>
  <c r="C82" i="30"/>
  <c r="B84" i="30"/>
  <c r="C84" i="30"/>
  <c r="C85" i="30"/>
  <c r="C86" i="30"/>
  <c r="C88" i="30"/>
  <c r="C90" i="30"/>
  <c r="C91" i="30"/>
  <c r="E13" i="32"/>
  <c r="E40" i="32"/>
  <c r="C42" i="32"/>
  <c r="D42" i="32"/>
  <c r="C43" i="32"/>
  <c r="D43" i="32"/>
  <c r="C44" i="32"/>
  <c r="D44" i="32"/>
  <c r="C47" i="32"/>
  <c r="D47" i="32"/>
  <c r="C49" i="32"/>
  <c r="D49" i="32"/>
  <c r="C51" i="32"/>
  <c r="D51" i="32"/>
  <c r="B53" i="32"/>
  <c r="C53" i="32"/>
  <c r="D53" i="32"/>
  <c r="B54" i="32"/>
  <c r="C54" i="32"/>
  <c r="D54" i="32"/>
  <c r="B55" i="32"/>
  <c r="C55" i="32"/>
  <c r="D55" i="32"/>
  <c r="C57" i="32"/>
  <c r="D57" i="32"/>
  <c r="C59" i="32"/>
  <c r="D59" i="32"/>
  <c r="E59" i="32"/>
  <c r="C61" i="32"/>
  <c r="D63" i="32"/>
  <c r="C65" i="32"/>
  <c r="D65" i="32"/>
  <c r="E65" i="32"/>
  <c r="C73" i="32"/>
  <c r="D73" i="32"/>
  <c r="E73" i="32"/>
  <c r="C76" i="32"/>
  <c r="D76" i="32"/>
  <c r="E13" i="22"/>
  <c r="E40" i="22"/>
  <c r="C42" i="22"/>
  <c r="D42" i="22"/>
  <c r="C43" i="22"/>
  <c r="D43" i="22"/>
  <c r="C44" i="22"/>
  <c r="D44" i="22"/>
  <c r="C47" i="22"/>
  <c r="D47" i="22"/>
  <c r="B49" i="22"/>
  <c r="C49" i="22"/>
  <c r="D49" i="22"/>
  <c r="B50" i="22"/>
  <c r="C50" i="22"/>
  <c r="D50" i="22"/>
  <c r="C52" i="22"/>
  <c r="D52" i="22"/>
  <c r="B54" i="22"/>
  <c r="C54" i="22"/>
  <c r="D54" i="22"/>
  <c r="B55" i="22"/>
  <c r="C55" i="22"/>
  <c r="D55" i="22"/>
  <c r="B56" i="22"/>
  <c r="C56" i="22"/>
  <c r="D56" i="22"/>
  <c r="B58" i="22"/>
  <c r="C58" i="22"/>
  <c r="D58" i="22"/>
  <c r="C60" i="22"/>
  <c r="D60" i="22"/>
  <c r="E60" i="22"/>
  <c r="C62" i="22"/>
  <c r="D62" i="22"/>
  <c r="E62" i="22"/>
  <c r="C70" i="22"/>
  <c r="D70" i="22"/>
  <c r="E70" i="22"/>
  <c r="C72" i="22"/>
  <c r="D72" i="22"/>
  <c r="C7" i="27"/>
  <c r="D7" i="27"/>
  <c r="C9" i="27"/>
  <c r="D9" i="27"/>
  <c r="E9" i="27"/>
  <c r="C11" i="27"/>
  <c r="D11" i="27"/>
  <c r="C13" i="27"/>
  <c r="D13" i="27"/>
  <c r="E13" i="27"/>
  <c r="C15" i="27"/>
  <c r="D15" i="27"/>
  <c r="C16" i="27"/>
  <c r="D16" i="27"/>
  <c r="C17" i="27"/>
  <c r="D17" i="27"/>
  <c r="C19" i="27"/>
  <c r="D19" i="27"/>
  <c r="E19" i="27"/>
  <c r="C21" i="27"/>
  <c r="D21" i="27"/>
  <c r="C23" i="27"/>
  <c r="D23" i="27"/>
  <c r="E23" i="27"/>
  <c r="C25" i="27"/>
  <c r="D25" i="27"/>
  <c r="C26" i="27"/>
  <c r="D26" i="27"/>
  <c r="C27" i="27"/>
  <c r="D27" i="27"/>
  <c r="C30" i="27"/>
  <c r="D30" i="27"/>
  <c r="E30" i="27"/>
  <c r="B32" i="27"/>
  <c r="C32" i="27"/>
  <c r="D32" i="27"/>
  <c r="B33" i="27"/>
  <c r="C33" i="27"/>
  <c r="D33" i="27"/>
  <c r="B34" i="27"/>
  <c r="C34" i="27"/>
  <c r="D34" i="27"/>
  <c r="B36" i="27"/>
  <c r="C36" i="27"/>
  <c r="D36" i="27"/>
  <c r="C38" i="27"/>
  <c r="D38" i="27"/>
  <c r="E38" i="27"/>
  <c r="C40" i="27"/>
  <c r="D40" i="27"/>
  <c r="E40" i="27"/>
  <c r="E42" i="27"/>
  <c r="C44" i="27"/>
  <c r="D44" i="27"/>
  <c r="E44" i="27"/>
  <c r="C51" i="27"/>
  <c r="D51" i="27"/>
  <c r="E51" i="27"/>
  <c r="C55" i="27"/>
  <c r="D55" i="2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<sst xmlns="http://schemas.openxmlformats.org/spreadsheetml/2006/main" count="751" uniqueCount="416">
  <si>
    <t>SIMULAÇÃO</t>
  </si>
  <si>
    <t>DADOS GERAIS</t>
  </si>
  <si>
    <t>Moeda Estrangeira</t>
  </si>
  <si>
    <t>USD</t>
  </si>
  <si>
    <t>Kg</t>
  </si>
  <si>
    <t>Peso Líquido Declarado</t>
  </si>
  <si>
    <t>Taxa de Câmbio Fiscal</t>
  </si>
  <si>
    <t>Taxa de Câmbio da Mercadoria</t>
  </si>
  <si>
    <t>Taxa de Câmbio de Frete Internacional</t>
  </si>
  <si>
    <t>Taxa de Câmbio do Seguro Internacional</t>
  </si>
  <si>
    <t>RO</t>
  </si>
  <si>
    <t>UF de Entrada</t>
  </si>
  <si>
    <t>RJ</t>
  </si>
  <si>
    <t>DECLARAÇÃO DE IMPORTAÇÃO</t>
  </si>
  <si>
    <t>DADOS DA MERCADORIA</t>
  </si>
  <si>
    <t>VMCV</t>
  </si>
  <si>
    <t>VMLE</t>
  </si>
  <si>
    <t>VMLD</t>
  </si>
  <si>
    <t>R$</t>
  </si>
  <si>
    <t>Valor do Frete Internacional - Tal Qual na DI</t>
  </si>
  <si>
    <t>Valor do Seguro</t>
  </si>
  <si>
    <t>Valor Aduaneiro</t>
  </si>
  <si>
    <t>DESEMBOLSOS NA DI</t>
  </si>
  <si>
    <t>Taxa do Siscomex</t>
  </si>
  <si>
    <t>II</t>
  </si>
  <si>
    <t>IPI</t>
  </si>
  <si>
    <t>PIS - Importação</t>
  </si>
  <si>
    <t>COFINS - Importação</t>
  </si>
  <si>
    <t>Antidumping</t>
  </si>
  <si>
    <t>Multas na Importação</t>
  </si>
  <si>
    <t>ICMS na Importação</t>
  </si>
  <si>
    <t>Base de Cálculo do ICMS</t>
  </si>
  <si>
    <t>ICMS</t>
  </si>
  <si>
    <t>Valor Total dos Produtos</t>
  </si>
  <si>
    <t>VALOR TOTAL DA NOTA</t>
  </si>
  <si>
    <t>DESPESAS DE DESPACHO</t>
  </si>
  <si>
    <t>Despesas na Nacionalização</t>
  </si>
  <si>
    <t>TOTAL</t>
  </si>
  <si>
    <t>ICMS Destacado</t>
  </si>
  <si>
    <t>IPI Vinculado (Importação)</t>
  </si>
  <si>
    <t>ICMS - Importação</t>
  </si>
  <si>
    <t>Despesas na Importação</t>
  </si>
  <si>
    <t>Margem Líquida 1</t>
  </si>
  <si>
    <t>CSLL 1</t>
  </si>
  <si>
    <t>IRPJ (Inclui AIRPJ) 1</t>
  </si>
  <si>
    <t>ICMS ST</t>
  </si>
  <si>
    <t>Alíquota Média de II</t>
  </si>
  <si>
    <t>Alíquota Média de IPI</t>
  </si>
  <si>
    <t>Alíquota Média de PIS</t>
  </si>
  <si>
    <t>Alíquota Média de COFINS</t>
  </si>
  <si>
    <t>Rentabilidade Sobre VMLD</t>
  </si>
  <si>
    <t>Rentabilidade Sobre Saída</t>
  </si>
  <si>
    <t>IMPORTAÇÃO</t>
  </si>
  <si>
    <t>DESCRIÇÃO</t>
  </si>
  <si>
    <t>%</t>
  </si>
  <si>
    <t>Subtotal 2.1 - Débitos na DI</t>
  </si>
  <si>
    <t>Subtotal 2.2 - Despesas na Nacionalização</t>
  </si>
  <si>
    <t>Total 2 - Nacionalização</t>
  </si>
  <si>
    <t>Total 3 - Aquisição e Nacionalização</t>
  </si>
  <si>
    <t>Subtotal 3.1 - Impostos Federais Sobre a Saída</t>
  </si>
  <si>
    <t>Subtotal 3.2 - ICMS na Saída</t>
  </si>
  <si>
    <t>CSLL</t>
  </si>
  <si>
    <t>IRPJ</t>
  </si>
  <si>
    <t>Margem Líquida</t>
  </si>
  <si>
    <t xml:space="preserve">Subtotal 3.3 - Margem Bruta na Saída </t>
  </si>
  <si>
    <t>Total 3 - Saída</t>
  </si>
  <si>
    <t>TOTAL NOTA FISCAL</t>
  </si>
  <si>
    <t>US$</t>
  </si>
  <si>
    <t>NOTA FISCAL DE ENTRADA DO IMPORTADOR</t>
  </si>
  <si>
    <t>Alíquotas</t>
  </si>
  <si>
    <t>BC ICMS ST</t>
  </si>
  <si>
    <t>Valor ICMS</t>
  </si>
  <si>
    <t>CFOP</t>
  </si>
  <si>
    <t>NOTA FISCAL DE SAÍDA DO IMPORTADOR</t>
  </si>
  <si>
    <t>VMCV (US$)</t>
  </si>
  <si>
    <t>FRETE (US$)</t>
  </si>
  <si>
    <t>Acréscimos</t>
  </si>
  <si>
    <t>SEGURO (US$)</t>
  </si>
  <si>
    <t>TAXA FISCAL</t>
  </si>
  <si>
    <t>Taxa Siscomex</t>
  </si>
  <si>
    <t>Multas+Antidump</t>
  </si>
  <si>
    <t>PESO Líquido</t>
  </si>
  <si>
    <t>Itens</t>
  </si>
  <si>
    <t>PESO LÍQUIDO</t>
  </si>
  <si>
    <t>QUANT.</t>
  </si>
  <si>
    <t>Unid.</t>
  </si>
  <si>
    <t>NCM</t>
  </si>
  <si>
    <t>FRETE</t>
  </si>
  <si>
    <t>ACRES.</t>
  </si>
  <si>
    <t>SEGURO</t>
  </si>
  <si>
    <t>VA (R$)</t>
  </si>
  <si>
    <t>II%</t>
  </si>
  <si>
    <t>Valor II</t>
  </si>
  <si>
    <t>VTP</t>
  </si>
  <si>
    <t>IPI%</t>
  </si>
  <si>
    <t>Valor IPI</t>
  </si>
  <si>
    <t>PIS%</t>
  </si>
  <si>
    <t>Valor PIS</t>
  </si>
  <si>
    <t>COFINS%</t>
  </si>
  <si>
    <t>Valor COFINS</t>
  </si>
  <si>
    <t>ICMS%</t>
  </si>
  <si>
    <t>BC - ICMS</t>
  </si>
  <si>
    <t>VTN</t>
  </si>
  <si>
    <t>GT</t>
  </si>
  <si>
    <t>#</t>
  </si>
  <si>
    <t>DESCRIÇÂO</t>
  </si>
  <si>
    <t>IMPORTAÇÃO DE MERCADORIAS PARA REVENDA</t>
  </si>
  <si>
    <t>VENDA DE MERC. IMPORTADA, PARA O ESTADO</t>
  </si>
  <si>
    <t>VENDA DE MERC IMPORTADA, DIRET. DO REC. ALF., PARA O ESTADO</t>
  </si>
  <si>
    <t>VENDA DE MERCADORIA IMPORTAD, NA CONDIÇÃO DE SUBSTITUTO, PARA O ESTADO</t>
  </si>
  <si>
    <t>VENDA DE MERC. IMPORTADA, PARA OUTRO ESTADO</t>
  </si>
  <si>
    <t>VENDA DE MERC.  IMPORTADA, DIRET. DO REC.  ALF., PARA OUTRO ESTADO</t>
  </si>
  <si>
    <t>VENDA DE MERC. IMPORTADA, NA CONDIÇÃO DE SUBSTITUTO, PARA OUTRO ESTADO</t>
  </si>
  <si>
    <t>UF</t>
  </si>
  <si>
    <t>ALÍQUOTA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</si>
  <si>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</si>
  <si>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</si>
  <si>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</si>
  <si>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</si>
  <si>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</si>
  <si>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</si>
  <si>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</si>
  <si>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</si>
  <si>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</si>
  <si>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</si>
  <si>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</si>
  <si>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</si>
  <si>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</si>
  <si>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</si>
  <si>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</si>
  <si>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</si>
  <si>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</si>
  <si>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</si>
  <si>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RN</t>
  </si>
  <si>
    <t>RS</t>
  </si>
  <si>
    <t>RR</t>
  </si>
  <si>
    <t>SC</t>
  </si>
  <si>
    <t>SP</t>
  </si>
  <si>
    <t>SE</t>
  </si>
  <si>
    <t>TO</t>
  </si>
  <si>
    <t>Frete Internacional</t>
  </si>
  <si>
    <t>FOB - Equivalente</t>
  </si>
  <si>
    <t>FOB/Kg</t>
  </si>
  <si>
    <t>DESEMBOLSOS IMPORTAÇÃO</t>
  </si>
  <si>
    <t>DESEMBOLSOS REVENDA</t>
  </si>
  <si>
    <t>VALOR  UNIT</t>
  </si>
  <si>
    <t>UF de Destino (Saída 1)</t>
  </si>
  <si>
    <t>UF de Destino (Saída 2)</t>
  </si>
  <si>
    <t>ICMS a Pagar na Revenda 2</t>
  </si>
  <si>
    <t>IPI a Pagar na Revenda 2</t>
  </si>
  <si>
    <t>PIS a Pagar na Revenda 2</t>
  </si>
  <si>
    <t>COFINS a Pagar na Revenda 2</t>
  </si>
  <si>
    <t>VTP + IPI</t>
  </si>
  <si>
    <t>Margem Líquida 2</t>
  </si>
  <si>
    <t>IRPJ (Inclui AIRPJ) 2</t>
  </si>
  <si>
    <t>TOTAL NF</t>
  </si>
  <si>
    <t>Margem Líquida - Saída 1 (R$)</t>
  </si>
  <si>
    <t>NOTA FISCAL DE REVENDA 1 - [IMPORTADOR]</t>
  </si>
  <si>
    <t>NF ENTRADA  - [IMPORTADOR]</t>
  </si>
  <si>
    <t>DESEMBOLSO NA REVENDA 1 - [IMPORTADOR]</t>
  </si>
  <si>
    <t>NOTA FISCAL DE REVENDA 2 - [ENCOMENDANTE]</t>
  </si>
  <si>
    <t>COMPOSIÇÃO DA IMPORTAÇÃO, REVENDA 1 [IMPORTADOR] E REVENDA 2 [ENCOMENDANTE]</t>
  </si>
  <si>
    <t>REVENDA 1 - [IMPORTADOR]</t>
  </si>
  <si>
    <t>TRIBUTOS E CONTRIBUIÇÕES NA REVENDA 2 - [ENCOMENDANTE]</t>
  </si>
  <si>
    <t>CSLL 2</t>
  </si>
  <si>
    <t>Valor Total dos Produtos na Entrada</t>
  </si>
  <si>
    <t>Valor Total dos Produtos na Saída 1 [IMPORTADOR]</t>
  </si>
  <si>
    <t>Valor Total dos Produtos na Saída 2 [ENCOMENDANTE]</t>
  </si>
  <si>
    <t>TRIBUTOS E CONTRIBUIÇÕES NA REVENDA 1 - [IMPORTADOR]</t>
  </si>
  <si>
    <t>PARÂMETROS  - [IMPORTADOR + ENCOMENDANTE]</t>
  </si>
  <si>
    <t xml:space="preserve">ICMS Efetivamente Pago </t>
  </si>
  <si>
    <t>QUADRO ANALÍTICO DA REVENDA 2</t>
  </si>
  <si>
    <t>Total 1 - REVENDA 1 SEM TRIBUTOS NÃO CUMULATIVOS</t>
  </si>
  <si>
    <t>Créditos de ICMS na Revenda 1</t>
  </si>
  <si>
    <t>Total 2 - CRÉDITOS DE ICMS NA REVENDA 1</t>
  </si>
  <si>
    <t>Créditos de IPI na Revenda 1</t>
  </si>
  <si>
    <t>Créditos de PIS na Revenda 1</t>
  </si>
  <si>
    <t>Créditos de Cofins na Revenda 1</t>
  </si>
  <si>
    <t>Total 3 - Créditos Federais na Revenda 1</t>
  </si>
  <si>
    <t>ICMS na Revenda 2</t>
  </si>
  <si>
    <t>Total 4 - ICMS NA REVENDA 2</t>
  </si>
  <si>
    <t>Total 5 - TRIBUTOS FEDERAIS NA REVENDA 2</t>
  </si>
  <si>
    <t>Total 6 - Margem Bruta na Revenda</t>
  </si>
  <si>
    <t>Total 7 -  VTP E IPI NA REVENDA 2</t>
  </si>
  <si>
    <t>TOTAL NOTA FISCAL DA REVENDA 2</t>
  </si>
  <si>
    <t>DESCIRIÇÃO</t>
  </si>
  <si>
    <t>FORNECEDOR ESTRANGEIRO</t>
  </si>
  <si>
    <t>CFOP na Entrada</t>
  </si>
  <si>
    <t>CFOP na Saída 1</t>
  </si>
  <si>
    <t>CFOP na Saída 2</t>
  </si>
  <si>
    <t>QUADRO ANALÍTICO DA OPERAÇÃO</t>
  </si>
  <si>
    <t>Revenda 1 sem Tributos Não Cumulativos</t>
  </si>
  <si>
    <t>ICMS a Pagar na Revenda 1</t>
  </si>
  <si>
    <t>IPI a Pagar na Revenda 1</t>
  </si>
  <si>
    <t>PIS a Pagar na Revenda 1</t>
  </si>
  <si>
    <t>COFINS a Pagar na Revenda 1</t>
  </si>
  <si>
    <t>ICMS na  Revenda</t>
  </si>
  <si>
    <t>Margem - Saída 1 (%) [IMPORTADOR]</t>
  </si>
  <si>
    <t>Margem - Saída 2 (%) [ENCOMENDANTE]</t>
  </si>
  <si>
    <t>Margem - Saída 2 (R$)</t>
  </si>
  <si>
    <t>Subtotal 5.1 - Margem Bruta</t>
  </si>
  <si>
    <t>MARGEM</t>
  </si>
  <si>
    <t>PIS</t>
  </si>
  <si>
    <t>COFINS</t>
  </si>
  <si>
    <t>DESP. ACESSÓRIAS</t>
  </si>
  <si>
    <t>VALORES</t>
  </si>
  <si>
    <t>QUADRO RESUMO</t>
  </si>
  <si>
    <t>AQUISIÇÃO DO IMPORTADOR</t>
  </si>
  <si>
    <t>CRÉDITO DE IPI</t>
  </si>
  <si>
    <t>CRÉDITO DE PIS</t>
  </si>
  <si>
    <t>CRÉDITO DE COFINS</t>
  </si>
  <si>
    <t>CRÉDITO DE ICMS</t>
  </si>
  <si>
    <t>AQUISIÇÃO DO ENCOMENDANTE</t>
  </si>
  <si>
    <t>ENTRADA DO IMPORTADOR</t>
  </si>
  <si>
    <t>SAÍDA DO IMPORTADOR</t>
  </si>
  <si>
    <t>SAÍDA DO ENCOMENDANTE</t>
  </si>
  <si>
    <t>SAÍDA DO ENCOMENDANTE DO ENCOMENDANTE</t>
  </si>
  <si>
    <t>VALOR OP SEM CRÉDITOS</t>
  </si>
  <si>
    <t>DIF IPI</t>
  </si>
  <si>
    <t>DIF PIS</t>
  </si>
  <si>
    <t>DIF COFINS</t>
  </si>
  <si>
    <t>DIF ICMS</t>
  </si>
  <si>
    <t>MARGEM BRUTA</t>
  </si>
  <si>
    <t>NOTA DE SAÍDA DO IMPORTADOR</t>
  </si>
  <si>
    <t>IPI DEST.</t>
  </si>
  <si>
    <t>NOTA DE SAÍDA DO ENCOMENDANTE</t>
  </si>
  <si>
    <t>DESPESAS NA IMPORTAÇÃO</t>
  </si>
  <si>
    <t>ICMS Beneficiado (RO; AL ou NA)</t>
  </si>
  <si>
    <t>SAÍDA 1</t>
  </si>
  <si>
    <t>SAÍDA 2</t>
  </si>
  <si>
    <t>AFRMM (Incluída na Base de Cálculo do ICMS Importação)</t>
  </si>
  <si>
    <t>AFRMM</t>
  </si>
  <si>
    <t>DI</t>
  </si>
  <si>
    <t>BC ICMS</t>
  </si>
  <si>
    <t>BC II</t>
  </si>
  <si>
    <t>BC IPI</t>
  </si>
  <si>
    <t>Referência da Simulação</t>
  </si>
  <si>
    <t>REFERÊNCIA</t>
  </si>
  <si>
    <t>Out. Despesas</t>
  </si>
  <si>
    <t>VALOR ADUANEIRO - VTP</t>
  </si>
  <si>
    <t>VTP+II</t>
  </si>
  <si>
    <t>ADICIONAL DE COFINS</t>
  </si>
  <si>
    <t>ICMS Benefício</t>
  </si>
  <si>
    <t>TOTAL NF SAÍDA 1</t>
  </si>
  <si>
    <t>NOTA FISCAL DE VENDA DO ENCOMENDANTE</t>
  </si>
  <si>
    <t>TOTAL DA IMPORTAÇÃO</t>
  </si>
  <si>
    <t>QUADRO ANALÍTICO DOS CUSTOS</t>
  </si>
  <si>
    <t>RESUMO</t>
  </si>
  <si>
    <t>Variação Cambial Passiva - Mercadoria</t>
  </si>
  <si>
    <t>Variação Cambial</t>
  </si>
  <si>
    <t>VARIAÇÃO CAMBIAL PASSIVA TOTAL</t>
  </si>
  <si>
    <t>VARIAÇÃO CAMBIAL TOTAL</t>
  </si>
  <si>
    <t>Val. Unit</t>
  </si>
  <si>
    <t>Va. Unit.</t>
  </si>
  <si>
    <t>Capatazia</t>
  </si>
  <si>
    <t>Total 1 - VMLD</t>
  </si>
  <si>
    <t>Adicional da COFINS  - IMPORTAÇÃO (Somatório das Adições)</t>
  </si>
  <si>
    <t>TOTAL DA NOTA FISCAL</t>
  </si>
  <si>
    <t>FASE DO IMPORTADOR</t>
  </si>
  <si>
    <t>FASE DO ENCOMENDANTE</t>
  </si>
  <si>
    <t>TARIFA BANCÁRIA</t>
  </si>
  <si>
    <t>ARMAZENAGEM</t>
  </si>
  <si>
    <t>HONORÁRIOS DESPACHANTE</t>
  </si>
  <si>
    <t>Contrato - Incoterm (FOB; CFR ou CIF)</t>
  </si>
  <si>
    <t>Val, Unit</t>
  </si>
  <si>
    <t>Total 1 - VMLD (AJUSTADO - VCP)</t>
  </si>
  <si>
    <t>CIF - Equivalente</t>
  </si>
  <si>
    <t>Base de Cálculo do IPI</t>
  </si>
  <si>
    <t>Faixa 1</t>
  </si>
  <si>
    <t>Faixa 2</t>
  </si>
  <si>
    <t>Faixa 3</t>
  </si>
  <si>
    <t>Faixa 4</t>
  </si>
  <si>
    <t>Faixa 5</t>
  </si>
  <si>
    <t>Faixa 6</t>
  </si>
  <si>
    <t>ICMS ALÍQUOTAS INTERNAS</t>
  </si>
  <si>
    <t>TAXA SISCOMEX</t>
  </si>
  <si>
    <t>SIMPLES NACIONAL - COMÉRCIO - ANEXO II - ADI 1/2018</t>
  </si>
  <si>
    <t>Forma de Apuração do Lucro do Encomendante (Real - R;  Presumido - P OU SIMPLES - S)</t>
  </si>
  <si>
    <t>Forma de Apuração do Lucro do Enc. Do Enc.  (Real - R;  Presumido - P OU SIMPLES - S)</t>
  </si>
  <si>
    <t>RBT12 do Encomendante (Caso Seja Optante pelo SIMPLES)</t>
  </si>
  <si>
    <t>RBT12 do Encomendante do Encomendante (Caso Seja Optante pelo SIMPLES)</t>
  </si>
  <si>
    <t>ENCOMENDANTE</t>
  </si>
  <si>
    <t>ENCOMENDANTE DO ENCOMENDANTE</t>
  </si>
  <si>
    <t>RBT12</t>
  </si>
  <si>
    <t>DAS a Pagar na Revenda</t>
  </si>
  <si>
    <t>Alíquota de ICMS na Saída (1) - Importador</t>
  </si>
  <si>
    <t>Alíquota Interna de ICMS da UF de Entrada - Importador</t>
  </si>
  <si>
    <t>Alíquota de ICMS na Saída (2) - Encomendante</t>
  </si>
  <si>
    <t>Despesas Acessórias (Multas, Antidumping, Siscomex, Capatazia)</t>
  </si>
  <si>
    <t>VMCV (R$)</t>
  </si>
  <si>
    <t>Alíquota média de ICMS</t>
  </si>
  <si>
    <t>IPI na Revenda 2</t>
  </si>
  <si>
    <t>PIS na Revenda 2</t>
  </si>
  <si>
    <t>COFINS na Revenda 2</t>
  </si>
  <si>
    <t>DAS na Revenda 2</t>
  </si>
  <si>
    <t>DG</t>
  </si>
  <si>
    <t>QUADROS</t>
  </si>
  <si>
    <t>NF</t>
  </si>
  <si>
    <t>DAS a Pagar na Revenda 1</t>
  </si>
  <si>
    <t>RBT12 do Importador</t>
  </si>
  <si>
    <t>DAS a Pagra na Revenda 1</t>
  </si>
  <si>
    <t>NOTA DE SAÍDA DO ENC. DO ENC.</t>
  </si>
  <si>
    <t>DAS</t>
  </si>
  <si>
    <t>ICMS - CREDOR</t>
  </si>
  <si>
    <t>ei</t>
  </si>
  <si>
    <t>si</t>
  </si>
  <si>
    <t>se</t>
  </si>
  <si>
    <t>see</t>
  </si>
  <si>
    <t>Forma de Apuração do Lucro do Importador (Real - R OU Presumido - P; SIMPLES NACIONAL)</t>
  </si>
  <si>
    <t>R</t>
  </si>
  <si>
    <t>Un.</t>
  </si>
  <si>
    <t>REF.</t>
  </si>
  <si>
    <t>IPI médio Saída</t>
  </si>
  <si>
    <t>QUANTIDADE</t>
  </si>
  <si>
    <t>FOTO</t>
  </si>
  <si>
    <t>UNIDADE</t>
  </si>
  <si>
    <t>FOB (EQUIV.)</t>
  </si>
  <si>
    <t>CIF  (EQUIV.)</t>
  </si>
  <si>
    <t>QUADRO SINTÉTICO</t>
  </si>
  <si>
    <t>NOTA FISCAL DE VENDA DO ENCOMENDANTE DO ENCOMENDANTE</t>
  </si>
  <si>
    <t>IMPORTADOR</t>
  </si>
  <si>
    <t>COMMERCIAL INVOICE</t>
  </si>
  <si>
    <t>VALORES DE PARTIDA</t>
  </si>
  <si>
    <t>ENTRADA</t>
  </si>
  <si>
    <t>SAÍDA</t>
  </si>
  <si>
    <t>VALOR UNIT.</t>
  </si>
  <si>
    <t>QT</t>
  </si>
  <si>
    <t>UNID</t>
  </si>
  <si>
    <t>OUTRAS DESPESAS</t>
  </si>
  <si>
    <t>MVA</t>
  </si>
  <si>
    <t>ST</t>
  </si>
  <si>
    <t>SAÍDA IMPORT.</t>
  </si>
  <si>
    <t>SAÍDA ENCOM.</t>
  </si>
  <si>
    <t>NOTA DE ENTRADA DO IMPORTADOR</t>
  </si>
  <si>
    <t>BC ICMS - ST</t>
  </si>
  <si>
    <t>ICMS - ST</t>
  </si>
  <si>
    <t>Adquirente é Beneficiário do RIO LOG (SIM - S; NÃO - N)</t>
  </si>
  <si>
    <t>SANTAX_AMIGÃO_001_2024</t>
  </si>
  <si>
    <t>FOB</t>
  </si>
  <si>
    <t>N</t>
  </si>
  <si>
    <t># Adições</t>
  </si>
  <si>
    <t>Unidade de Origem</t>
  </si>
  <si>
    <t>Unidade de Destino</t>
  </si>
  <si>
    <t>Encomendante</t>
  </si>
  <si>
    <t>Encom. Do Encom.</t>
  </si>
  <si>
    <t>Alíquota Interna</t>
  </si>
  <si>
    <t>Encon. = Rio Log</t>
  </si>
  <si>
    <t>VTP +IPI</t>
  </si>
  <si>
    <t>BS - ICMS - ST</t>
  </si>
  <si>
    <t>VTP - Valor Total dos Produtos</t>
  </si>
  <si>
    <t>REDUTOR DE MVA</t>
  </si>
  <si>
    <t>MVA-O</t>
  </si>
  <si>
    <t>ENTRADA IMPORT.</t>
  </si>
  <si>
    <t>MVA-A</t>
  </si>
  <si>
    <t>VALOR TOTAL DOS PRODUTOS - VTP + IPI</t>
  </si>
  <si>
    <t>IPI a Pagar na Revenda</t>
  </si>
  <si>
    <t>PIS a Pagar na Revenda</t>
  </si>
  <si>
    <t>COFINS a Pagar na Revenda</t>
  </si>
  <si>
    <t>DAS a Pagra na Revenda</t>
  </si>
  <si>
    <t>ICMS a Pagar na Revenda</t>
  </si>
  <si>
    <t>PESO BRUTO</t>
  </si>
  <si>
    <t>Alíquota inter</t>
  </si>
  <si>
    <t>VALOR TOTAL DOS PRODUTOS</t>
  </si>
  <si>
    <t>SISCOMEX CAPATAZIA MULTAS ANTIDUMPING</t>
  </si>
  <si>
    <t>BC ICMS-ST</t>
  </si>
  <si>
    <t>P</t>
  </si>
  <si>
    <t>ROT</t>
  </si>
  <si>
    <t>n</t>
  </si>
  <si>
    <t>LIBERAÇÃO BL / SISCARGA FEE / DESCONSOLIDAÇÃO / IMPORT LOGISTIC FEE / DROP OFF FEE</t>
  </si>
  <si>
    <t>IOF FEE</t>
  </si>
  <si>
    <t>DIFERENÇA CAMBIAL ESTIMADA</t>
  </si>
  <si>
    <t>COMIISÃO BBR</t>
  </si>
  <si>
    <t>FRETE DOMÉSTICO</t>
  </si>
  <si>
    <t>invoice</t>
  </si>
  <si>
    <t>invoice+royalty</t>
  </si>
  <si>
    <t>royalty %</t>
  </si>
  <si>
    <t>royalty valor</t>
  </si>
  <si>
    <t>separa</t>
  </si>
  <si>
    <t>coloca tudo junto</t>
  </si>
  <si>
    <t xml:space="preserve"> BP00064 </t>
  </si>
  <si>
    <t>BP00068</t>
  </si>
  <si>
    <t>BP00069</t>
  </si>
  <si>
    <t>BP00025</t>
  </si>
  <si>
    <t>BP00039</t>
  </si>
  <si>
    <t>BP00065</t>
  </si>
  <si>
    <t>BP00066</t>
  </si>
  <si>
    <t>BP00067</t>
  </si>
  <si>
    <t>BP00119</t>
  </si>
  <si>
    <t xml:space="preserve"> BP00015 </t>
  </si>
  <si>
    <t>BP00011</t>
  </si>
  <si>
    <t>BP00013</t>
  </si>
  <si>
    <t>BP00016</t>
  </si>
  <si>
    <t>BP00017</t>
  </si>
  <si>
    <t>BP00035</t>
  </si>
  <si>
    <t>BP00036</t>
  </si>
  <si>
    <t>BP00037</t>
  </si>
  <si>
    <t>BP00053</t>
  </si>
  <si>
    <t xml:space="preserve"> BP00073 </t>
  </si>
  <si>
    <t xml:space="preserve">RÉGUA 15/30 cm </t>
  </si>
  <si>
    <t>RÉGUA ALUMÍNIO 30CM</t>
  </si>
  <si>
    <t>COMPASSO</t>
  </si>
  <si>
    <t>MARCADOR DE TEXTO - AMARELO</t>
  </si>
  <si>
    <t>RÉGUA 20 cm</t>
  </si>
  <si>
    <t>RÉGUA 30 cm COLOR</t>
  </si>
  <si>
    <t>RÉGUA 30 cm TRANSPARENTE</t>
  </si>
  <si>
    <t>KIT 1 COMPASSO/1 BORRACHA/1 APONTADOR/4 RÉGUAS)</t>
  </si>
  <si>
    <t>APONTADOR  GUITARRA - 2 UNIDADES</t>
  </si>
  <si>
    <t>KIT  BORRACHA + APONTADOR C/ DEPÓSITO</t>
  </si>
  <si>
    <t>APONTADOR CORAÇÃO C/ DEPÓSITO 1 UNIDADE</t>
  </si>
  <si>
    <t>APONTADOR C/ DEPÓSITO - 1 UNIDADE</t>
  </si>
  <si>
    <t>APONTADOR DUPLO SEM DEPÓSITO - 1 UNIDADE</t>
  </si>
  <si>
    <t>COLA BASTÃO 9 gr</t>
  </si>
  <si>
    <t>COLA BASTÃO 9 gr 3 UND</t>
  </si>
  <si>
    <t>COLA BASTÃO 21 gr 1 UND</t>
  </si>
  <si>
    <t>GRAMPO 5000 UNIDADES</t>
  </si>
  <si>
    <t>CLIPS  PEQUENO - 100 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</si>
</sst>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3" formatCode="_-* #,##0.00_-;\-* #,##0.00_-;_-* &quot;-&quot;??_-;_-@_-"/>
    <numFmt numFmtId="164" formatCode="_(* #,##0.00_);_(* \(#,##0.00\);_(* &quot;-&quot;??_);_(@_)"/>
    <numFmt numFmtId="165" formatCode="0.0000%"/>
    <numFmt numFmtId="166" formatCode="0.0000"/>
    <numFmt numFmtId="167" formatCode="#,###"/>
    <numFmt numFmtId="168" formatCode="#,##0.00_ ;[Red]\-#,##0.00\ "/>
    <numFmt numFmtId="169" formatCode="0.0000000000%"/>
    <numFmt numFmtId="170" formatCode="#,##0.0000000"/>
    <numFmt numFmtId="171" formatCode="#,##0.0000"/>
    <numFmt numFmtId="172" formatCode="#&quot;.&quot;##&quot;.&quot;##"/>
    <numFmt numFmtId="173" formatCode="0.000"/>
    <numFmt numFmtId="174" formatCode="#,##0.000000"/>
    <numFmt numFmtId="175" formatCode="_-[$R$-416]\ * #,##0.00_-;\-[$R$-416]\ * #,##0.00_-;_-[$R$-416]\ * &quot;-&quot;??_-;_-@_-"/>
    <numFmt numFmtId="176" formatCode="000"/>
    <numFmt numFmtId="177" formatCode="&quot;R$&quot;\ #,##0.00"/>
    <numFmt numFmtId="178" formatCode="#,##0.00000000"/>
    <numFmt numFmtId="179" formatCode="#,##0.0000_ ;[Red]\-#,##0.0000\ "/>
    <numFmt numFmtId="180" formatCode="[$USD]\ #,##0.00"/>
    <numFmt numFmtId="181" formatCode="#,##0.0000000;[Red]\-#,##0.0000000"/>
  </numFmts>
  <fonts count="25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22"/>
      <name val="Arial"/>
      <family val="2"/>
    </font>
    <font>
      <b/>
      <sz val="24"/>
      <name val="Arial"/>
      <family val="2"/>
    </font>
    <font>
      <sz val="24"/>
      <name val="Arial"/>
      <family val="2"/>
    </font>
    <font>
      <sz val="8"/>
      <name val="Arial"/>
      <family val="2"/>
    </font>
    <font>
      <sz val="24"/>
      <color indexed="10"/>
      <name val="Arial"/>
      <family val="2"/>
    </font>
    <font>
      <sz val="14"/>
      <name val="Arial"/>
      <family val="2"/>
    </font>
    <font>
      <sz val="8"/>
      <name val="Arial"/>
      <family val="2"/>
    </font>
    <font>
      <sz val="12"/>
      <name val="Arial"/>
      <family val="2"/>
    </font>
    <font>
      <sz val="2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16"/>
      <name val="Tahoma"/>
      <family val="2"/>
    </font>
    <font>
      <sz val="11"/>
      <color theme="1"/>
      <name val="Calibri"/>
      <family val="2"/>
      <charset val="134"/>
      <scheme val="minor"/>
    </font>
    <font>
      <b/>
      <sz val="20"/>
      <color rgb="FF0000FF"/>
      <name val="Arial"/>
      <family val="2"/>
    </font>
    <font>
      <sz val="16"/>
      <name val="Arial"/>
      <family val="2"/>
    </font>
    <font>
      <sz val="18"/>
      <name val="Arial"/>
      <family val="2"/>
    </font>
    <font>
      <sz val="30"/>
      <name val="Arial"/>
      <family val="2"/>
    </font>
    <font>
      <b/>
      <sz val="2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</fills>
  <borders count="7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7" fillId="0" borderId="0"/>
    <xf numFmtId="43" fontId="19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>
      <alignment vertical="center"/>
    </xf>
  </cellStyleXfs>
  <cellXfs count="707">
    <xf numFmtId="0" fontId="0" fillId="0" borderId="0" xfId="0"/>
    <xf numFmtId="0" fontId="1" fillId="0" borderId="16" xfId="0" applyFont="1" applyBorder="1" applyAlignment="1">
      <alignment horizontal="center" vertical="center"/>
    </xf>
    <xf numFmtId="10" fontId="3" fillId="0" borderId="6" xfId="0" applyNumberFormat="1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>
      <alignment horizontal="center" vertical="center"/>
    </xf>
    <xf numFmtId="14" fontId="9" fillId="2" borderId="3" xfId="0" applyNumberFormat="1" applyFont="1" applyFill="1" applyBorder="1" applyAlignment="1" applyProtection="1">
      <alignment horizontal="right" vertical="center"/>
      <protection locked="0"/>
    </xf>
    <xf numFmtId="167" fontId="9" fillId="0" borderId="3" xfId="0" applyNumberFormat="1" applyFont="1" applyBorder="1" applyAlignment="1" applyProtection="1">
      <alignment vertical="center"/>
      <protection hidden="1"/>
    </xf>
    <xf numFmtId="0" fontId="9" fillId="5" borderId="27" xfId="0" applyFont="1" applyFill="1" applyBorder="1" applyAlignment="1" applyProtection="1">
      <alignment horizontal="right" vertical="center"/>
      <protection locked="0"/>
    </xf>
    <xf numFmtId="4" fontId="9" fillId="2" borderId="3" xfId="0" applyNumberFormat="1" applyFont="1" applyFill="1" applyBorder="1" applyAlignment="1" applyProtection="1">
      <alignment vertical="center"/>
      <protection locked="0"/>
    </xf>
    <xf numFmtId="4" fontId="9" fillId="0" borderId="3" xfId="0" applyNumberFormat="1" applyFont="1" applyBorder="1" applyAlignment="1" applyProtection="1">
      <alignment vertical="center"/>
      <protection hidden="1"/>
    </xf>
    <xf numFmtId="0" fontId="14" fillId="7" borderId="2" xfId="0" applyFont="1" applyFill="1" applyBorder="1" applyAlignment="1" applyProtection="1">
      <alignment horizontal="center" vertical="center"/>
      <protection locked="0"/>
    </xf>
    <xf numFmtId="166" fontId="9" fillId="2" borderId="3" xfId="0" applyNumberFormat="1" applyFont="1" applyFill="1" applyBorder="1" applyAlignment="1" applyProtection="1">
      <alignment vertical="center"/>
      <protection locked="0"/>
    </xf>
    <xf numFmtId="0" fontId="9" fillId="0" borderId="1" xfId="0" applyFont="1" applyBorder="1" applyAlignment="1" applyProtection="1">
      <alignment vertical="center"/>
      <protection hidden="1"/>
    </xf>
    <xf numFmtId="0" fontId="14" fillId="0" borderId="2" xfId="0" applyFont="1" applyBorder="1" applyAlignment="1" applyProtection="1">
      <alignment horizontal="center" vertical="center"/>
      <protection hidden="1"/>
    </xf>
    <xf numFmtId="10" fontId="9" fillId="0" borderId="3" xfId="2" applyNumberFormat="1" applyFont="1" applyBorder="1" applyAlignment="1" applyProtection="1">
      <alignment horizontal="right" vertical="center"/>
      <protection hidden="1"/>
    </xf>
    <xf numFmtId="0" fontId="14" fillId="0" borderId="8" xfId="0" applyFont="1" applyBorder="1" applyAlignment="1" applyProtection="1">
      <alignment horizontal="center" vertical="center"/>
      <protection hidden="1"/>
    </xf>
    <xf numFmtId="49" fontId="9" fillId="5" borderId="3" xfId="2" applyNumberFormat="1" applyFont="1" applyFill="1" applyBorder="1" applyAlignment="1" applyProtection="1">
      <alignment horizontal="right" vertical="center"/>
      <protection locked="0"/>
    </xf>
    <xf numFmtId="0" fontId="9" fillId="0" borderId="10" xfId="0" applyFont="1" applyBorder="1" applyAlignment="1" applyProtection="1">
      <alignment vertical="center"/>
      <protection hidden="1"/>
    </xf>
    <xf numFmtId="0" fontId="9" fillId="0" borderId="5" xfId="0" applyFont="1" applyBorder="1" applyAlignment="1" applyProtection="1">
      <alignment vertical="center"/>
      <protection hidden="1"/>
    </xf>
    <xf numFmtId="0" fontId="9" fillId="0" borderId="0" xfId="0" applyFont="1" applyAlignment="1" applyProtection="1">
      <alignment vertical="center"/>
      <protection hidden="1"/>
    </xf>
    <xf numFmtId="10" fontId="9" fillId="4" borderId="0" xfId="2" applyNumberFormat="1" applyFont="1" applyFill="1" applyAlignment="1" applyProtection="1">
      <alignment horizontal="right" vertical="center"/>
      <protection hidden="1"/>
    </xf>
    <xf numFmtId="40" fontId="14" fillId="0" borderId="3" xfId="2" applyNumberFormat="1" applyFont="1" applyBorder="1" applyAlignment="1" applyProtection="1">
      <alignment horizontal="right" vertical="center"/>
      <protection hidden="1"/>
    </xf>
    <xf numFmtId="40" fontId="14" fillId="5" borderId="3" xfId="2" applyNumberFormat="1" applyFont="1" applyFill="1" applyBorder="1" applyAlignment="1" applyProtection="1">
      <alignment horizontal="right" vertical="center"/>
      <protection locked="0"/>
    </xf>
    <xf numFmtId="0" fontId="14" fillId="0" borderId="6" xfId="0" applyFont="1" applyBorder="1" applyAlignment="1" applyProtection="1">
      <alignment horizontal="center" vertical="center"/>
      <protection hidden="1"/>
    </xf>
    <xf numFmtId="40" fontId="14" fillId="0" borderId="7" xfId="2" applyNumberFormat="1" applyFont="1" applyBorder="1" applyAlignment="1" applyProtection="1">
      <alignment horizontal="right" vertical="center"/>
      <protection hidden="1"/>
    </xf>
    <xf numFmtId="0" fontId="14" fillId="0" borderId="0" xfId="0" applyFont="1" applyAlignment="1" applyProtection="1">
      <alignment horizontal="center" vertical="center"/>
      <protection hidden="1"/>
    </xf>
    <xf numFmtId="40" fontId="9" fillId="0" borderId="0" xfId="2" applyNumberFormat="1" applyFont="1" applyAlignment="1" applyProtection="1">
      <alignment horizontal="right" vertical="center"/>
      <protection hidden="1"/>
    </xf>
    <xf numFmtId="0" fontId="9" fillId="0" borderId="26" xfId="0" applyFont="1" applyBorder="1" applyAlignment="1" applyProtection="1">
      <alignment vertical="center"/>
      <protection hidden="1"/>
    </xf>
    <xf numFmtId="10" fontId="14" fillId="0" borderId="2" xfId="2" applyNumberFormat="1" applyFont="1" applyBorder="1" applyAlignment="1" applyProtection="1">
      <alignment horizontal="center" vertical="center"/>
      <protection hidden="1"/>
    </xf>
    <xf numFmtId="40" fontId="9" fillId="0" borderId="24" xfId="2" applyNumberFormat="1" applyFont="1" applyBorder="1" applyAlignment="1" applyProtection="1">
      <alignment horizontal="right" vertical="center"/>
      <protection hidden="1"/>
    </xf>
    <xf numFmtId="40" fontId="9" fillId="0" borderId="18" xfId="2" applyNumberFormat="1" applyFont="1" applyBorder="1" applyAlignment="1" applyProtection="1">
      <alignment horizontal="right" vertical="center"/>
      <protection hidden="1"/>
    </xf>
    <xf numFmtId="0" fontId="9" fillId="0" borderId="4" xfId="0" applyFont="1" applyBorder="1" applyAlignment="1" applyProtection="1">
      <alignment vertical="center"/>
      <protection hidden="1"/>
    </xf>
    <xf numFmtId="10" fontId="14" fillId="0" borderId="8" xfId="2" applyNumberFormat="1" applyFont="1" applyBorder="1" applyAlignment="1" applyProtection="1">
      <alignment horizontal="center" vertical="center"/>
      <protection hidden="1"/>
    </xf>
    <xf numFmtId="40" fontId="9" fillId="0" borderId="21" xfId="2" applyNumberFormat="1" applyFont="1" applyBorder="1" applyAlignment="1" applyProtection="1">
      <alignment horizontal="right" vertical="center"/>
      <protection hidden="1"/>
    </xf>
    <xf numFmtId="40" fontId="9" fillId="5" borderId="17" xfId="2" applyNumberFormat="1" applyFont="1" applyFill="1" applyBorder="1" applyAlignment="1" applyProtection="1">
      <alignment horizontal="right" vertical="center"/>
      <protection locked="0"/>
    </xf>
    <xf numFmtId="10" fontId="14" fillId="0" borderId="6" xfId="0" applyNumberFormat="1" applyFont="1" applyBorder="1" applyAlignment="1" applyProtection="1">
      <alignment horizontal="center" vertical="center"/>
      <protection hidden="1"/>
    </xf>
    <xf numFmtId="40" fontId="9" fillId="0" borderId="7" xfId="2" applyNumberFormat="1" applyFont="1" applyBorder="1" applyAlignment="1" applyProtection="1">
      <alignment horizontal="right" vertical="center"/>
      <protection hidden="1"/>
    </xf>
    <xf numFmtId="40" fontId="14" fillId="0" borderId="9" xfId="2" applyNumberFormat="1" applyFont="1" applyBorder="1" applyAlignment="1" applyProtection="1">
      <alignment horizontal="right" vertical="center"/>
      <protection hidden="1"/>
    </xf>
    <xf numFmtId="40" fontId="9" fillId="0" borderId="3" xfId="2" applyNumberFormat="1" applyFont="1" applyBorder="1" applyAlignment="1" applyProtection="1">
      <alignment horizontal="right" vertical="center"/>
      <protection hidden="1"/>
    </xf>
    <xf numFmtId="0" fontId="14" fillId="0" borderId="6" xfId="0" applyFont="1" applyBorder="1" applyAlignment="1" applyProtection="1">
      <alignment vertical="center"/>
      <protection hidden="1"/>
    </xf>
    <xf numFmtId="0" fontId="9" fillId="0" borderId="0" xfId="0" applyFont="1" applyAlignment="1" applyProtection="1">
      <alignment horizontal="center" vertical="center"/>
      <protection hidden="1"/>
    </xf>
    <xf numFmtId="40" fontId="14" fillId="0" borderId="0" xfId="2" applyNumberFormat="1" applyFont="1" applyAlignment="1" applyProtection="1">
      <alignment horizontal="right" vertical="center"/>
      <protection hidden="1"/>
    </xf>
    <xf numFmtId="40" fontId="9" fillId="5" borderId="27" xfId="0" applyNumberFormat="1" applyFont="1" applyFill="1" applyBorder="1" applyAlignment="1" applyProtection="1">
      <alignment horizontal="right" vertical="center"/>
      <protection locked="0"/>
    </xf>
    <xf numFmtId="40" fontId="9" fillId="5" borderId="3" xfId="0" applyNumberFormat="1" applyFont="1" applyFill="1" applyBorder="1" applyAlignment="1" applyProtection="1">
      <alignment horizontal="right" vertical="center"/>
      <protection locked="0"/>
    </xf>
    <xf numFmtId="40" fontId="9" fillId="5" borderId="17" xfId="0" applyNumberFormat="1" applyFont="1" applyFill="1" applyBorder="1" applyAlignment="1" applyProtection="1">
      <alignment horizontal="right" vertical="center"/>
      <protection locked="0"/>
    </xf>
    <xf numFmtId="0" fontId="9" fillId="0" borderId="12" xfId="0" applyFont="1" applyBorder="1" applyAlignment="1" applyProtection="1">
      <alignment vertical="center"/>
      <protection hidden="1"/>
    </xf>
    <xf numFmtId="10" fontId="14" fillId="0" borderId="2" xfId="1" applyNumberFormat="1" applyFont="1" applyBorder="1" applyAlignment="1" applyProtection="1">
      <alignment horizontal="center" vertical="center"/>
      <protection hidden="1"/>
    </xf>
    <xf numFmtId="10" fontId="14" fillId="0" borderId="8" xfId="1" applyNumberFormat="1" applyFont="1" applyBorder="1" applyAlignment="1" applyProtection="1">
      <alignment horizontal="center" vertical="center"/>
      <protection hidden="1"/>
    </xf>
    <xf numFmtId="40" fontId="9" fillId="0" borderId="17" xfId="2" applyNumberFormat="1" applyFont="1" applyBorder="1" applyAlignment="1" applyProtection="1">
      <alignment horizontal="right" vertical="center"/>
      <protection hidden="1"/>
    </xf>
    <xf numFmtId="165" fontId="14" fillId="0" borderId="8" xfId="1" applyNumberFormat="1" applyFont="1" applyBorder="1" applyAlignment="1" applyProtection="1">
      <alignment horizontal="center" vertical="center"/>
      <protection hidden="1"/>
    </xf>
    <xf numFmtId="40" fontId="9" fillId="0" borderId="0" xfId="0" applyNumberFormat="1" applyFont="1" applyAlignment="1" applyProtection="1">
      <alignment horizontal="center" vertical="center"/>
      <protection hidden="1"/>
    </xf>
    <xf numFmtId="10" fontId="14" fillId="0" borderId="2" xfId="0" applyNumberFormat="1" applyFont="1" applyBorder="1" applyAlignment="1" applyProtection="1">
      <alignment horizontal="center" vertical="center"/>
      <protection hidden="1"/>
    </xf>
    <xf numFmtId="0" fontId="14" fillId="0" borderId="16" xfId="0" applyFont="1" applyBorder="1" applyAlignment="1" applyProtection="1">
      <alignment horizontal="center" vertical="center"/>
      <protection hidden="1"/>
    </xf>
    <xf numFmtId="40" fontId="9" fillId="0" borderId="27" xfId="2" applyNumberFormat="1" applyFont="1" applyBorder="1" applyAlignment="1" applyProtection="1">
      <alignment horizontal="right" vertical="center"/>
      <protection hidden="1"/>
    </xf>
    <xf numFmtId="40" fontId="9" fillId="0" borderId="35" xfId="0" applyNumberFormat="1" applyFont="1" applyBorder="1" applyAlignment="1" applyProtection="1">
      <alignment horizontal="center" vertical="center"/>
      <protection hidden="1"/>
    </xf>
    <xf numFmtId="0" fontId="9" fillId="0" borderId="41" xfId="0" applyFont="1" applyBorder="1" applyAlignment="1" applyProtection="1">
      <alignment horizontal="center" vertical="center"/>
      <protection hidden="1"/>
    </xf>
    <xf numFmtId="0" fontId="13" fillId="0" borderId="2" xfId="0" applyFont="1" applyBorder="1" applyAlignment="1" applyProtection="1">
      <alignment horizontal="center" vertical="center"/>
      <protection hidden="1"/>
    </xf>
    <xf numFmtId="10" fontId="9" fillId="2" borderId="3" xfId="1" applyNumberFormat="1" applyFont="1" applyFill="1" applyBorder="1" applyAlignment="1" applyProtection="1">
      <alignment vertical="center"/>
      <protection locked="0"/>
    </xf>
    <xf numFmtId="0" fontId="5" fillId="0" borderId="9" xfId="0" applyFont="1" applyBorder="1" applyAlignment="1">
      <alignment horizontal="center" vertical="center"/>
    </xf>
    <xf numFmtId="40" fontId="5" fillId="0" borderId="9" xfId="0" applyNumberFormat="1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40" fontId="5" fillId="0" borderId="23" xfId="0" applyNumberFormat="1" applyFont="1" applyBorder="1" applyAlignment="1">
      <alignment horizontal="center" vertical="center"/>
    </xf>
    <xf numFmtId="4" fontId="6" fillId="0" borderId="19" xfId="0" applyNumberFormat="1" applyFont="1" applyBorder="1" applyAlignment="1">
      <alignment horizontal="center" vertical="center"/>
    </xf>
    <xf numFmtId="10" fontId="5" fillId="0" borderId="19" xfId="0" applyNumberFormat="1" applyFont="1" applyBorder="1" applyAlignment="1" applyProtection="1">
      <alignment horizontal="center" vertical="center"/>
      <protection hidden="1"/>
    </xf>
    <xf numFmtId="0" fontId="5" fillId="0" borderId="19" xfId="0" applyFont="1" applyBorder="1" applyAlignment="1" applyProtection="1">
      <alignment horizontal="center" vertical="center"/>
      <protection hidden="1"/>
    </xf>
    <xf numFmtId="0" fontId="5" fillId="0" borderId="20" xfId="0" applyFont="1" applyBorder="1" applyAlignment="1" applyProtection="1">
      <alignment horizontal="center" vertical="center"/>
      <protection hidden="1"/>
    </xf>
    <xf numFmtId="0" fontId="1" fillId="0" borderId="19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6" fillId="0" borderId="37" xfId="0" applyFont="1" applyBorder="1" applyAlignment="1" applyProtection="1">
      <alignment horizontal="center" vertical="center"/>
      <protection hidden="1"/>
    </xf>
    <xf numFmtId="10" fontId="5" fillId="0" borderId="30" xfId="0" applyNumberFormat="1" applyFont="1" applyBorder="1" applyAlignment="1" applyProtection="1">
      <alignment horizontal="center" vertical="center"/>
      <protection hidden="1"/>
    </xf>
    <xf numFmtId="10" fontId="5" fillId="0" borderId="23" xfId="0" applyNumberFormat="1" applyFont="1" applyBorder="1" applyAlignment="1" applyProtection="1">
      <alignment horizontal="center" vertical="center"/>
      <protection hidden="1"/>
    </xf>
    <xf numFmtId="40" fontId="6" fillId="0" borderId="23" xfId="2" applyNumberFormat="1" applyFont="1" applyBorder="1" applyAlignment="1" applyProtection="1">
      <alignment horizontal="center" vertical="center"/>
      <protection hidden="1"/>
    </xf>
    <xf numFmtId="40" fontId="6" fillId="0" borderId="19" xfId="0" applyNumberFormat="1" applyFont="1" applyBorder="1" applyAlignment="1">
      <alignment horizontal="center" vertical="center"/>
    </xf>
    <xf numFmtId="10" fontId="5" fillId="0" borderId="20" xfId="0" applyNumberFormat="1" applyFont="1" applyBorder="1" applyAlignment="1" applyProtection="1">
      <alignment horizontal="center" vertical="center"/>
      <protection hidden="1"/>
    </xf>
    <xf numFmtId="10" fontId="15" fillId="0" borderId="19" xfId="0" applyNumberFormat="1" applyFont="1" applyBorder="1" applyAlignment="1" applyProtection="1">
      <alignment horizontal="center" vertical="center"/>
      <protection hidden="1"/>
    </xf>
    <xf numFmtId="0" fontId="0" fillId="0" borderId="0" xfId="0" applyAlignment="1">
      <alignment horizontal="center" vertical="center"/>
    </xf>
    <xf numFmtId="0" fontId="11" fillId="0" borderId="40" xfId="0" applyFont="1" applyBorder="1" applyAlignment="1" applyProtection="1">
      <alignment horizontal="center" vertical="center"/>
      <protection hidden="1"/>
    </xf>
    <xf numFmtId="0" fontId="1" fillId="0" borderId="0" xfId="0" applyFont="1" applyAlignment="1">
      <alignment horizontal="center" vertical="center"/>
    </xf>
    <xf numFmtId="0" fontId="0" fillId="0" borderId="0" xfId="0" applyAlignment="1" applyProtection="1">
      <alignment horizontal="center" vertical="center"/>
      <protection hidden="1"/>
    </xf>
    <xf numFmtId="165" fontId="14" fillId="0" borderId="2" xfId="1" applyNumberFormat="1" applyFont="1" applyFill="1" applyBorder="1" applyAlignment="1" applyProtection="1">
      <alignment horizontal="center" vertical="center"/>
      <protection hidden="1"/>
    </xf>
    <xf numFmtId="40" fontId="9" fillId="0" borderId="3" xfId="2" applyNumberFormat="1" applyFont="1" applyFill="1" applyBorder="1" applyAlignment="1" applyProtection="1">
      <alignment horizontal="right" vertical="center"/>
      <protection hidden="1"/>
    </xf>
    <xf numFmtId="165" fontId="14" fillId="0" borderId="8" xfId="1" applyNumberFormat="1" applyFont="1" applyFill="1" applyBorder="1" applyAlignment="1" applyProtection="1">
      <alignment horizontal="center" vertical="center"/>
      <protection hidden="1"/>
    </xf>
    <xf numFmtId="40" fontId="9" fillId="0" borderId="17" xfId="2" applyNumberFormat="1" applyFont="1" applyFill="1" applyBorder="1" applyAlignment="1" applyProtection="1">
      <alignment horizontal="right" vertical="center"/>
      <protection hidden="1"/>
    </xf>
    <xf numFmtId="10" fontId="14" fillId="0" borderId="8" xfId="1" applyNumberFormat="1" applyFont="1" applyFill="1" applyBorder="1" applyAlignment="1" applyProtection="1">
      <alignment horizontal="center" vertical="center"/>
      <protection hidden="1"/>
    </xf>
    <xf numFmtId="40" fontId="14" fillId="0" borderId="9" xfId="2" applyNumberFormat="1" applyFont="1" applyFill="1" applyBorder="1" applyAlignment="1" applyProtection="1">
      <alignment horizontal="right" vertical="center"/>
      <protection hidden="1"/>
    </xf>
    <xf numFmtId="40" fontId="14" fillId="0" borderId="0" xfId="2" applyNumberFormat="1" applyFont="1" applyFill="1" applyBorder="1" applyAlignment="1" applyProtection="1">
      <alignment horizontal="right" vertical="center"/>
      <protection hidden="1"/>
    </xf>
    <xf numFmtId="40" fontId="9" fillId="0" borderId="7" xfId="2" applyNumberFormat="1" applyFont="1" applyFill="1" applyBorder="1" applyAlignment="1" applyProtection="1">
      <alignment horizontal="right" vertical="center"/>
      <protection hidden="1"/>
    </xf>
    <xf numFmtId="40" fontId="9" fillId="0" borderId="27" xfId="2" applyNumberFormat="1" applyFont="1" applyFill="1" applyBorder="1" applyAlignment="1" applyProtection="1">
      <alignment horizontal="right" vertical="center"/>
      <protection hidden="1"/>
    </xf>
    <xf numFmtId="168" fontId="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40" fontId="13" fillId="0" borderId="9" xfId="0" applyNumberFormat="1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40" fontId="11" fillId="0" borderId="20" xfId="0" applyNumberFormat="1" applyFont="1" applyBorder="1" applyAlignment="1">
      <alignment horizontal="center" vertical="center"/>
    </xf>
    <xf numFmtId="10" fontId="11" fillId="0" borderId="32" xfId="0" applyNumberFormat="1" applyFont="1" applyBorder="1" applyAlignment="1">
      <alignment horizontal="center" vertical="center"/>
    </xf>
    <xf numFmtId="40" fontId="13" fillId="8" borderId="9" xfId="0" applyNumberFormat="1" applyFont="1" applyFill="1" applyBorder="1" applyAlignment="1">
      <alignment horizontal="center" vertical="center"/>
    </xf>
    <xf numFmtId="10" fontId="13" fillId="8" borderId="22" xfId="0" applyNumberFormat="1" applyFont="1" applyFill="1" applyBorder="1" applyAlignment="1">
      <alignment horizontal="center" vertical="center"/>
    </xf>
    <xf numFmtId="40" fontId="11" fillId="0" borderId="19" xfId="2" applyNumberFormat="1" applyFont="1" applyFill="1" applyBorder="1" applyAlignment="1" applyProtection="1">
      <alignment horizontal="center" vertical="center"/>
      <protection hidden="1"/>
    </xf>
    <xf numFmtId="0" fontId="11" fillId="0" borderId="32" xfId="0" applyFont="1" applyBorder="1" applyAlignment="1">
      <alignment horizontal="center" vertical="center"/>
    </xf>
    <xf numFmtId="168" fontId="11" fillId="0" borderId="0" xfId="0" applyNumberFormat="1" applyFont="1" applyAlignment="1">
      <alignment horizontal="center" vertical="center"/>
    </xf>
    <xf numFmtId="40" fontId="11" fillId="0" borderId="0" xfId="0" applyNumberFormat="1" applyFont="1" applyAlignment="1">
      <alignment horizontal="center" vertical="center"/>
    </xf>
    <xf numFmtId="168" fontId="11" fillId="0" borderId="19" xfId="0" applyNumberFormat="1" applyFont="1" applyBorder="1" applyAlignment="1">
      <alignment horizontal="center" vertical="center"/>
    </xf>
    <xf numFmtId="10" fontId="13" fillId="0" borderId="18" xfId="0" applyNumberFormat="1" applyFont="1" applyBorder="1" applyAlignment="1">
      <alignment horizontal="center" vertical="center"/>
    </xf>
    <xf numFmtId="40" fontId="11" fillId="0" borderId="32" xfId="2" applyNumberFormat="1" applyFont="1" applyFill="1" applyBorder="1" applyAlignment="1" applyProtection="1">
      <alignment horizontal="center" vertical="center"/>
      <protection hidden="1"/>
    </xf>
    <xf numFmtId="0" fontId="11" fillId="0" borderId="33" xfId="0" applyFont="1" applyBorder="1" applyAlignment="1">
      <alignment horizontal="center" vertical="center"/>
    </xf>
    <xf numFmtId="40" fontId="11" fillId="0" borderId="28" xfId="2" applyNumberFormat="1" applyFont="1" applyFill="1" applyBorder="1" applyAlignment="1" applyProtection="1">
      <alignment horizontal="center" vertical="center"/>
      <protection hidden="1"/>
    </xf>
    <xf numFmtId="10" fontId="11" fillId="0" borderId="56" xfId="1" applyNumberFormat="1" applyFont="1" applyBorder="1" applyAlignment="1">
      <alignment horizontal="center" vertical="center"/>
    </xf>
    <xf numFmtId="10" fontId="11" fillId="0" borderId="18" xfId="1" applyNumberFormat="1" applyFont="1" applyBorder="1" applyAlignment="1">
      <alignment horizontal="center" vertical="center"/>
    </xf>
    <xf numFmtId="10" fontId="13" fillId="0" borderId="9" xfId="1" applyNumberFormat="1" applyFont="1" applyBorder="1" applyAlignment="1">
      <alignment horizontal="center" vertical="center"/>
    </xf>
    <xf numFmtId="167" fontId="9" fillId="0" borderId="27" xfId="0" applyNumberFormat="1" applyFont="1" applyBorder="1" applyAlignment="1" applyProtection="1">
      <alignment vertical="center"/>
      <protection hidden="1"/>
    </xf>
    <xf numFmtId="0" fontId="5" fillId="0" borderId="40" xfId="0" applyFont="1" applyBorder="1" applyAlignment="1" applyProtection="1">
      <alignment horizontal="center" vertical="center"/>
      <protection hidden="1"/>
    </xf>
    <xf numFmtId="0" fontId="5" fillId="0" borderId="22" xfId="0" applyFont="1" applyBorder="1" applyAlignment="1">
      <alignment horizontal="center" vertical="center"/>
    </xf>
    <xf numFmtId="0" fontId="5" fillId="8" borderId="40" xfId="0" applyFont="1" applyFill="1" applyBorder="1" applyAlignment="1" applyProtection="1">
      <alignment horizontal="center" vertical="center"/>
      <protection hidden="1"/>
    </xf>
    <xf numFmtId="0" fontId="5" fillId="8" borderId="22" xfId="0" applyFont="1" applyFill="1" applyBorder="1" applyAlignment="1" applyProtection="1">
      <alignment horizontal="center" vertical="center"/>
      <protection hidden="1"/>
    </xf>
    <xf numFmtId="0" fontId="6" fillId="0" borderId="29" xfId="0" applyFont="1" applyBorder="1" applyAlignment="1" applyProtection="1">
      <alignment horizontal="center" vertical="center"/>
      <protection hidden="1"/>
    </xf>
    <xf numFmtId="0" fontId="6" fillId="0" borderId="24" xfId="0" applyFont="1" applyBorder="1" applyAlignment="1">
      <alignment horizontal="center" vertical="center"/>
    </xf>
    <xf numFmtId="0" fontId="6" fillId="0" borderId="19" xfId="0" applyFont="1" applyBorder="1" applyAlignment="1" applyProtection="1">
      <alignment horizontal="center" vertical="center"/>
      <protection hidden="1"/>
    </xf>
    <xf numFmtId="10" fontId="6" fillId="0" borderId="18" xfId="0" applyNumberFormat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0" fontId="5" fillId="8" borderId="9" xfId="0" applyNumberFormat="1" applyFont="1" applyFill="1" applyBorder="1" applyAlignment="1">
      <alignment horizontal="center" vertical="center"/>
    </xf>
    <xf numFmtId="10" fontId="5" fillId="8" borderId="22" xfId="0" applyNumberFormat="1" applyFont="1" applyFill="1" applyBorder="1" applyAlignment="1">
      <alignment horizontal="center" vertical="center"/>
    </xf>
    <xf numFmtId="0" fontId="6" fillId="0" borderId="23" xfId="0" applyFont="1" applyBorder="1" applyAlignment="1" applyProtection="1">
      <alignment horizontal="center" vertical="center"/>
      <protection hidden="1"/>
    </xf>
    <xf numFmtId="0" fontId="6" fillId="0" borderId="23" xfId="0" applyFont="1" applyBorder="1" applyAlignment="1">
      <alignment horizontal="center" vertical="center"/>
    </xf>
    <xf numFmtId="40" fontId="6" fillId="0" borderId="23" xfId="0" applyNumberFormat="1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40" fontId="6" fillId="0" borderId="19" xfId="2" applyNumberFormat="1" applyFont="1" applyBorder="1" applyAlignment="1" applyProtection="1">
      <alignment horizontal="center" vertical="center"/>
      <protection hidden="1"/>
    </xf>
    <xf numFmtId="0" fontId="6" fillId="0" borderId="19" xfId="0" applyFont="1" applyBorder="1" applyAlignment="1">
      <alignment horizontal="center" vertical="center"/>
    </xf>
    <xf numFmtId="0" fontId="8" fillId="0" borderId="19" xfId="0" applyFont="1" applyBorder="1" applyAlignment="1" applyProtection="1">
      <alignment horizontal="center" vertical="center"/>
      <protection hidden="1"/>
    </xf>
    <xf numFmtId="168" fontId="5" fillId="0" borderId="47" xfId="0" applyNumberFormat="1" applyFont="1" applyBorder="1" applyAlignment="1" applyProtection="1">
      <alignment horizontal="center" vertical="center"/>
      <protection hidden="1"/>
    </xf>
    <xf numFmtId="0" fontId="5" fillId="0" borderId="36" xfId="0" applyFont="1" applyBorder="1" applyAlignment="1" applyProtection="1">
      <alignment horizontal="center" vertical="center"/>
      <protection hidden="1"/>
    </xf>
    <xf numFmtId="10" fontId="5" fillId="0" borderId="19" xfId="0" applyNumberFormat="1" applyFont="1" applyBorder="1" applyAlignment="1">
      <alignment horizontal="center" vertical="center"/>
    </xf>
    <xf numFmtId="0" fontId="6" fillId="0" borderId="51" xfId="0" applyFont="1" applyBorder="1" applyAlignment="1" applyProtection="1">
      <alignment horizontal="center" vertical="center"/>
      <protection hidden="1"/>
    </xf>
    <xf numFmtId="0" fontId="6" fillId="0" borderId="28" xfId="0" applyFont="1" applyBorder="1" applyAlignment="1">
      <alignment horizontal="center" vertical="center"/>
    </xf>
    <xf numFmtId="40" fontId="6" fillId="0" borderId="24" xfId="0" applyNumberFormat="1" applyFont="1" applyBorder="1" applyAlignment="1">
      <alignment horizontal="center" vertical="center"/>
    </xf>
    <xf numFmtId="168" fontId="6" fillId="0" borderId="52" xfId="0" applyNumberFormat="1" applyFont="1" applyBorder="1" applyAlignment="1">
      <alignment horizontal="center" vertical="center"/>
    </xf>
    <xf numFmtId="40" fontId="6" fillId="0" borderId="2" xfId="0" applyNumberFormat="1" applyFont="1" applyBorder="1" applyAlignment="1">
      <alignment horizontal="center" vertical="center"/>
    </xf>
    <xf numFmtId="168" fontId="6" fillId="0" borderId="53" xfId="0" applyNumberFormat="1" applyFont="1" applyBorder="1" applyAlignment="1">
      <alignment horizontal="center" vertical="center"/>
    </xf>
    <xf numFmtId="40" fontId="6" fillId="0" borderId="6" xfId="0" applyNumberFormat="1" applyFont="1" applyBorder="1" applyAlignment="1">
      <alignment horizontal="center" vertical="center"/>
    </xf>
    <xf numFmtId="10" fontId="5" fillId="0" borderId="30" xfId="0" applyNumberFormat="1" applyFont="1" applyBorder="1" applyAlignment="1">
      <alignment horizontal="center" vertical="center"/>
    </xf>
    <xf numFmtId="0" fontId="6" fillId="0" borderId="9" xfId="0" applyFont="1" applyBorder="1" applyAlignment="1" applyProtection="1">
      <alignment horizontal="center" vertical="center"/>
      <protection hidden="1"/>
    </xf>
    <xf numFmtId="0" fontId="6" fillId="0" borderId="4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0" fontId="6" fillId="0" borderId="18" xfId="1" applyNumberFormat="1" applyFont="1" applyBorder="1" applyAlignment="1">
      <alignment horizontal="center" vertical="center"/>
    </xf>
    <xf numFmtId="0" fontId="6" fillId="0" borderId="55" xfId="0" applyFont="1" applyBorder="1" applyAlignment="1" applyProtection="1">
      <alignment horizontal="center" vertical="center"/>
      <protection hidden="1"/>
    </xf>
    <xf numFmtId="40" fontId="6" fillId="0" borderId="20" xfId="2" applyNumberFormat="1" applyFont="1" applyBorder="1" applyAlignment="1" applyProtection="1">
      <alignment horizontal="center" vertical="center"/>
      <protection hidden="1"/>
    </xf>
    <xf numFmtId="0" fontId="6" fillId="0" borderId="21" xfId="0" applyFont="1" applyBorder="1" applyAlignment="1">
      <alignment horizontal="center" vertical="center"/>
    </xf>
    <xf numFmtId="0" fontId="5" fillId="0" borderId="9" xfId="0" applyFont="1" applyBorder="1" applyAlignment="1" applyProtection="1">
      <alignment horizontal="center" vertical="center"/>
      <protection hidden="1"/>
    </xf>
    <xf numFmtId="40" fontId="1" fillId="0" borderId="0" xfId="0" applyNumberFormat="1" applyFont="1" applyAlignment="1">
      <alignment horizontal="center" vertical="center"/>
    </xf>
    <xf numFmtId="40" fontId="9" fillId="0" borderId="25" xfId="0" applyNumberFormat="1" applyFont="1" applyBorder="1" applyAlignment="1" applyProtection="1">
      <alignment horizontal="center" vertical="center"/>
      <protection hidden="1"/>
    </xf>
    <xf numFmtId="0" fontId="9" fillId="0" borderId="25" xfId="0" applyFont="1" applyBorder="1" applyAlignment="1" applyProtection="1">
      <alignment horizontal="center" vertical="center"/>
      <protection hidden="1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37" xfId="0" applyFont="1" applyBorder="1" applyAlignment="1" applyProtection="1">
      <alignment horizontal="center" vertical="center"/>
      <protection hidden="1"/>
    </xf>
    <xf numFmtId="0" fontId="13" fillId="0" borderId="40" xfId="0" applyFont="1" applyBorder="1" applyAlignment="1">
      <alignment horizontal="center" vertical="center"/>
    </xf>
    <xf numFmtId="0" fontId="11" fillId="0" borderId="55" xfId="0" applyFont="1" applyBorder="1" applyAlignment="1" applyProtection="1">
      <alignment horizontal="center" vertical="center"/>
      <protection hidden="1"/>
    </xf>
    <xf numFmtId="0" fontId="11" fillId="0" borderId="29" xfId="0" applyFont="1" applyBorder="1" applyAlignment="1" applyProtection="1">
      <alignment horizontal="center" vertical="center"/>
      <protection hidden="1"/>
    </xf>
    <xf numFmtId="0" fontId="11" fillId="0" borderId="18" xfId="0" applyFont="1" applyBorder="1" applyAlignment="1" applyProtection="1">
      <alignment vertical="center"/>
      <protection hidden="1"/>
    </xf>
    <xf numFmtId="10" fontId="11" fillId="0" borderId="28" xfId="1" applyNumberFormat="1" applyFont="1" applyBorder="1" applyAlignment="1" applyProtection="1">
      <alignment horizontal="center" vertical="center"/>
      <protection hidden="1"/>
    </xf>
    <xf numFmtId="10" fontId="11" fillId="0" borderId="19" xfId="1" applyNumberFormat="1" applyFont="1" applyBorder="1" applyAlignment="1" applyProtection="1">
      <alignment horizontal="center" vertical="center"/>
      <protection hidden="1"/>
    </xf>
    <xf numFmtId="0" fontId="6" fillId="0" borderId="20" xfId="0" applyFont="1" applyBorder="1" applyAlignment="1" applyProtection="1">
      <alignment horizontal="center" vertical="center"/>
      <protection hidden="1"/>
    </xf>
    <xf numFmtId="10" fontId="5" fillId="0" borderId="9" xfId="1" applyNumberFormat="1" applyFont="1" applyBorder="1" applyAlignment="1" applyProtection="1">
      <alignment horizontal="center" vertical="center"/>
      <protection hidden="1"/>
    </xf>
    <xf numFmtId="0" fontId="13" fillId="0" borderId="22" xfId="0" applyFont="1" applyBorder="1" applyAlignment="1">
      <alignment vertical="center"/>
    </xf>
    <xf numFmtId="0" fontId="11" fillId="0" borderId="21" xfId="0" applyFont="1" applyBorder="1" applyAlignment="1" applyProtection="1">
      <alignment vertical="center"/>
      <protection hidden="1"/>
    </xf>
    <xf numFmtId="0" fontId="11" fillId="0" borderId="56" xfId="0" applyFont="1" applyBorder="1" applyAlignment="1" applyProtection="1">
      <alignment vertical="center"/>
      <protection hidden="1"/>
    </xf>
    <xf numFmtId="0" fontId="11" fillId="0" borderId="38" xfId="0" applyFont="1" applyBorder="1" applyAlignment="1" applyProtection="1">
      <alignment vertical="center"/>
      <protection hidden="1"/>
    </xf>
    <xf numFmtId="0" fontId="11" fillId="0" borderId="22" xfId="0" applyFont="1" applyBorder="1" applyAlignment="1" applyProtection="1">
      <alignment vertical="center"/>
      <protection hidden="1"/>
    </xf>
    <xf numFmtId="10" fontId="11" fillId="0" borderId="20" xfId="1" applyNumberFormat="1" applyFont="1" applyBorder="1" applyAlignment="1" applyProtection="1">
      <alignment horizontal="center" vertical="center"/>
      <protection hidden="1"/>
    </xf>
    <xf numFmtId="168" fontId="11" fillId="0" borderId="20" xfId="0" applyNumberFormat="1" applyFont="1" applyBorder="1" applyAlignment="1">
      <alignment horizontal="center" vertical="center"/>
    </xf>
    <xf numFmtId="10" fontId="11" fillId="0" borderId="9" xfId="1" applyNumberFormat="1" applyFont="1" applyBorder="1" applyAlignment="1" applyProtection="1">
      <alignment horizontal="center" vertical="center"/>
      <protection hidden="1"/>
    </xf>
    <xf numFmtId="168" fontId="11" fillId="0" borderId="9" xfId="0" applyNumberFormat="1" applyFont="1" applyBorder="1" applyAlignment="1">
      <alignment horizontal="center" vertical="center"/>
    </xf>
    <xf numFmtId="0" fontId="11" fillId="0" borderId="25" xfId="0" applyFont="1" applyBorder="1" applyAlignment="1" applyProtection="1">
      <alignment vertical="center"/>
      <protection hidden="1"/>
    </xf>
    <xf numFmtId="10" fontId="13" fillId="0" borderId="24" xfId="0" applyNumberFormat="1" applyFont="1" applyBorder="1" applyAlignment="1">
      <alignment horizontal="center" vertical="center"/>
    </xf>
    <xf numFmtId="10" fontId="13" fillId="0" borderId="30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 vertical="center"/>
    </xf>
    <xf numFmtId="168" fontId="12" fillId="0" borderId="0" xfId="0" applyNumberFormat="1" applyFont="1" applyAlignment="1">
      <alignment horizontal="center" vertical="center"/>
    </xf>
    <xf numFmtId="40" fontId="12" fillId="0" borderId="0" xfId="0" applyNumberFormat="1" applyFont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10" fontId="12" fillId="0" borderId="0" xfId="0" applyNumberFormat="1" applyFont="1" applyAlignment="1">
      <alignment horizontal="center" vertical="center"/>
    </xf>
    <xf numFmtId="9" fontId="12" fillId="0" borderId="0" xfId="0" applyNumberFormat="1" applyFont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168" fontId="12" fillId="0" borderId="49" xfId="0" applyNumberFormat="1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168" fontId="20" fillId="0" borderId="0" xfId="0" applyNumberFormat="1" applyFont="1" applyAlignment="1">
      <alignment horizontal="center" vertical="center"/>
    </xf>
    <xf numFmtId="40" fontId="12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0" fontId="5" fillId="0" borderId="32" xfId="0" applyFont="1" applyBorder="1" applyAlignment="1" applyProtection="1">
      <alignment horizontal="center" vertical="center"/>
      <protection hidden="1"/>
    </xf>
    <xf numFmtId="40" fontId="6" fillId="0" borderId="19" xfId="0" applyNumberFormat="1" applyFont="1" applyBorder="1" applyAlignment="1" applyProtection="1">
      <alignment horizontal="center" vertical="center"/>
      <protection hidden="1"/>
    </xf>
    <xf numFmtId="40" fontId="6" fillId="0" borderId="55" xfId="0" applyNumberFormat="1" applyFont="1" applyBorder="1" applyAlignment="1" applyProtection="1">
      <alignment horizontal="center" vertical="center"/>
      <protection hidden="1"/>
    </xf>
    <xf numFmtId="40" fontId="6" fillId="0" borderId="30" xfId="0" applyNumberFormat="1" applyFont="1" applyBorder="1" applyAlignment="1">
      <alignment horizontal="center" vertical="center"/>
    </xf>
    <xf numFmtId="40" fontId="12" fillId="11" borderId="2" xfId="0" applyNumberFormat="1" applyFont="1" applyFill="1" applyBorder="1" applyAlignment="1">
      <alignment horizontal="center" vertical="center"/>
    </xf>
    <xf numFmtId="0" fontId="0" fillId="0" borderId="0" xfId="0" applyAlignment="1" applyProtection="1">
      <alignment vertical="center"/>
      <protection hidden="1"/>
    </xf>
    <xf numFmtId="0" fontId="9" fillId="0" borderId="10" xfId="0" applyFont="1" applyBorder="1" applyAlignment="1" applyProtection="1">
      <alignment horizontal="left" vertical="center"/>
      <protection hidden="1"/>
    </xf>
    <xf numFmtId="0" fontId="9" fillId="0" borderId="11" xfId="0" applyFont="1" applyBorder="1" applyAlignment="1" applyProtection="1">
      <alignment horizontal="center" vertical="center"/>
      <protection hidden="1"/>
    </xf>
    <xf numFmtId="40" fontId="0" fillId="0" borderId="0" xfId="0" applyNumberFormat="1" applyAlignment="1" applyProtection="1">
      <alignment vertical="center"/>
      <protection hidden="1"/>
    </xf>
    <xf numFmtId="0" fontId="9" fillId="0" borderId="26" xfId="0" applyFont="1" applyBorder="1" applyAlignment="1" applyProtection="1">
      <alignment horizontal="left" vertical="center"/>
      <protection hidden="1"/>
    </xf>
    <xf numFmtId="0" fontId="9" fillId="0" borderId="16" xfId="0" applyFont="1" applyBorder="1" applyAlignment="1" applyProtection="1">
      <alignment horizontal="center" vertical="center"/>
      <protection hidden="1"/>
    </xf>
    <xf numFmtId="4" fontId="9" fillId="0" borderId="3" xfId="0" applyNumberFormat="1" applyFont="1" applyBorder="1" applyAlignment="1" applyProtection="1">
      <alignment horizontal="right" vertical="center"/>
      <protection hidden="1"/>
    </xf>
    <xf numFmtId="0" fontId="14" fillId="0" borderId="2" xfId="0" applyFont="1" applyBorder="1" applyAlignment="1" applyProtection="1">
      <alignment vertical="center"/>
      <protection hidden="1"/>
    </xf>
    <xf numFmtId="168" fontId="0" fillId="0" borderId="0" xfId="0" applyNumberFormat="1" applyAlignment="1" applyProtection="1">
      <alignment vertical="center"/>
      <protection hidden="1"/>
    </xf>
    <xf numFmtId="14" fontId="14" fillId="0" borderId="2" xfId="0" applyNumberFormat="1" applyFont="1" applyBorder="1" applyAlignment="1" applyProtection="1">
      <alignment horizontal="center" vertical="center"/>
      <protection hidden="1"/>
    </xf>
    <xf numFmtId="0" fontId="9" fillId="0" borderId="11" xfId="0" applyFont="1" applyBorder="1" applyAlignment="1" applyProtection="1">
      <alignment vertical="center"/>
      <protection hidden="1"/>
    </xf>
    <xf numFmtId="0" fontId="1" fillId="0" borderId="0" xfId="0" applyFont="1" applyAlignment="1" applyProtection="1">
      <alignment horizontal="center" vertical="center"/>
      <protection hidden="1"/>
    </xf>
    <xf numFmtId="0" fontId="1" fillId="0" borderId="0" xfId="0" applyFont="1" applyAlignment="1" applyProtection="1">
      <alignment vertical="center"/>
      <protection hidden="1"/>
    </xf>
    <xf numFmtId="0" fontId="9" fillId="0" borderId="2" xfId="0" applyFont="1" applyBorder="1" applyAlignment="1" applyProtection="1">
      <alignment horizontal="center" vertical="center"/>
      <protection hidden="1"/>
    </xf>
    <xf numFmtId="0" fontId="9" fillId="0" borderId="8" xfId="0" applyFont="1" applyBorder="1" applyAlignment="1" applyProtection="1">
      <alignment horizontal="center" vertical="center"/>
      <protection hidden="1"/>
    </xf>
    <xf numFmtId="0" fontId="9" fillId="0" borderId="13" xfId="0" applyFont="1" applyBorder="1" applyAlignment="1" applyProtection="1">
      <alignment vertical="center"/>
      <protection hidden="1"/>
    </xf>
    <xf numFmtId="40" fontId="9" fillId="0" borderId="14" xfId="0" applyNumberFormat="1" applyFont="1" applyBorder="1" applyAlignment="1" applyProtection="1">
      <alignment vertical="center"/>
      <protection hidden="1"/>
    </xf>
    <xf numFmtId="0" fontId="9" fillId="0" borderId="8" xfId="0" applyFont="1" applyBorder="1" applyAlignment="1" applyProtection="1">
      <alignment vertical="center"/>
      <protection hidden="1"/>
    </xf>
    <xf numFmtId="40" fontId="9" fillId="0" borderId="17" xfId="0" applyNumberFormat="1" applyFont="1" applyBorder="1" applyAlignment="1" applyProtection="1">
      <alignment vertical="center"/>
      <protection hidden="1"/>
    </xf>
    <xf numFmtId="175" fontId="9" fillId="0" borderId="0" xfId="0" applyNumberFormat="1" applyFont="1" applyAlignment="1" applyProtection="1">
      <alignment vertical="center"/>
      <protection hidden="1"/>
    </xf>
    <xf numFmtId="10" fontId="0" fillId="0" borderId="0" xfId="0" applyNumberFormat="1" applyAlignment="1" applyProtection="1">
      <alignment vertical="center"/>
      <protection hidden="1"/>
    </xf>
    <xf numFmtId="40" fontId="9" fillId="0" borderId="15" xfId="0" applyNumberFormat="1" applyFont="1" applyBorder="1" applyAlignment="1" applyProtection="1">
      <alignment vertical="center"/>
      <protection hidden="1"/>
    </xf>
    <xf numFmtId="0" fontId="9" fillId="0" borderId="16" xfId="0" applyFont="1" applyBorder="1" applyAlignment="1" applyProtection="1">
      <alignment vertical="center"/>
      <protection hidden="1"/>
    </xf>
    <xf numFmtId="40" fontId="9" fillId="0" borderId="27" xfId="0" applyNumberFormat="1" applyFont="1" applyBorder="1" applyAlignment="1" applyProtection="1">
      <alignment vertical="center"/>
      <protection hidden="1"/>
    </xf>
    <xf numFmtId="0" fontId="9" fillId="0" borderId="2" xfId="0" applyFont="1" applyBorder="1" applyAlignment="1" applyProtection="1">
      <alignment vertical="center"/>
      <protection hidden="1"/>
    </xf>
    <xf numFmtId="40" fontId="9" fillId="0" borderId="3" xfId="0" applyNumberFormat="1" applyFont="1" applyBorder="1" applyAlignment="1" applyProtection="1">
      <alignment vertical="center"/>
      <protection hidden="1"/>
    </xf>
    <xf numFmtId="40" fontId="0" fillId="0" borderId="0" xfId="0" applyNumberFormat="1" applyAlignment="1" applyProtection="1">
      <alignment horizontal="center" vertical="center"/>
      <protection hidden="1"/>
    </xf>
    <xf numFmtId="40" fontId="9" fillId="0" borderId="1" xfId="0" applyNumberFormat="1" applyFont="1" applyBorder="1" applyAlignment="1" applyProtection="1">
      <alignment vertical="center"/>
      <protection hidden="1"/>
    </xf>
    <xf numFmtId="10" fontId="9" fillId="0" borderId="2" xfId="1" applyNumberFormat="1" applyFont="1" applyBorder="1" applyAlignment="1" applyProtection="1">
      <alignment vertical="center"/>
      <protection hidden="1"/>
    </xf>
    <xf numFmtId="4" fontId="0" fillId="0" borderId="0" xfId="0" applyNumberFormat="1" applyAlignment="1" applyProtection="1">
      <alignment vertical="center"/>
      <protection hidden="1"/>
    </xf>
    <xf numFmtId="40" fontId="9" fillId="0" borderId="7" xfId="0" applyNumberFormat="1" applyFont="1" applyBorder="1" applyAlignment="1" applyProtection="1">
      <alignment vertical="center"/>
      <protection hidden="1"/>
    </xf>
    <xf numFmtId="10" fontId="0" fillId="0" borderId="0" xfId="1" applyNumberFormat="1" applyFont="1" applyAlignment="1" applyProtection="1">
      <alignment vertical="center"/>
      <protection hidden="1"/>
    </xf>
    <xf numFmtId="40" fontId="9" fillId="3" borderId="9" xfId="0" applyNumberFormat="1" applyFont="1" applyFill="1" applyBorder="1" applyAlignment="1" applyProtection="1">
      <alignment vertical="center"/>
      <protection hidden="1"/>
    </xf>
    <xf numFmtId="40" fontId="9" fillId="3" borderId="41" xfId="0" applyNumberFormat="1" applyFont="1" applyFill="1" applyBorder="1" applyAlignment="1" applyProtection="1">
      <alignment vertical="center"/>
      <protection hidden="1"/>
    </xf>
    <xf numFmtId="40" fontId="9" fillId="0" borderId="25" xfId="0" applyNumberFormat="1" applyFont="1" applyBorder="1" applyAlignment="1" applyProtection="1">
      <alignment vertical="center"/>
      <protection hidden="1"/>
    </xf>
    <xf numFmtId="40" fontId="9" fillId="0" borderId="0" xfId="0" applyNumberFormat="1" applyFont="1" applyAlignment="1" applyProtection="1">
      <alignment vertical="center"/>
      <protection hidden="1"/>
    </xf>
    <xf numFmtId="168" fontId="9" fillId="0" borderId="0" xfId="0" applyNumberFormat="1" applyFont="1" applyAlignment="1" applyProtection="1">
      <alignment vertical="center"/>
      <protection hidden="1"/>
    </xf>
    <xf numFmtId="10" fontId="9" fillId="0" borderId="2" xfId="1" applyNumberFormat="1" applyFont="1" applyBorder="1" applyAlignment="1" applyProtection="1">
      <alignment horizontal="center" vertical="center"/>
      <protection hidden="1"/>
    </xf>
    <xf numFmtId="10" fontId="9" fillId="0" borderId="2" xfId="0" applyNumberFormat="1" applyFont="1" applyBorder="1" applyAlignment="1" applyProtection="1">
      <alignment horizontal="center" vertical="center"/>
      <protection hidden="1"/>
    </xf>
    <xf numFmtId="10" fontId="9" fillId="0" borderId="6" xfId="0" applyNumberFormat="1" applyFont="1" applyBorder="1" applyAlignment="1" applyProtection="1">
      <alignment horizontal="center" vertical="center"/>
      <protection hidden="1"/>
    </xf>
    <xf numFmtId="40" fontId="9" fillId="3" borderId="22" xfId="0" applyNumberFormat="1" applyFont="1" applyFill="1" applyBorder="1" applyAlignment="1" applyProtection="1">
      <alignment vertical="center"/>
      <protection hidden="1"/>
    </xf>
    <xf numFmtId="10" fontId="9" fillId="0" borderId="0" xfId="1" applyNumberFormat="1" applyFont="1" applyAlignment="1" applyProtection="1">
      <alignment vertical="center"/>
      <protection hidden="1"/>
    </xf>
    <xf numFmtId="10" fontId="9" fillId="0" borderId="0" xfId="0" applyNumberFormat="1" applyFont="1" applyAlignment="1" applyProtection="1">
      <alignment horizontal="center" vertical="center"/>
      <protection hidden="1"/>
    </xf>
    <xf numFmtId="9" fontId="9" fillId="0" borderId="2" xfId="0" applyNumberFormat="1" applyFont="1" applyBorder="1" applyAlignment="1" applyProtection="1">
      <alignment horizontal="center" vertical="center"/>
      <protection hidden="1"/>
    </xf>
    <xf numFmtId="10" fontId="9" fillId="0" borderId="3" xfId="0" applyNumberFormat="1" applyFont="1" applyBorder="1" applyAlignment="1" applyProtection="1">
      <alignment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10" fontId="9" fillId="0" borderId="7" xfId="0" applyNumberFormat="1" applyFont="1" applyBorder="1" applyAlignment="1" applyProtection="1">
      <alignment vertical="center"/>
      <protection hidden="1"/>
    </xf>
    <xf numFmtId="4" fontId="0" fillId="0" borderId="0" xfId="0" applyNumberFormat="1" applyAlignment="1" applyProtection="1">
      <alignment horizontal="center" vertical="center"/>
      <protection hidden="1"/>
    </xf>
    <xf numFmtId="0" fontId="12" fillId="0" borderId="0" xfId="0" applyFont="1" applyAlignment="1" applyProtection="1">
      <alignment horizontal="center" vertical="center"/>
      <protection hidden="1"/>
    </xf>
    <xf numFmtId="0" fontId="21" fillId="6" borderId="40" xfId="0" applyFont="1" applyFill="1" applyBorder="1" applyAlignment="1" applyProtection="1">
      <alignment horizontal="center" vertical="center"/>
      <protection hidden="1"/>
    </xf>
    <xf numFmtId="0" fontId="21" fillId="6" borderId="22" xfId="0" applyFont="1" applyFill="1" applyBorder="1" applyAlignment="1" applyProtection="1">
      <alignment horizontal="center" vertical="center"/>
      <protection hidden="1"/>
    </xf>
    <xf numFmtId="0" fontId="21" fillId="6" borderId="25" xfId="0" applyFont="1" applyFill="1" applyBorder="1" applyAlignment="1" applyProtection="1">
      <alignment horizontal="center" vertical="center"/>
      <protection hidden="1"/>
    </xf>
    <xf numFmtId="0" fontId="21" fillId="0" borderId="0" xfId="0" applyFont="1" applyAlignment="1" applyProtection="1">
      <alignment horizontal="center" vertical="center"/>
      <protection hidden="1"/>
    </xf>
    <xf numFmtId="0" fontId="21" fillId="6" borderId="13" xfId="0" applyFont="1" applyFill="1" applyBorder="1" applyAlignment="1" applyProtection="1">
      <alignment horizontal="center" vertical="center"/>
      <protection hidden="1"/>
    </xf>
    <xf numFmtId="0" fontId="21" fillId="6" borderId="14" xfId="0" applyFont="1" applyFill="1" applyBorder="1" applyAlignment="1" applyProtection="1">
      <alignment horizontal="center" vertical="center"/>
      <protection hidden="1"/>
    </xf>
    <xf numFmtId="40" fontId="21" fillId="6" borderId="13" xfId="0" applyNumberFormat="1" applyFont="1" applyFill="1" applyBorder="1" applyAlignment="1" applyProtection="1">
      <alignment horizontal="center" vertical="center"/>
      <protection hidden="1"/>
    </xf>
    <xf numFmtId="0" fontId="21" fillId="6" borderId="42" xfId="0" applyFont="1" applyFill="1" applyBorder="1" applyAlignment="1" applyProtection="1">
      <alignment horizontal="center" vertical="center"/>
      <protection hidden="1"/>
    </xf>
    <xf numFmtId="40" fontId="21" fillId="6" borderId="14" xfId="0" applyNumberFormat="1" applyFont="1" applyFill="1" applyBorder="1" applyAlignment="1" applyProtection="1">
      <alignment horizontal="center" vertical="center"/>
      <protection hidden="1"/>
    </xf>
    <xf numFmtId="40" fontId="21" fillId="6" borderId="22" xfId="0" applyNumberFormat="1" applyFont="1" applyFill="1" applyBorder="1" applyAlignment="1" applyProtection="1">
      <alignment horizontal="center" vertical="center"/>
      <protection hidden="1"/>
    </xf>
    <xf numFmtId="40" fontId="21" fillId="6" borderId="25" xfId="0" applyNumberFormat="1" applyFont="1" applyFill="1" applyBorder="1" applyAlignment="1" applyProtection="1">
      <alignment horizontal="center" vertical="center"/>
      <protection hidden="1"/>
    </xf>
    <xf numFmtId="10" fontId="21" fillId="6" borderId="16" xfId="0" applyNumberFormat="1" applyFont="1" applyFill="1" applyBorder="1" applyAlignment="1" applyProtection="1">
      <alignment horizontal="center" vertical="center"/>
      <protection hidden="1"/>
    </xf>
    <xf numFmtId="10" fontId="21" fillId="6" borderId="27" xfId="0" applyNumberFormat="1" applyFont="1" applyFill="1" applyBorder="1" applyAlignment="1" applyProtection="1">
      <alignment horizontal="center" vertical="center"/>
      <protection hidden="1"/>
    </xf>
    <xf numFmtId="40" fontId="21" fillId="6" borderId="16" xfId="0" applyNumberFormat="1" applyFont="1" applyFill="1" applyBorder="1" applyAlignment="1" applyProtection="1">
      <alignment horizontal="center" vertical="center"/>
      <protection hidden="1"/>
    </xf>
    <xf numFmtId="4" fontId="21" fillId="6" borderId="43" xfId="0" applyNumberFormat="1" applyFont="1" applyFill="1" applyBorder="1" applyAlignment="1" applyProtection="1">
      <alignment horizontal="center" vertical="center"/>
      <protection hidden="1"/>
    </xf>
    <xf numFmtId="40" fontId="21" fillId="6" borderId="27" xfId="0" applyNumberFormat="1" applyFont="1" applyFill="1" applyBorder="1" applyAlignment="1" applyProtection="1">
      <alignment horizontal="center" vertical="center"/>
      <protection hidden="1"/>
    </xf>
    <xf numFmtId="40" fontId="21" fillId="6" borderId="24" xfId="0" applyNumberFormat="1" applyFont="1" applyFill="1" applyBorder="1" applyAlignment="1" applyProtection="1">
      <alignment horizontal="center" vertical="center"/>
      <protection hidden="1"/>
    </xf>
    <xf numFmtId="10" fontId="21" fillId="6" borderId="6" xfId="0" applyNumberFormat="1" applyFont="1" applyFill="1" applyBorder="1" applyAlignment="1" applyProtection="1">
      <alignment horizontal="center" vertical="center"/>
      <protection hidden="1"/>
    </xf>
    <xf numFmtId="10" fontId="21" fillId="6" borderId="7" xfId="0" applyNumberFormat="1" applyFont="1" applyFill="1" applyBorder="1" applyAlignment="1" applyProtection="1">
      <alignment horizontal="center" vertical="center"/>
      <protection hidden="1"/>
    </xf>
    <xf numFmtId="10" fontId="21" fillId="6" borderId="59" xfId="0" applyNumberFormat="1" applyFont="1" applyFill="1" applyBorder="1" applyAlignment="1" applyProtection="1">
      <alignment horizontal="center" vertical="center"/>
      <protection hidden="1"/>
    </xf>
    <xf numFmtId="40" fontId="21" fillId="6" borderId="8" xfId="0" applyNumberFormat="1" applyFont="1" applyFill="1" applyBorder="1" applyAlignment="1" applyProtection="1">
      <alignment horizontal="center" vertical="center"/>
      <protection hidden="1"/>
    </xf>
    <xf numFmtId="4" fontId="21" fillId="6" borderId="7" xfId="0" applyNumberFormat="1" applyFont="1" applyFill="1" applyBorder="1" applyAlignment="1" applyProtection="1">
      <alignment horizontal="center" vertical="center"/>
      <protection hidden="1"/>
    </xf>
    <xf numFmtId="40" fontId="21" fillId="6" borderId="38" xfId="0" applyNumberFormat="1" applyFont="1" applyFill="1" applyBorder="1" applyAlignment="1" applyProtection="1">
      <alignment horizontal="center" vertical="center"/>
      <protection hidden="1"/>
    </xf>
    <xf numFmtId="40" fontId="21" fillId="6" borderId="7" xfId="0" applyNumberFormat="1" applyFont="1" applyFill="1" applyBorder="1" applyAlignment="1" applyProtection="1">
      <alignment horizontal="center" vertical="center"/>
      <protection hidden="1"/>
    </xf>
    <xf numFmtId="0" fontId="21" fillId="6" borderId="56" xfId="0" applyFont="1" applyFill="1" applyBorder="1" applyAlignment="1" applyProtection="1">
      <alignment horizontal="center" vertical="center"/>
      <protection hidden="1"/>
    </xf>
    <xf numFmtId="0" fontId="21" fillId="6" borderId="23" xfId="0" applyFont="1" applyFill="1" applyBorder="1" applyAlignment="1" applyProtection="1">
      <alignment horizontal="center" vertical="center"/>
      <protection hidden="1"/>
    </xf>
    <xf numFmtId="0" fontId="21" fillId="6" borderId="28" xfId="0" applyFont="1" applyFill="1" applyBorder="1" applyAlignment="1" applyProtection="1">
      <alignment horizontal="center" vertical="center"/>
      <protection hidden="1"/>
    </xf>
    <xf numFmtId="0" fontId="21" fillId="6" borderId="24" xfId="0" applyFont="1" applyFill="1" applyBorder="1" applyAlignment="1" applyProtection="1">
      <alignment horizontal="center" vertical="center"/>
      <protection hidden="1"/>
    </xf>
    <xf numFmtId="0" fontId="21" fillId="6" borderId="26" xfId="0" applyFont="1" applyFill="1" applyBorder="1" applyAlignment="1" applyProtection="1">
      <alignment horizontal="center" vertical="center"/>
      <protection hidden="1"/>
    </xf>
    <xf numFmtId="40" fontId="21" fillId="6" borderId="20" xfId="0" applyNumberFormat="1" applyFont="1" applyFill="1" applyBorder="1" applyAlignment="1" applyProtection="1">
      <alignment horizontal="center" vertical="center"/>
      <protection hidden="1"/>
    </xf>
    <xf numFmtId="40" fontId="21" fillId="6" borderId="21" xfId="0" applyNumberFormat="1" applyFont="1" applyFill="1" applyBorder="1" applyAlignment="1" applyProtection="1">
      <alignment horizontal="center" vertical="center"/>
      <protection hidden="1"/>
    </xf>
    <xf numFmtId="40" fontId="21" fillId="6" borderId="4" xfId="0" applyNumberFormat="1" applyFont="1" applyFill="1" applyBorder="1" applyAlignment="1" applyProtection="1">
      <alignment horizontal="center" vertical="center"/>
      <protection hidden="1"/>
    </xf>
    <xf numFmtId="4" fontId="21" fillId="6" borderId="19" xfId="0" applyNumberFormat="1" applyFont="1" applyFill="1" applyBorder="1" applyAlignment="1" applyProtection="1">
      <alignment horizontal="center" vertical="center"/>
      <protection hidden="1"/>
    </xf>
    <xf numFmtId="0" fontId="21" fillId="6" borderId="19" xfId="0" applyFont="1" applyFill="1" applyBorder="1" applyAlignment="1" applyProtection="1">
      <alignment horizontal="center" vertical="center"/>
      <protection hidden="1"/>
    </xf>
    <xf numFmtId="4" fontId="21" fillId="6" borderId="30" xfId="0" applyNumberFormat="1" applyFont="1" applyFill="1" applyBorder="1" applyAlignment="1" applyProtection="1">
      <alignment horizontal="center" vertical="center"/>
      <protection hidden="1"/>
    </xf>
    <xf numFmtId="40" fontId="21" fillId="6" borderId="30" xfId="0" applyNumberFormat="1" applyFont="1" applyFill="1" applyBorder="1" applyAlignment="1" applyProtection="1">
      <alignment horizontal="center" vertical="center"/>
      <protection hidden="1"/>
    </xf>
    <xf numFmtId="4" fontId="9" fillId="0" borderId="0" xfId="0" applyNumberFormat="1" applyFont="1" applyAlignment="1" applyProtection="1">
      <alignment horizontal="center" vertical="center"/>
      <protection hidden="1"/>
    </xf>
    <xf numFmtId="0" fontId="21" fillId="6" borderId="46" xfId="0" applyFont="1" applyFill="1" applyBorder="1" applyAlignment="1" applyProtection="1">
      <alignment horizontal="center" vertical="center"/>
      <protection hidden="1"/>
    </xf>
    <xf numFmtId="0" fontId="21" fillId="10" borderId="40" xfId="0" applyFont="1" applyFill="1" applyBorder="1" applyAlignment="1" applyProtection="1">
      <alignment horizontal="center" vertical="center"/>
      <protection hidden="1"/>
    </xf>
    <xf numFmtId="0" fontId="21" fillId="10" borderId="22" xfId="0" applyFont="1" applyFill="1" applyBorder="1" applyAlignment="1" applyProtection="1">
      <alignment horizontal="center" vertical="center"/>
      <protection hidden="1"/>
    </xf>
    <xf numFmtId="0" fontId="21" fillId="10" borderId="25" xfId="0" applyFont="1" applyFill="1" applyBorder="1" applyAlignment="1" applyProtection="1">
      <alignment horizontal="center" vertical="center"/>
      <protection hidden="1"/>
    </xf>
    <xf numFmtId="0" fontId="21" fillId="10" borderId="13" xfId="0" applyFont="1" applyFill="1" applyBorder="1" applyAlignment="1" applyProtection="1">
      <alignment horizontal="center" vertical="center"/>
      <protection hidden="1"/>
    </xf>
    <xf numFmtId="0" fontId="21" fillId="10" borderId="14" xfId="0" applyFont="1" applyFill="1" applyBorder="1" applyAlignment="1" applyProtection="1">
      <alignment horizontal="center" vertical="center"/>
      <protection hidden="1"/>
    </xf>
    <xf numFmtId="40" fontId="21" fillId="10" borderId="13" xfId="0" applyNumberFormat="1" applyFont="1" applyFill="1" applyBorder="1" applyAlignment="1" applyProtection="1">
      <alignment horizontal="center" vertical="center"/>
      <protection hidden="1"/>
    </xf>
    <xf numFmtId="0" fontId="21" fillId="10" borderId="42" xfId="0" applyFont="1" applyFill="1" applyBorder="1" applyAlignment="1" applyProtection="1">
      <alignment horizontal="center" vertical="center"/>
      <protection hidden="1"/>
    </xf>
    <xf numFmtId="40" fontId="21" fillId="10" borderId="25" xfId="0" applyNumberFormat="1" applyFont="1" applyFill="1" applyBorder="1" applyAlignment="1" applyProtection="1">
      <alignment horizontal="center" vertical="center"/>
      <protection hidden="1"/>
    </xf>
    <xf numFmtId="10" fontId="21" fillId="10" borderId="16" xfId="0" applyNumberFormat="1" applyFont="1" applyFill="1" applyBorder="1" applyAlignment="1" applyProtection="1">
      <alignment horizontal="center" vertical="center"/>
      <protection hidden="1"/>
    </xf>
    <xf numFmtId="10" fontId="21" fillId="10" borderId="27" xfId="0" applyNumberFormat="1" applyFont="1" applyFill="1" applyBorder="1" applyAlignment="1" applyProtection="1">
      <alignment horizontal="center" vertical="center"/>
      <protection hidden="1"/>
    </xf>
    <xf numFmtId="40" fontId="21" fillId="10" borderId="16" xfId="0" applyNumberFormat="1" applyFont="1" applyFill="1" applyBorder="1" applyAlignment="1" applyProtection="1">
      <alignment horizontal="center" vertical="center"/>
      <protection hidden="1"/>
    </xf>
    <xf numFmtId="40" fontId="21" fillId="10" borderId="43" xfId="0" applyNumberFormat="1" applyFont="1" applyFill="1" applyBorder="1" applyAlignment="1" applyProtection="1">
      <alignment horizontal="center" vertical="center"/>
      <protection hidden="1"/>
    </xf>
    <xf numFmtId="10" fontId="21" fillId="10" borderId="6" xfId="0" applyNumberFormat="1" applyFont="1" applyFill="1" applyBorder="1" applyAlignment="1" applyProtection="1">
      <alignment horizontal="center" vertical="center"/>
      <protection hidden="1"/>
    </xf>
    <xf numFmtId="10" fontId="21" fillId="10" borderId="7" xfId="0" applyNumberFormat="1" applyFont="1" applyFill="1" applyBorder="1" applyAlignment="1" applyProtection="1">
      <alignment horizontal="center" vertical="center"/>
      <protection hidden="1"/>
    </xf>
    <xf numFmtId="10" fontId="21" fillId="10" borderId="59" xfId="0" applyNumberFormat="1" applyFont="1" applyFill="1" applyBorder="1" applyAlignment="1" applyProtection="1">
      <alignment horizontal="center" vertical="center"/>
      <protection hidden="1"/>
    </xf>
    <xf numFmtId="40" fontId="21" fillId="10" borderId="8" xfId="0" applyNumberFormat="1" applyFont="1" applyFill="1" applyBorder="1" applyAlignment="1" applyProtection="1">
      <alignment horizontal="center" vertical="center"/>
      <protection hidden="1"/>
    </xf>
    <xf numFmtId="40" fontId="21" fillId="10" borderId="44" xfId="0" applyNumberFormat="1" applyFont="1" applyFill="1" applyBorder="1" applyAlignment="1" applyProtection="1">
      <alignment horizontal="center" vertical="center"/>
      <protection hidden="1"/>
    </xf>
    <xf numFmtId="0" fontId="21" fillId="10" borderId="56" xfId="0" applyFont="1" applyFill="1" applyBorder="1" applyAlignment="1" applyProtection="1">
      <alignment horizontal="center" vertical="center"/>
      <protection hidden="1"/>
    </xf>
    <xf numFmtId="0" fontId="21" fillId="10" borderId="23" xfId="0" applyFont="1" applyFill="1" applyBorder="1" applyAlignment="1" applyProtection="1">
      <alignment horizontal="center" vertical="center"/>
      <protection hidden="1"/>
    </xf>
    <xf numFmtId="0" fontId="21" fillId="10" borderId="28" xfId="0" applyFont="1" applyFill="1" applyBorder="1" applyAlignment="1" applyProtection="1">
      <alignment horizontal="center" vertical="center"/>
      <protection hidden="1"/>
    </xf>
    <xf numFmtId="0" fontId="21" fillId="10" borderId="24" xfId="0" applyFont="1" applyFill="1" applyBorder="1" applyAlignment="1" applyProtection="1">
      <alignment horizontal="center" vertical="center"/>
      <protection hidden="1"/>
    </xf>
    <xf numFmtId="0" fontId="21" fillId="10" borderId="26" xfId="0" applyFont="1" applyFill="1" applyBorder="1" applyAlignment="1" applyProtection="1">
      <alignment horizontal="center" vertical="center"/>
      <protection hidden="1"/>
    </xf>
    <xf numFmtId="40" fontId="21" fillId="10" borderId="20" xfId="0" applyNumberFormat="1" applyFont="1" applyFill="1" applyBorder="1" applyAlignment="1" applyProtection="1">
      <alignment horizontal="center" vertical="center"/>
      <protection hidden="1"/>
    </xf>
    <xf numFmtId="40" fontId="21" fillId="10" borderId="21" xfId="0" applyNumberFormat="1" applyFont="1" applyFill="1" applyBorder="1" applyAlignment="1" applyProtection="1">
      <alignment horizontal="center" vertical="center"/>
      <protection hidden="1"/>
    </xf>
    <xf numFmtId="40" fontId="21" fillId="10" borderId="4" xfId="0" applyNumberFormat="1" applyFont="1" applyFill="1" applyBorder="1" applyAlignment="1" applyProtection="1">
      <alignment horizontal="center" vertical="center"/>
      <protection hidden="1"/>
    </xf>
    <xf numFmtId="4" fontId="21" fillId="10" borderId="19" xfId="0" applyNumberFormat="1" applyFont="1" applyFill="1" applyBorder="1" applyAlignment="1" applyProtection="1">
      <alignment horizontal="center" vertical="center"/>
      <protection hidden="1"/>
    </xf>
    <xf numFmtId="0" fontId="21" fillId="10" borderId="19" xfId="0" applyFont="1" applyFill="1" applyBorder="1" applyAlignment="1" applyProtection="1">
      <alignment horizontal="center" vertical="center"/>
      <protection hidden="1"/>
    </xf>
    <xf numFmtId="4" fontId="21" fillId="10" borderId="30" xfId="0" applyNumberFormat="1" applyFont="1" applyFill="1" applyBorder="1" applyAlignment="1" applyProtection="1">
      <alignment horizontal="center" vertical="center"/>
      <protection hidden="1"/>
    </xf>
    <xf numFmtId="40" fontId="21" fillId="10" borderId="30" xfId="0" applyNumberFormat="1" applyFont="1" applyFill="1" applyBorder="1" applyAlignment="1" applyProtection="1">
      <alignment horizontal="center" vertical="center"/>
      <protection hidden="1"/>
    </xf>
    <xf numFmtId="40" fontId="21" fillId="10" borderId="38" xfId="0" applyNumberFormat="1" applyFont="1" applyFill="1" applyBorder="1" applyAlignment="1" applyProtection="1">
      <alignment horizontal="center" vertical="center"/>
      <protection hidden="1"/>
    </xf>
    <xf numFmtId="40" fontId="9" fillId="0" borderId="27" xfId="2" applyNumberFormat="1" applyFont="1" applyFill="1" applyBorder="1" applyAlignment="1" applyProtection="1">
      <alignment horizontal="right" vertical="center"/>
      <protection locked="0"/>
    </xf>
    <xf numFmtId="14" fontId="9" fillId="2" borderId="27" xfId="0" applyNumberFormat="1" applyFont="1" applyFill="1" applyBorder="1" applyAlignment="1" applyProtection="1">
      <alignment horizontal="right" vertical="center"/>
      <protection locked="0"/>
    </xf>
    <xf numFmtId="0" fontId="9" fillId="5" borderId="26" xfId="0" applyFont="1" applyFill="1" applyBorder="1" applyAlignment="1" applyProtection="1">
      <alignment horizontal="left" vertical="center"/>
      <protection locked="0"/>
    </xf>
    <xf numFmtId="0" fontId="9" fillId="5" borderId="1" xfId="0" applyFont="1" applyFill="1" applyBorder="1" applyAlignment="1" applyProtection="1">
      <alignment horizontal="left" vertical="center"/>
      <protection locked="0"/>
    </xf>
    <xf numFmtId="0" fontId="9" fillId="5" borderId="48" xfId="0" applyFont="1" applyFill="1" applyBorder="1" applyAlignment="1" applyProtection="1">
      <alignment horizontal="left" vertical="center"/>
      <protection locked="0"/>
    </xf>
    <xf numFmtId="0" fontId="9" fillId="5" borderId="4" xfId="0" applyFont="1" applyFill="1" applyBorder="1" applyAlignment="1" applyProtection="1">
      <alignment horizontal="left" vertical="center"/>
      <protection locked="0"/>
    </xf>
    <xf numFmtId="0" fontId="1" fillId="0" borderId="0" xfId="0" applyFont="1" applyAlignment="1">
      <alignment vertical="center"/>
    </xf>
    <xf numFmtId="0" fontId="6" fillId="0" borderId="24" xfId="0" applyFont="1" applyBorder="1" applyAlignment="1">
      <alignment vertical="center"/>
    </xf>
    <xf numFmtId="40" fontId="6" fillId="0" borderId="19" xfId="0" applyNumberFormat="1" applyFont="1" applyBorder="1" applyAlignment="1">
      <alignment vertical="center"/>
    </xf>
    <xf numFmtId="10" fontId="6" fillId="0" borderId="18" xfId="0" applyNumberFormat="1" applyFont="1" applyBorder="1" applyAlignment="1">
      <alignment vertical="center"/>
    </xf>
    <xf numFmtId="0" fontId="6" fillId="0" borderId="33" xfId="0" applyFont="1" applyBorder="1" applyAlignment="1">
      <alignment vertical="center"/>
    </xf>
    <xf numFmtId="0" fontId="4" fillId="0" borderId="0" xfId="0" applyFont="1" applyAlignment="1">
      <alignment vertical="center"/>
    </xf>
    <xf numFmtId="40" fontId="5" fillId="8" borderId="9" xfId="0" applyNumberFormat="1" applyFont="1" applyFill="1" applyBorder="1" applyAlignment="1">
      <alignment vertical="center"/>
    </xf>
    <xf numFmtId="10" fontId="5" fillId="8" borderId="22" xfId="0" applyNumberFormat="1" applyFont="1" applyFill="1" applyBorder="1" applyAlignment="1">
      <alignment vertical="center"/>
    </xf>
    <xf numFmtId="0" fontId="6" fillId="0" borderId="23" xfId="0" applyFont="1" applyBorder="1" applyAlignment="1" applyProtection="1">
      <alignment vertical="center"/>
      <protection hidden="1"/>
    </xf>
    <xf numFmtId="0" fontId="6" fillId="0" borderId="23" xfId="0" applyFont="1" applyBorder="1" applyAlignment="1">
      <alignment vertical="center"/>
    </xf>
    <xf numFmtId="40" fontId="6" fillId="0" borderId="23" xfId="0" applyNumberFormat="1" applyFont="1" applyBorder="1" applyAlignment="1">
      <alignment vertical="center"/>
    </xf>
    <xf numFmtId="40" fontId="6" fillId="0" borderId="19" xfId="2" applyNumberFormat="1" applyFont="1" applyBorder="1" applyAlignment="1" applyProtection="1">
      <alignment horizontal="right" vertical="center"/>
      <protection hidden="1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 applyProtection="1">
      <alignment vertical="center"/>
      <protection hidden="1"/>
    </xf>
    <xf numFmtId="40" fontId="5" fillId="0" borderId="9" xfId="0" applyNumberFormat="1" applyFont="1" applyBorder="1" applyAlignment="1">
      <alignment vertical="center"/>
    </xf>
    <xf numFmtId="10" fontId="5" fillId="0" borderId="22" xfId="0" applyNumberFormat="1" applyFont="1" applyBorder="1" applyAlignment="1">
      <alignment vertical="center"/>
    </xf>
    <xf numFmtId="0" fontId="8" fillId="0" borderId="19" xfId="0" applyFont="1" applyBorder="1" applyAlignment="1" applyProtection="1">
      <alignment vertical="center"/>
      <protection hidden="1"/>
    </xf>
    <xf numFmtId="0" fontId="5" fillId="0" borderId="9" xfId="0" applyFont="1" applyBorder="1" applyAlignment="1" applyProtection="1">
      <alignment vertical="center"/>
      <protection hidden="1"/>
    </xf>
    <xf numFmtId="10" fontId="5" fillId="8" borderId="9" xfId="0" applyNumberFormat="1" applyFont="1" applyFill="1" applyBorder="1" applyAlignment="1">
      <alignment vertical="center"/>
    </xf>
    <xf numFmtId="40" fontId="1" fillId="0" borderId="0" xfId="0" applyNumberFormat="1" applyFont="1" applyAlignment="1">
      <alignment vertical="center"/>
    </xf>
    <xf numFmtId="10" fontId="3" fillId="0" borderId="2" xfId="0" applyNumberFormat="1" applyFont="1" applyBorder="1" applyAlignment="1" applyProtection="1">
      <alignment horizontal="center" vertical="center"/>
      <protection hidden="1"/>
    </xf>
    <xf numFmtId="10" fontId="22" fillId="0" borderId="0" xfId="0" applyNumberFormat="1" applyFont="1" applyAlignment="1">
      <alignment horizontal="center" vertical="center"/>
    </xf>
    <xf numFmtId="0" fontId="22" fillId="0" borderId="0" xfId="0" applyFont="1" applyAlignment="1" applyProtection="1">
      <alignment horizontal="center" vertical="center"/>
      <protection hidden="1"/>
    </xf>
    <xf numFmtId="167" fontId="22" fillId="0" borderId="0" xfId="0" applyNumberFormat="1" applyFont="1" applyAlignment="1" applyProtection="1">
      <alignment horizontal="center" vertical="center"/>
      <protection hidden="1"/>
    </xf>
    <xf numFmtId="10" fontId="22" fillId="0" borderId="0" xfId="0" applyNumberFormat="1" applyFont="1" applyAlignment="1" applyProtection="1">
      <alignment horizontal="center" vertical="center"/>
      <protection hidden="1"/>
    </xf>
    <xf numFmtId="0" fontId="22" fillId="0" borderId="0" xfId="0" applyFont="1" applyAlignment="1">
      <alignment horizontal="center" vertical="center"/>
    </xf>
    <xf numFmtId="177" fontId="22" fillId="0" borderId="0" xfId="0" applyNumberFormat="1" applyFont="1" applyAlignment="1">
      <alignment horizontal="center" vertical="center"/>
    </xf>
    <xf numFmtId="175" fontId="22" fillId="0" borderId="0" xfId="0" applyNumberFormat="1" applyFont="1" applyAlignment="1" applyProtection="1">
      <alignment horizontal="center" vertical="center"/>
      <protection hidden="1"/>
    </xf>
    <xf numFmtId="176" fontId="22" fillId="0" borderId="0" xfId="0" applyNumberFormat="1" applyFont="1" applyAlignment="1" applyProtection="1">
      <alignment horizontal="center" vertical="center"/>
      <protection hidden="1"/>
    </xf>
    <xf numFmtId="0" fontId="9" fillId="0" borderId="63" xfId="0" applyFont="1" applyBorder="1" applyAlignment="1" applyProtection="1">
      <alignment vertical="center"/>
      <protection hidden="1"/>
    </xf>
    <xf numFmtId="40" fontId="9" fillId="0" borderId="64" xfId="2" applyNumberFormat="1" applyFont="1" applyFill="1" applyBorder="1" applyAlignment="1" applyProtection="1">
      <alignment horizontal="right" vertical="center"/>
      <protection hidden="1"/>
    </xf>
    <xf numFmtId="10" fontId="9" fillId="0" borderId="16" xfId="0" applyNumberFormat="1" applyFont="1" applyBorder="1" applyAlignment="1" applyProtection="1">
      <alignment vertical="center"/>
      <protection hidden="1"/>
    </xf>
    <xf numFmtId="10" fontId="11" fillId="0" borderId="18" xfId="0" applyNumberFormat="1" applyFont="1" applyBorder="1" applyAlignment="1" applyProtection="1">
      <alignment horizontal="center" vertical="center"/>
      <protection hidden="1"/>
    </xf>
    <xf numFmtId="10" fontId="9" fillId="0" borderId="0" xfId="0" applyNumberFormat="1" applyFont="1" applyAlignment="1" applyProtection="1">
      <alignment vertical="center"/>
      <protection hidden="1"/>
    </xf>
    <xf numFmtId="40" fontId="9" fillId="0" borderId="0" xfId="2" applyNumberFormat="1" applyFont="1" applyFill="1" applyBorder="1" applyAlignment="1" applyProtection="1">
      <alignment horizontal="center" vertical="center"/>
      <protection hidden="1"/>
    </xf>
    <xf numFmtId="49" fontId="14" fillId="0" borderId="2" xfId="0" applyNumberFormat="1" applyFont="1" applyBorder="1" applyAlignment="1" applyProtection="1">
      <alignment horizontal="center" vertical="center"/>
      <protection hidden="1"/>
    </xf>
    <xf numFmtId="40" fontId="12" fillId="0" borderId="0" xfId="0" applyNumberFormat="1" applyFont="1" applyAlignment="1" applyProtection="1">
      <alignment horizontal="center" vertical="center"/>
      <protection hidden="1"/>
    </xf>
    <xf numFmtId="0" fontId="21" fillId="0" borderId="58" xfId="0" applyFont="1" applyBorder="1" applyAlignment="1" applyProtection="1">
      <alignment horizontal="center" vertical="center"/>
      <protection hidden="1"/>
    </xf>
    <xf numFmtId="4" fontId="12" fillId="0" borderId="0" xfId="0" applyNumberFormat="1" applyFont="1" applyAlignment="1" applyProtection="1">
      <alignment horizontal="center" vertical="center"/>
      <protection hidden="1"/>
    </xf>
    <xf numFmtId="49" fontId="12" fillId="0" borderId="0" xfId="0" applyNumberFormat="1" applyFont="1" applyAlignment="1" applyProtection="1">
      <alignment horizontal="center" vertical="center"/>
      <protection hidden="1"/>
    </xf>
    <xf numFmtId="3" fontId="12" fillId="0" borderId="0" xfId="0" applyNumberFormat="1" applyFont="1" applyAlignment="1" applyProtection="1">
      <alignment horizontal="center" vertical="center"/>
      <protection hidden="1"/>
    </xf>
    <xf numFmtId="2" fontId="12" fillId="0" borderId="0" xfId="0" applyNumberFormat="1" applyFont="1" applyAlignment="1" applyProtection="1">
      <alignment horizontal="center" vertical="center"/>
      <protection hidden="1"/>
    </xf>
    <xf numFmtId="10" fontId="12" fillId="0" borderId="0" xfId="0" applyNumberFormat="1" applyFont="1" applyAlignment="1" applyProtection="1">
      <alignment horizontal="center" vertical="center"/>
      <protection hidden="1"/>
    </xf>
    <xf numFmtId="173" fontId="12" fillId="0" borderId="0" xfId="0" applyNumberFormat="1" applyFont="1" applyAlignment="1" applyProtection="1">
      <alignment horizontal="center" vertical="center"/>
      <protection hidden="1"/>
    </xf>
    <xf numFmtId="166" fontId="12" fillId="0" borderId="0" xfId="0" applyNumberFormat="1" applyFont="1" applyAlignment="1" applyProtection="1">
      <alignment horizontal="center" vertical="center"/>
      <protection hidden="1"/>
    </xf>
    <xf numFmtId="49" fontId="12" fillId="0" borderId="13" xfId="0" applyNumberFormat="1" applyFont="1" applyBorder="1" applyAlignment="1" applyProtection="1">
      <alignment horizontal="center" vertical="center"/>
      <protection hidden="1"/>
    </xf>
    <xf numFmtId="3" fontId="12" fillId="0" borderId="13" xfId="0" applyNumberFormat="1" applyFont="1" applyBorder="1" applyAlignment="1" applyProtection="1">
      <alignment horizontal="center" vertical="center"/>
      <protection hidden="1"/>
    </xf>
    <xf numFmtId="10" fontId="12" fillId="0" borderId="12" xfId="0" applyNumberFormat="1" applyFont="1" applyBorder="1" applyAlignment="1" applyProtection="1">
      <alignment horizontal="center" vertical="center"/>
      <protection hidden="1"/>
    </xf>
    <xf numFmtId="0" fontId="12" fillId="0" borderId="35" xfId="0" applyFont="1" applyBorder="1" applyAlignment="1" applyProtection="1">
      <alignment horizontal="center" vertical="center"/>
      <protection hidden="1"/>
    </xf>
    <xf numFmtId="0" fontId="12" fillId="0" borderId="41" xfId="0" applyFont="1" applyBorder="1" applyAlignment="1" applyProtection="1">
      <alignment horizontal="center" vertical="center"/>
      <protection hidden="1"/>
    </xf>
    <xf numFmtId="49" fontId="12" fillId="0" borderId="41" xfId="0" applyNumberFormat="1" applyFont="1" applyBorder="1" applyAlignment="1" applyProtection="1">
      <alignment horizontal="center" vertical="center"/>
      <protection hidden="1"/>
    </xf>
    <xf numFmtId="3" fontId="12" fillId="0" borderId="41" xfId="0" applyNumberFormat="1" applyFont="1" applyBorder="1" applyAlignment="1" applyProtection="1">
      <alignment horizontal="center" vertical="center"/>
      <protection hidden="1"/>
    </xf>
    <xf numFmtId="2" fontId="12" fillId="0" borderId="50" xfId="0" applyNumberFormat="1" applyFont="1" applyBorder="1" applyAlignment="1" applyProtection="1">
      <alignment horizontal="center" vertical="center"/>
      <protection hidden="1"/>
    </xf>
    <xf numFmtId="0" fontId="12" fillId="0" borderId="45" xfId="0" applyFont="1" applyBorder="1" applyAlignment="1" applyProtection="1">
      <alignment horizontal="center" vertical="center"/>
      <protection hidden="1"/>
    </xf>
    <xf numFmtId="174" fontId="12" fillId="0" borderId="11" xfId="0" applyNumberFormat="1" applyFont="1" applyBorder="1" applyAlignment="1" applyProtection="1">
      <alignment horizontal="center" vertical="center"/>
      <protection hidden="1"/>
    </xf>
    <xf numFmtId="4" fontId="12" fillId="0" borderId="11" xfId="0" applyNumberFormat="1" applyFont="1" applyBorder="1" applyAlignment="1" applyProtection="1">
      <alignment horizontal="center" vertical="center"/>
      <protection hidden="1"/>
    </xf>
    <xf numFmtId="10" fontId="12" fillId="9" borderId="11" xfId="0" applyNumberFormat="1" applyFont="1" applyFill="1" applyBorder="1" applyAlignment="1" applyProtection="1">
      <alignment horizontal="center" vertical="center"/>
      <protection locked="0"/>
    </xf>
    <xf numFmtId="4" fontId="12" fillId="12" borderId="11" xfId="0" applyNumberFormat="1" applyFont="1" applyFill="1" applyBorder="1" applyAlignment="1" applyProtection="1">
      <alignment horizontal="center" vertical="center"/>
      <protection hidden="1"/>
    </xf>
    <xf numFmtId="10" fontId="12" fillId="0" borderId="1" xfId="0" applyNumberFormat="1" applyFont="1" applyBorder="1" applyAlignment="1" applyProtection="1">
      <alignment horizontal="center" vertical="center"/>
      <protection hidden="1"/>
    </xf>
    <xf numFmtId="4" fontId="12" fillId="0" borderId="2" xfId="0" applyNumberFormat="1" applyFont="1" applyBorder="1" applyAlignment="1" applyProtection="1">
      <alignment horizontal="center" vertical="center"/>
      <protection hidden="1"/>
    </xf>
    <xf numFmtId="4" fontId="12" fillId="12" borderId="2" xfId="0" applyNumberFormat="1" applyFont="1" applyFill="1" applyBorder="1" applyAlignment="1" applyProtection="1">
      <alignment horizontal="center" vertical="center"/>
      <protection hidden="1"/>
    </xf>
    <xf numFmtId="4" fontId="12" fillId="0" borderId="3" xfId="0" applyNumberFormat="1" applyFont="1" applyBorder="1" applyAlignment="1" applyProtection="1">
      <alignment horizontal="center" vertical="center"/>
      <protection hidden="1"/>
    </xf>
    <xf numFmtId="0" fontId="12" fillId="0" borderId="37" xfId="0" applyFont="1" applyBorder="1" applyAlignment="1" applyProtection="1">
      <alignment horizontal="center" vertical="center"/>
      <protection hidden="1"/>
    </xf>
    <xf numFmtId="174" fontId="12" fillId="0" borderId="2" xfId="0" applyNumberFormat="1" applyFont="1" applyBorder="1" applyAlignment="1" applyProtection="1">
      <alignment horizontal="center" vertical="center"/>
      <protection hidden="1"/>
    </xf>
    <xf numFmtId="4" fontId="12" fillId="2" borderId="2" xfId="0" applyNumberFormat="1" applyFont="1" applyFill="1" applyBorder="1" applyAlignment="1" applyProtection="1">
      <alignment horizontal="center" vertical="center"/>
      <protection locked="0"/>
    </xf>
    <xf numFmtId="0" fontId="12" fillId="0" borderId="40" xfId="0" applyFont="1" applyBorder="1" applyAlignment="1" applyProtection="1">
      <alignment horizontal="center" vertical="center"/>
      <protection hidden="1"/>
    </xf>
    <xf numFmtId="4" fontId="12" fillId="0" borderId="25" xfId="0" applyNumberFormat="1" applyFont="1" applyBorder="1" applyAlignment="1" applyProtection="1">
      <alignment horizontal="center" vertical="center"/>
      <protection hidden="1"/>
    </xf>
    <xf numFmtId="170" fontId="12" fillId="0" borderId="25" xfId="0" applyNumberFormat="1" applyFont="1" applyBorder="1" applyAlignment="1" applyProtection="1">
      <alignment horizontal="center" vertical="center"/>
      <protection hidden="1"/>
    </xf>
    <xf numFmtId="49" fontId="12" fillId="0" borderId="25" xfId="0" applyNumberFormat="1" applyFont="1" applyBorder="1" applyAlignment="1" applyProtection="1">
      <alignment horizontal="center" vertical="center"/>
      <protection hidden="1"/>
    </xf>
    <xf numFmtId="3" fontId="12" fillId="0" borderId="25" xfId="0" applyNumberFormat="1" applyFont="1" applyBorder="1" applyAlignment="1" applyProtection="1">
      <alignment horizontal="center" vertical="center"/>
      <protection hidden="1"/>
    </xf>
    <xf numFmtId="0" fontId="12" fillId="0" borderId="25" xfId="0" applyFont="1" applyBorder="1" applyAlignment="1" applyProtection="1">
      <alignment horizontal="center" vertical="center"/>
      <protection hidden="1"/>
    </xf>
    <xf numFmtId="9" fontId="12" fillId="0" borderId="25" xfId="0" applyNumberFormat="1" applyFont="1" applyBorder="1" applyAlignment="1" applyProtection="1">
      <alignment horizontal="center" vertical="center"/>
      <protection hidden="1"/>
    </xf>
    <xf numFmtId="2" fontId="12" fillId="0" borderId="25" xfId="0" applyNumberFormat="1" applyFont="1" applyBorder="1" applyAlignment="1" applyProtection="1">
      <alignment horizontal="center" vertical="center"/>
      <protection hidden="1"/>
    </xf>
    <xf numFmtId="10" fontId="12" fillId="0" borderId="25" xfId="0" applyNumberFormat="1" applyFont="1" applyBorder="1" applyAlignment="1" applyProtection="1">
      <alignment horizontal="center" vertical="center"/>
      <protection hidden="1"/>
    </xf>
    <xf numFmtId="40" fontId="12" fillId="0" borderId="25" xfId="0" applyNumberFormat="1" applyFont="1" applyBorder="1" applyAlignment="1" applyProtection="1">
      <alignment horizontal="center" vertical="center"/>
      <protection hidden="1"/>
    </xf>
    <xf numFmtId="40" fontId="12" fillId="0" borderId="12" xfId="0" applyNumberFormat="1" applyFont="1" applyBorder="1" applyAlignment="1" applyProtection="1">
      <alignment horizontal="center" vertical="center"/>
      <protection hidden="1"/>
    </xf>
    <xf numFmtId="40" fontId="12" fillId="0" borderId="13" xfId="0" applyNumberFormat="1" applyFont="1" applyBorder="1" applyAlignment="1" applyProtection="1">
      <alignment horizontal="center" vertical="center"/>
      <protection hidden="1"/>
    </xf>
    <xf numFmtId="10" fontId="12" fillId="0" borderId="13" xfId="0" applyNumberFormat="1" applyFont="1" applyBorder="1" applyAlignment="1" applyProtection="1">
      <alignment horizontal="center" vertical="center"/>
      <protection hidden="1"/>
    </xf>
    <xf numFmtId="40" fontId="12" fillId="0" borderId="14" xfId="0" applyNumberFormat="1" applyFont="1" applyBorder="1" applyAlignment="1" applyProtection="1">
      <alignment horizontal="center" vertical="center"/>
      <protection hidden="1"/>
    </xf>
    <xf numFmtId="168" fontId="12" fillId="0" borderId="0" xfId="0" applyNumberFormat="1" applyFont="1" applyAlignment="1" applyProtection="1">
      <alignment horizontal="center" vertical="center"/>
      <protection hidden="1"/>
    </xf>
    <xf numFmtId="4" fontId="21" fillId="0" borderId="0" xfId="0" applyNumberFormat="1" applyFont="1" applyAlignment="1" applyProtection="1">
      <alignment horizontal="center" vertical="center"/>
      <protection hidden="1"/>
    </xf>
    <xf numFmtId="10" fontId="21" fillId="0" borderId="0" xfId="1" applyNumberFormat="1" applyFont="1" applyAlignment="1" applyProtection="1">
      <alignment horizontal="center" vertical="center"/>
      <protection hidden="1"/>
    </xf>
    <xf numFmtId="49" fontId="21" fillId="0" borderId="0" xfId="0" applyNumberFormat="1" applyFont="1" applyAlignment="1" applyProtection="1">
      <alignment horizontal="center" vertical="center"/>
      <protection hidden="1"/>
    </xf>
    <xf numFmtId="3" fontId="21" fillId="0" borderId="0" xfId="0" applyNumberFormat="1" applyFont="1" applyAlignment="1" applyProtection="1">
      <alignment horizontal="center" vertical="center"/>
      <protection hidden="1"/>
    </xf>
    <xf numFmtId="0" fontId="21" fillId="0" borderId="9" xfId="0" applyFont="1" applyBorder="1" applyAlignment="1" applyProtection="1">
      <alignment horizontal="center" vertical="center"/>
      <protection hidden="1"/>
    </xf>
    <xf numFmtId="2" fontId="21" fillId="0" borderId="0" xfId="0" applyNumberFormat="1" applyFont="1" applyAlignment="1" applyProtection="1">
      <alignment horizontal="center" vertical="center"/>
      <protection hidden="1"/>
    </xf>
    <xf numFmtId="0" fontId="21" fillId="0" borderId="12" xfId="0" applyFont="1" applyBorder="1" applyAlignment="1" applyProtection="1">
      <alignment horizontal="center" vertical="center" textRotation="90" wrapText="1"/>
      <protection hidden="1"/>
    </xf>
    <xf numFmtId="0" fontId="21" fillId="0" borderId="13" xfId="0" applyFont="1" applyBorder="1" applyAlignment="1" applyProtection="1">
      <alignment horizontal="center" vertical="center" wrapText="1"/>
      <protection hidden="1"/>
    </xf>
    <xf numFmtId="49" fontId="21" fillId="0" borderId="13" xfId="0" applyNumberFormat="1" applyFont="1" applyBorder="1" applyAlignment="1" applyProtection="1">
      <alignment horizontal="center" vertical="center" wrapText="1"/>
      <protection hidden="1"/>
    </xf>
    <xf numFmtId="3" fontId="21" fillId="0" borderId="13" xfId="0" applyNumberFormat="1" applyFont="1" applyBorder="1" applyAlignment="1" applyProtection="1">
      <alignment horizontal="center" vertical="center" wrapText="1"/>
      <protection hidden="1"/>
    </xf>
    <xf numFmtId="2" fontId="21" fillId="0" borderId="13" xfId="0" applyNumberFormat="1" applyFont="1" applyBorder="1" applyAlignment="1" applyProtection="1">
      <alignment horizontal="center" vertical="center" wrapText="1"/>
      <protection hidden="1"/>
    </xf>
    <xf numFmtId="0" fontId="21" fillId="0" borderId="0" xfId="0" applyFont="1" applyAlignment="1" applyProtection="1">
      <alignment horizontal="center" vertical="center" wrapText="1"/>
      <protection hidden="1"/>
    </xf>
    <xf numFmtId="3" fontId="21" fillId="0" borderId="0" xfId="0" applyNumberFormat="1" applyFont="1" applyAlignment="1" applyProtection="1">
      <alignment horizontal="center" vertical="center" wrapText="1"/>
      <protection hidden="1"/>
    </xf>
    <xf numFmtId="10" fontId="21" fillId="0" borderId="12" xfId="0" applyNumberFormat="1" applyFont="1" applyBorder="1" applyAlignment="1" applyProtection="1">
      <alignment horizontal="center" vertical="center" wrapText="1"/>
      <protection hidden="1"/>
    </xf>
    <xf numFmtId="0" fontId="21" fillId="0" borderId="14" xfId="0" applyFont="1" applyBorder="1" applyAlignment="1" applyProtection="1">
      <alignment horizontal="center" vertical="center" wrapText="1"/>
      <protection hidden="1"/>
    </xf>
    <xf numFmtId="179" fontId="0" fillId="0" borderId="0" xfId="0" applyNumberFormat="1" applyAlignment="1" applyProtection="1">
      <alignment vertical="center"/>
      <protection hidden="1"/>
    </xf>
    <xf numFmtId="40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23" fillId="0" borderId="14" xfId="0" applyNumberFormat="1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3" xfId="0" applyFont="1" applyBorder="1" applyAlignment="1" applyProtection="1">
      <alignment horizontal="center" vertical="center" wrapText="1"/>
      <protection hidden="1"/>
    </xf>
    <xf numFmtId="0" fontId="12" fillId="0" borderId="42" xfId="0" applyFont="1" applyBorder="1" applyAlignment="1" applyProtection="1">
      <alignment horizontal="center" vertical="center" wrapText="1"/>
      <protection hidden="1"/>
    </xf>
    <xf numFmtId="0" fontId="12" fillId="0" borderId="14" xfId="0" applyFont="1" applyBorder="1" applyAlignment="1" applyProtection="1">
      <alignment horizontal="center" vertical="center" wrapText="1"/>
      <protection hidden="1"/>
    </xf>
    <xf numFmtId="0" fontId="12" fillId="0" borderId="12" xfId="0" applyFont="1" applyBorder="1" applyAlignment="1" applyProtection="1">
      <alignment horizontal="center" vertical="center" wrapText="1"/>
      <protection hidden="1"/>
    </xf>
    <xf numFmtId="0" fontId="9" fillId="0" borderId="26" xfId="0" applyFont="1" applyBorder="1" applyAlignment="1">
      <alignment horizontal="center" vertical="center"/>
    </xf>
    <xf numFmtId="4" fontId="9" fillId="0" borderId="16" xfId="0" applyNumberFormat="1" applyFont="1" applyBorder="1" applyAlignment="1">
      <alignment horizontal="center" vertical="center"/>
    </xf>
    <xf numFmtId="4" fontId="9" fillId="0" borderId="16" xfId="0" applyNumberFormat="1" applyFont="1" applyBorder="1" applyAlignment="1">
      <alignment horizontal="center" vertical="center" wrapText="1"/>
    </xf>
    <xf numFmtId="4" fontId="9" fillId="0" borderId="16" xfId="0" applyNumberFormat="1" applyFont="1" applyBorder="1" applyAlignment="1" applyProtection="1">
      <alignment horizontal="center" vertical="center"/>
      <protection hidden="1"/>
    </xf>
    <xf numFmtId="4" fontId="9" fillId="0" borderId="43" xfId="0" applyNumberFormat="1" applyFont="1" applyBorder="1" applyAlignment="1" applyProtection="1">
      <alignment horizontal="center" vertical="center"/>
      <protection hidden="1"/>
    </xf>
    <xf numFmtId="180" fontId="9" fillId="0" borderId="43" xfId="0" applyNumberFormat="1" applyFont="1" applyBorder="1" applyAlignment="1" applyProtection="1">
      <alignment horizontal="center" vertical="center"/>
      <protection hidden="1"/>
    </xf>
    <xf numFmtId="177" fontId="9" fillId="12" borderId="26" xfId="0" applyNumberFormat="1" applyFont="1" applyFill="1" applyBorder="1" applyAlignment="1" applyProtection="1">
      <alignment horizontal="center" vertical="center"/>
      <protection hidden="1"/>
    </xf>
    <xf numFmtId="177" fontId="9" fillId="0" borderId="16" xfId="0" applyNumberFormat="1" applyFont="1" applyBorder="1" applyAlignment="1" applyProtection="1">
      <alignment horizontal="center" vertical="center"/>
      <protection hidden="1"/>
    </xf>
    <xf numFmtId="177" fontId="9" fillId="0" borderId="43" xfId="0" applyNumberFormat="1" applyFont="1" applyBorder="1" applyAlignment="1" applyProtection="1">
      <alignment horizontal="center" vertical="center"/>
      <protection hidden="1"/>
    </xf>
    <xf numFmtId="10" fontId="9" fillId="0" borderId="16" xfId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24" fillId="0" borderId="12" xfId="0" applyFont="1" applyBorder="1" applyAlignment="1" applyProtection="1">
      <alignment horizontal="center" vertical="center" wrapText="1"/>
      <protection hidden="1"/>
    </xf>
    <xf numFmtId="4" fontId="12" fillId="0" borderId="13" xfId="0" applyNumberFormat="1" applyFont="1" applyBorder="1" applyAlignment="1" applyProtection="1">
      <alignment horizontal="center" vertical="center"/>
      <protection hidden="1"/>
    </xf>
    <xf numFmtId="4" fontId="12" fillId="0" borderId="14" xfId="0" applyNumberFormat="1" applyFont="1" applyBorder="1" applyAlignment="1" applyProtection="1">
      <alignment horizontal="center" vertical="center"/>
      <protection hidden="1"/>
    </xf>
    <xf numFmtId="180" fontId="12" fillId="0" borderId="9" xfId="0" applyNumberFormat="1" applyFont="1" applyBorder="1" applyAlignment="1" applyProtection="1">
      <alignment horizontal="center" vertical="center"/>
      <protection hidden="1"/>
    </xf>
    <xf numFmtId="177" fontId="12" fillId="0" borderId="63" xfId="0" applyNumberFormat="1" applyFont="1" applyBorder="1" applyAlignment="1" applyProtection="1">
      <alignment horizontal="center" vertical="center"/>
      <protection hidden="1"/>
    </xf>
    <xf numFmtId="177" fontId="12" fillId="0" borderId="69" xfId="0" applyNumberFormat="1" applyFont="1" applyBorder="1" applyAlignment="1" applyProtection="1">
      <alignment horizontal="center" vertical="center"/>
      <protection hidden="1"/>
    </xf>
    <xf numFmtId="0" fontId="9" fillId="0" borderId="0" xfId="0" applyFont="1" applyAlignment="1">
      <alignment horizontal="center" vertical="center" wrapText="1"/>
    </xf>
    <xf numFmtId="10" fontId="9" fillId="0" borderId="0" xfId="0" applyNumberFormat="1" applyFont="1" applyAlignment="1">
      <alignment horizontal="center" vertical="center"/>
    </xf>
    <xf numFmtId="171" fontId="12" fillId="9" borderId="4" xfId="0" applyNumberFormat="1" applyFont="1" applyFill="1" applyBorder="1" applyAlignment="1" applyProtection="1">
      <alignment horizontal="center" vertical="center"/>
      <protection locked="0"/>
    </xf>
    <xf numFmtId="178" fontId="12" fillId="9" borderId="8" xfId="0" applyNumberFormat="1" applyFont="1" applyFill="1" applyBorder="1" applyAlignment="1" applyProtection="1">
      <alignment horizontal="center" vertical="center"/>
      <protection locked="0"/>
    </xf>
    <xf numFmtId="49" fontId="12" fillId="5" borderId="8" xfId="0" applyNumberFormat="1" applyFont="1" applyFill="1" applyBorder="1" applyAlignment="1" applyProtection="1">
      <alignment horizontal="center" vertical="center"/>
      <protection locked="0"/>
    </xf>
    <xf numFmtId="3" fontId="12" fillId="9" borderId="8" xfId="0" applyNumberFormat="1" applyFont="1" applyFill="1" applyBorder="1" applyAlignment="1" applyProtection="1">
      <alignment horizontal="center" vertical="center"/>
      <protection locked="0"/>
    </xf>
    <xf numFmtId="172" fontId="12" fillId="9" borderId="8" xfId="0" applyNumberFormat="1" applyFont="1" applyFill="1" applyBorder="1" applyAlignment="1" applyProtection="1">
      <alignment horizontal="center" vertical="center"/>
      <protection locked="0"/>
    </xf>
    <xf numFmtId="10" fontId="12" fillId="9" borderId="8" xfId="0" applyNumberFormat="1" applyFont="1" applyFill="1" applyBorder="1" applyAlignment="1" applyProtection="1">
      <alignment horizontal="center" vertical="center"/>
      <protection locked="0"/>
    </xf>
    <xf numFmtId="40" fontId="12" fillId="0" borderId="31" xfId="0" applyNumberFormat="1" applyFont="1" applyBorder="1" applyAlignment="1" applyProtection="1">
      <alignment horizontal="center" vertical="center"/>
      <protection hidden="1"/>
    </xf>
    <xf numFmtId="0" fontId="21" fillId="0" borderId="42" xfId="0" applyFont="1" applyBorder="1" applyAlignment="1" applyProtection="1">
      <alignment horizontal="center" vertical="center" wrapText="1"/>
      <protection hidden="1"/>
    </xf>
    <xf numFmtId="4" fontId="12" fillId="0" borderId="68" xfId="0" applyNumberFormat="1" applyFont="1" applyBorder="1" applyAlignment="1" applyProtection="1">
      <alignment horizontal="center" vertical="center"/>
      <protection hidden="1"/>
    </xf>
    <xf numFmtId="40" fontId="12" fillId="0" borderId="42" xfId="0" applyNumberFormat="1" applyFont="1" applyBorder="1" applyAlignment="1" applyProtection="1">
      <alignment horizontal="center" vertical="center"/>
      <protection hidden="1"/>
    </xf>
    <xf numFmtId="4" fontId="12" fillId="0" borderId="73" xfId="0" applyNumberFormat="1" applyFont="1" applyBorder="1" applyAlignment="1" applyProtection="1">
      <alignment horizontal="center" vertical="center"/>
      <protection hidden="1"/>
    </xf>
    <xf numFmtId="0" fontId="12" fillId="0" borderId="72" xfId="0" applyFont="1" applyBorder="1" applyAlignment="1" applyProtection="1">
      <alignment horizontal="center" vertical="center"/>
      <protection hidden="1"/>
    </xf>
    <xf numFmtId="0" fontId="21" fillId="0" borderId="72" xfId="0" applyFont="1" applyBorder="1" applyAlignment="1" applyProtection="1">
      <alignment horizontal="center" vertical="center"/>
      <protection hidden="1"/>
    </xf>
    <xf numFmtId="0" fontId="12" fillId="0" borderId="66" xfId="0" applyFont="1" applyBorder="1" applyAlignment="1" applyProtection="1">
      <alignment horizontal="center" vertical="center"/>
      <protection hidden="1"/>
    </xf>
    <xf numFmtId="10" fontId="12" fillId="5" borderId="15" xfId="0" applyNumberFormat="1" applyFont="1" applyFill="1" applyBorder="1" applyAlignment="1" applyProtection="1">
      <alignment horizontal="center" vertical="center"/>
      <protection hidden="1"/>
    </xf>
    <xf numFmtId="10" fontId="12" fillId="5" borderId="17" xfId="0" applyNumberFormat="1" applyFont="1" applyFill="1" applyBorder="1" applyAlignment="1" applyProtection="1">
      <alignment horizontal="center" vertical="center"/>
      <protection hidden="1"/>
    </xf>
    <xf numFmtId="10" fontId="12" fillId="0" borderId="68" xfId="1" applyNumberFormat="1" applyFont="1" applyBorder="1" applyAlignment="1" applyProtection="1">
      <alignment horizontal="center" vertical="center"/>
      <protection hidden="1"/>
    </xf>
    <xf numFmtId="4" fontId="12" fillId="2" borderId="8" xfId="0" applyNumberFormat="1" applyFont="1" applyFill="1" applyBorder="1" applyAlignment="1" applyProtection="1">
      <alignment horizontal="center" vertical="center" wrapText="1"/>
      <protection locked="0"/>
    </xf>
    <xf numFmtId="40" fontId="12" fillId="0" borderId="33" xfId="0" applyNumberFormat="1" applyFont="1" applyBorder="1" applyAlignment="1" applyProtection="1">
      <alignment horizontal="center" vertical="center"/>
      <protection hidden="1"/>
    </xf>
    <xf numFmtId="0" fontId="12" fillId="0" borderId="0" xfId="0" applyFont="1" applyAlignment="1" applyProtection="1">
      <alignment horizontal="center" vertical="center" wrapText="1"/>
      <protection hidden="1"/>
    </xf>
    <xf numFmtId="4" fontId="12" fillId="0" borderId="0" xfId="0" applyNumberFormat="1" applyFont="1" applyAlignment="1" applyProtection="1">
      <alignment horizontal="center" vertical="center" wrapText="1"/>
      <protection hidden="1"/>
    </xf>
    <xf numFmtId="40" fontId="12" fillId="0" borderId="0" xfId="0" applyNumberFormat="1" applyFont="1" applyAlignment="1" applyProtection="1">
      <alignment horizontal="center" vertical="center" wrapText="1"/>
      <protection hidden="1"/>
    </xf>
    <xf numFmtId="10" fontId="12" fillId="0" borderId="0" xfId="1" applyNumberFormat="1" applyFont="1" applyAlignment="1" applyProtection="1">
      <alignment horizontal="center" vertical="center"/>
      <protection hidden="1"/>
    </xf>
    <xf numFmtId="40" fontId="9" fillId="0" borderId="41" xfId="0" applyNumberFormat="1" applyFont="1" applyBorder="1" applyAlignment="1" applyProtection="1">
      <alignment horizontal="center" vertical="center"/>
      <protection hidden="1"/>
    </xf>
    <xf numFmtId="0" fontId="9" fillId="0" borderId="48" xfId="0" applyFont="1" applyBorder="1" applyAlignment="1" applyProtection="1">
      <alignment vertical="center"/>
      <protection hidden="1"/>
    </xf>
    <xf numFmtId="0" fontId="14" fillId="0" borderId="57" xfId="0" applyFont="1" applyBorder="1" applyAlignment="1" applyProtection="1">
      <alignment horizontal="center" vertical="center"/>
      <protection hidden="1"/>
    </xf>
    <xf numFmtId="40" fontId="9" fillId="0" borderId="74" xfId="2" applyNumberFormat="1" applyFont="1" applyFill="1" applyBorder="1" applyAlignment="1" applyProtection="1">
      <alignment horizontal="right" vertical="center"/>
      <protection hidden="1"/>
    </xf>
    <xf numFmtId="180" fontId="9" fillId="12" borderId="16" xfId="0" applyNumberFormat="1" applyFont="1" applyFill="1" applyBorder="1" applyAlignment="1">
      <alignment horizontal="center" vertical="center" wrapText="1"/>
    </xf>
    <xf numFmtId="177" fontId="9" fillId="12" borderId="67" xfId="0" applyNumberFormat="1" applyFont="1" applyFill="1" applyBorder="1" applyAlignment="1" applyProtection="1">
      <alignment horizontal="center" vertical="center"/>
      <protection hidden="1"/>
    </xf>
    <xf numFmtId="177" fontId="9" fillId="0" borderId="27" xfId="0" applyNumberFormat="1" applyFont="1" applyBorder="1" applyAlignment="1" applyProtection="1">
      <alignment horizontal="center" vertical="center"/>
      <protection hidden="1"/>
    </xf>
    <xf numFmtId="177" fontId="24" fillId="0" borderId="12" xfId="0" applyNumberFormat="1" applyFont="1" applyBorder="1" applyAlignment="1" applyProtection="1">
      <alignment horizontal="center" vertical="center" wrapText="1"/>
      <protection hidden="1"/>
    </xf>
    <xf numFmtId="177" fontId="12" fillId="0" borderId="13" xfId="0" applyNumberFormat="1" applyFont="1" applyBorder="1" applyAlignment="1" applyProtection="1">
      <alignment horizontal="center" vertical="center" wrapText="1"/>
      <protection hidden="1"/>
    </xf>
    <xf numFmtId="177" fontId="12" fillId="0" borderId="70" xfId="0" applyNumberFormat="1" applyFont="1" applyBorder="1" applyAlignment="1" applyProtection="1">
      <alignment horizontal="center" vertical="center"/>
      <protection hidden="1"/>
    </xf>
    <xf numFmtId="177" fontId="12" fillId="0" borderId="12" xfId="0" applyNumberFormat="1" applyFont="1" applyBorder="1" applyAlignment="1" applyProtection="1">
      <alignment horizontal="center" vertical="center" wrapText="1"/>
      <protection hidden="1"/>
    </xf>
    <xf numFmtId="177" fontId="21" fillId="0" borderId="13" xfId="0" applyNumberFormat="1" applyFont="1" applyBorder="1" applyAlignment="1" applyProtection="1">
      <alignment horizontal="center" vertical="center" wrapText="1"/>
      <protection hidden="1"/>
    </xf>
    <xf numFmtId="177" fontId="12" fillId="0" borderId="13" xfId="0" applyNumberFormat="1" applyFont="1" applyBorder="1" applyAlignment="1">
      <alignment horizontal="center" vertical="center"/>
    </xf>
    <xf numFmtId="177" fontId="9" fillId="0" borderId="16" xfId="0" applyNumberFormat="1" applyFont="1" applyBorder="1" applyAlignment="1">
      <alignment horizontal="center" vertical="center"/>
    </xf>
    <xf numFmtId="177" fontId="9" fillId="0" borderId="27" xfId="0" applyNumberFormat="1" applyFont="1" applyBorder="1" applyAlignment="1">
      <alignment horizontal="center" vertical="center"/>
    </xf>
    <xf numFmtId="177" fontId="12" fillId="0" borderId="69" xfId="0" applyNumberFormat="1" applyFont="1" applyBorder="1" applyAlignment="1">
      <alignment horizontal="center" vertical="center"/>
    </xf>
    <xf numFmtId="10" fontId="6" fillId="0" borderId="21" xfId="1" applyNumberFormat="1" applyFont="1" applyBorder="1" applyAlignment="1">
      <alignment horizontal="center" vertical="center"/>
    </xf>
    <xf numFmtId="4" fontId="12" fillId="0" borderId="75" xfId="0" applyNumberFormat="1" applyFont="1" applyBorder="1" applyAlignment="1" applyProtection="1">
      <alignment horizontal="center" vertical="center"/>
      <protection hidden="1"/>
    </xf>
    <xf numFmtId="10" fontId="12" fillId="5" borderId="0" xfId="0" applyNumberFormat="1" applyFont="1" applyFill="1" applyAlignment="1" applyProtection="1">
      <alignment horizontal="center" vertical="center"/>
      <protection hidden="1"/>
    </xf>
    <xf numFmtId="0" fontId="11" fillId="0" borderId="13" xfId="0" applyFont="1" applyBorder="1" applyAlignment="1" applyProtection="1">
      <alignment horizontal="center" vertical="center" wrapText="1"/>
      <protection hidden="1"/>
    </xf>
    <xf numFmtId="40" fontId="9" fillId="5" borderId="21" xfId="2" applyNumberFormat="1" applyFont="1" applyFill="1" applyBorder="1" applyAlignment="1" applyProtection="1">
      <alignment horizontal="right" vertical="center"/>
      <protection hidden="1"/>
    </xf>
    <xf numFmtId="174" fontId="12" fillId="0" borderId="8" xfId="0" applyNumberFormat="1" applyFont="1" applyBorder="1" applyAlignment="1" applyProtection="1">
      <alignment horizontal="center" vertical="center"/>
      <protection hidden="1"/>
    </xf>
    <xf numFmtId="4" fontId="12" fillId="2" borderId="8" xfId="0" applyNumberFormat="1" applyFont="1" applyFill="1" applyBorder="1" applyAlignment="1" applyProtection="1">
      <alignment horizontal="center" vertical="center"/>
      <protection locked="0"/>
    </xf>
    <xf numFmtId="0" fontId="12" fillId="5" borderId="8" xfId="0" applyFont="1" applyFill="1" applyBorder="1" applyAlignment="1" applyProtection="1">
      <alignment horizontal="center" vertical="center" wrapText="1"/>
      <protection hidden="1"/>
    </xf>
    <xf numFmtId="4" fontId="12" fillId="0" borderId="8" xfId="0" applyNumberFormat="1" applyFont="1" applyBorder="1" applyAlignment="1" applyProtection="1">
      <alignment horizontal="center" vertical="center"/>
      <protection hidden="1"/>
    </xf>
    <xf numFmtId="4" fontId="12" fillId="12" borderId="8" xfId="0" applyNumberFormat="1" applyFont="1" applyFill="1" applyBorder="1" applyAlignment="1" applyProtection="1">
      <alignment horizontal="center" vertical="center"/>
      <protection hidden="1"/>
    </xf>
    <xf numFmtId="171" fontId="12" fillId="9" borderId="10" xfId="0" applyNumberFormat="1" applyFont="1" applyFill="1" applyBorder="1" applyAlignment="1" applyProtection="1">
      <alignment horizontal="center" vertical="center"/>
      <protection locked="0"/>
    </xf>
    <xf numFmtId="178" fontId="12" fillId="9" borderId="11" xfId="0" applyNumberFormat="1" applyFont="1" applyFill="1" applyBorder="1" applyAlignment="1" applyProtection="1">
      <alignment horizontal="center" vertical="center"/>
      <protection locked="0"/>
    </xf>
    <xf numFmtId="49" fontId="12" fillId="5" borderId="11" xfId="0" applyNumberFormat="1" applyFont="1" applyFill="1" applyBorder="1" applyAlignment="1" applyProtection="1">
      <alignment horizontal="center" vertical="center"/>
      <protection locked="0"/>
    </xf>
    <xf numFmtId="3" fontId="12" fillId="9" borderId="11" xfId="0" applyNumberFormat="1" applyFont="1" applyFill="1" applyBorder="1" applyAlignment="1" applyProtection="1">
      <alignment horizontal="center" vertical="center"/>
      <protection locked="0"/>
    </xf>
    <xf numFmtId="4" fontId="12" fillId="2" borderId="11" xfId="0" applyNumberFormat="1" applyFont="1" applyFill="1" applyBorder="1" applyAlignment="1" applyProtection="1">
      <alignment horizontal="center" vertical="center"/>
      <protection locked="0"/>
    </xf>
    <xf numFmtId="172" fontId="12" fillId="9" borderId="11" xfId="0" applyNumberFormat="1" applyFont="1" applyFill="1" applyBorder="1" applyAlignment="1" applyProtection="1">
      <alignment horizontal="center" vertical="center"/>
      <protection locked="0"/>
    </xf>
    <xf numFmtId="174" fontId="12" fillId="0" borderId="50" xfId="0" applyNumberFormat="1" applyFont="1" applyBorder="1" applyAlignment="1" applyProtection="1">
      <alignment horizontal="center" vertical="center"/>
      <protection hidden="1"/>
    </xf>
    <xf numFmtId="4" fontId="12" fillId="0" borderId="50" xfId="0" applyNumberFormat="1" applyFont="1" applyBorder="1" applyAlignment="1" applyProtection="1">
      <alignment horizontal="center" vertical="center"/>
      <protection hidden="1"/>
    </xf>
    <xf numFmtId="10" fontId="12" fillId="9" borderId="50" xfId="0" applyNumberFormat="1" applyFont="1" applyFill="1" applyBorder="1" applyAlignment="1" applyProtection="1">
      <alignment horizontal="center" vertical="center"/>
      <protection locked="0"/>
    </xf>
    <xf numFmtId="4" fontId="12" fillId="12" borderId="50" xfId="0" applyNumberFormat="1" applyFont="1" applyFill="1" applyBorder="1" applyAlignment="1" applyProtection="1">
      <alignment horizontal="center" vertical="center"/>
      <protection hidden="1"/>
    </xf>
    <xf numFmtId="4" fontId="12" fillId="0" borderId="76" xfId="0" applyNumberFormat="1" applyFont="1" applyBorder="1" applyAlignment="1" applyProtection="1">
      <alignment horizontal="center" vertical="center"/>
      <protection hidden="1"/>
    </xf>
    <xf numFmtId="10" fontId="12" fillId="5" borderId="66" xfId="0" applyNumberFormat="1" applyFont="1" applyFill="1" applyBorder="1" applyAlignment="1" applyProtection="1">
      <alignment horizontal="center" vertical="center"/>
      <protection hidden="1"/>
    </xf>
    <xf numFmtId="4" fontId="12" fillId="0" borderId="44" xfId="0" applyNumberFormat="1" applyFont="1" applyBorder="1" applyAlignment="1" applyProtection="1">
      <alignment horizontal="center" vertical="center"/>
      <protection hidden="1"/>
    </xf>
    <xf numFmtId="0" fontId="12" fillId="0" borderId="55" xfId="0" applyFont="1" applyBorder="1" applyAlignment="1" applyProtection="1">
      <alignment horizontal="center" vertical="center"/>
      <protection hidden="1"/>
    </xf>
    <xf numFmtId="4" fontId="12" fillId="2" borderId="11" xfId="0" applyNumberFormat="1" applyFont="1" applyFill="1" applyBorder="1" applyAlignment="1" applyProtection="1">
      <alignment horizontal="center" vertical="center" wrapText="1"/>
      <protection locked="0"/>
    </xf>
    <xf numFmtId="40" fontId="9" fillId="5" borderId="27" xfId="0" applyNumberFormat="1" applyFont="1" applyFill="1" applyBorder="1" applyAlignment="1" applyProtection="1">
      <alignment vertical="center"/>
      <protection hidden="1"/>
    </xf>
    <xf numFmtId="40" fontId="22" fillId="0" borderId="17" xfId="0" applyNumberFormat="1" applyFont="1" applyBorder="1" applyAlignment="1" applyProtection="1">
      <alignment horizontal="right" vertical="center"/>
      <protection locked="0"/>
    </xf>
    <xf numFmtId="9" fontId="0" fillId="0" borderId="0" xfId="0" applyNumberFormat="1"/>
    <xf numFmtId="166" fontId="0" fillId="0" borderId="0" xfId="0" applyNumberFormat="1"/>
    <xf numFmtId="177" fontId="9" fillId="0" borderId="0" xfId="0" applyNumberFormat="1" applyFont="1" applyAlignment="1">
      <alignment horizontal="center" vertical="center"/>
    </xf>
    <xf numFmtId="49" fontId="12" fillId="13" borderId="8" xfId="0" applyNumberFormat="1" applyFont="1" applyFill="1" applyBorder="1" applyAlignment="1" applyProtection="1">
      <alignment horizontal="center" vertical="center"/>
      <protection locked="0"/>
    </xf>
    <xf numFmtId="181" fontId="9" fillId="0" borderId="0" xfId="0" applyNumberFormat="1" applyFont="1" applyAlignment="1">
      <alignment horizontal="center" vertical="center"/>
    </xf>
    <xf numFmtId="0" fontId="9" fillId="0" borderId="40" xfId="0" applyFont="1" applyBorder="1" applyAlignment="1" applyProtection="1">
      <alignment horizontal="center" vertical="center"/>
      <protection hidden="1"/>
    </xf>
    <xf numFmtId="0" fontId="9" fillId="0" borderId="25" xfId="0" applyFont="1" applyBorder="1" applyAlignment="1" applyProtection="1">
      <alignment horizontal="center" vertical="center"/>
      <protection hidden="1"/>
    </xf>
    <xf numFmtId="0" fontId="9" fillId="0" borderId="22" xfId="0" applyFont="1" applyBorder="1" applyAlignment="1" applyProtection="1">
      <alignment horizontal="center" vertical="center"/>
      <protection hidden="1"/>
    </xf>
    <xf numFmtId="14" fontId="12" fillId="6" borderId="35" xfId="0" applyNumberFormat="1" applyFont="1" applyFill="1" applyBorder="1" applyAlignment="1" applyProtection="1">
      <alignment horizontal="center" vertical="center"/>
      <protection hidden="1"/>
    </xf>
    <xf numFmtId="14" fontId="12" fillId="6" borderId="36" xfId="0" applyNumberFormat="1" applyFont="1" applyFill="1" applyBorder="1" applyAlignment="1" applyProtection="1">
      <alignment horizontal="center" vertical="center"/>
      <protection hidden="1"/>
    </xf>
    <xf numFmtId="0" fontId="12" fillId="6" borderId="54" xfId="0" applyFont="1" applyFill="1" applyBorder="1" applyAlignment="1" applyProtection="1">
      <alignment horizontal="center" vertical="center"/>
      <protection hidden="1"/>
    </xf>
    <xf numFmtId="0" fontId="12" fillId="6" borderId="58" xfId="0" applyFont="1" applyFill="1" applyBorder="1" applyAlignment="1" applyProtection="1">
      <alignment horizontal="center" vertical="center"/>
      <protection hidden="1"/>
    </xf>
    <xf numFmtId="0" fontId="12" fillId="0" borderId="36" xfId="0" applyFont="1" applyBorder="1" applyAlignment="1" applyProtection="1">
      <alignment horizontal="center" vertical="center"/>
      <protection hidden="1"/>
    </xf>
    <xf numFmtId="0" fontId="12" fillId="0" borderId="58" xfId="0" applyFont="1" applyBorder="1" applyAlignment="1" applyProtection="1">
      <alignment horizontal="center" vertical="center"/>
      <protection hidden="1"/>
    </xf>
    <xf numFmtId="0" fontId="9" fillId="0" borderId="12" xfId="0" applyFont="1" applyBorder="1" applyAlignment="1" applyProtection="1">
      <alignment horizontal="center" vertical="center"/>
      <protection hidden="1"/>
    </xf>
    <xf numFmtId="0" fontId="9" fillId="0" borderId="13" xfId="0" applyFont="1" applyBorder="1" applyAlignment="1" applyProtection="1">
      <alignment horizontal="center" vertical="center"/>
      <protection hidden="1"/>
    </xf>
    <xf numFmtId="0" fontId="9" fillId="0" borderId="14" xfId="0" applyFont="1" applyBorder="1" applyAlignment="1" applyProtection="1">
      <alignment horizontal="center" vertical="center"/>
      <protection hidden="1"/>
    </xf>
    <xf numFmtId="40" fontId="9" fillId="0" borderId="40" xfId="0" applyNumberFormat="1" applyFont="1" applyBorder="1" applyAlignment="1" applyProtection="1">
      <alignment horizontal="center" vertical="center"/>
      <protection hidden="1"/>
    </xf>
    <xf numFmtId="14" fontId="9" fillId="6" borderId="40" xfId="0" applyNumberFormat="1" applyFont="1" applyFill="1" applyBorder="1" applyAlignment="1" applyProtection="1">
      <alignment horizontal="center" vertical="center"/>
      <protection hidden="1"/>
    </xf>
    <xf numFmtId="0" fontId="9" fillId="6" borderId="25" xfId="0" applyFont="1" applyFill="1" applyBorder="1" applyAlignment="1" applyProtection="1">
      <alignment horizontal="center" vertical="center"/>
      <protection hidden="1"/>
    </xf>
    <xf numFmtId="0" fontId="9" fillId="6" borderId="22" xfId="0" applyFont="1" applyFill="1" applyBorder="1" applyAlignment="1" applyProtection="1">
      <alignment horizontal="center" vertical="center"/>
      <protection hidden="1"/>
    </xf>
    <xf numFmtId="40" fontId="9" fillId="0" borderId="22" xfId="0" applyNumberFormat="1" applyFont="1" applyBorder="1" applyAlignment="1" applyProtection="1">
      <alignment horizontal="center" vertical="center"/>
      <protection hidden="1"/>
    </xf>
    <xf numFmtId="169" fontId="9" fillId="6" borderId="40" xfId="1" applyNumberFormat="1" applyFont="1" applyFill="1" applyBorder="1" applyAlignment="1" applyProtection="1">
      <alignment horizontal="center" vertical="center"/>
      <protection hidden="1"/>
    </xf>
    <xf numFmtId="169" fontId="9" fillId="6" borderId="25" xfId="1" applyNumberFormat="1" applyFont="1" applyFill="1" applyBorder="1" applyAlignment="1" applyProtection="1">
      <alignment horizontal="center" vertical="center"/>
      <protection hidden="1"/>
    </xf>
    <xf numFmtId="169" fontId="9" fillId="6" borderId="22" xfId="1" applyNumberFormat="1" applyFont="1" applyFill="1" applyBorder="1" applyAlignment="1" applyProtection="1">
      <alignment horizontal="center" vertical="center"/>
      <protection hidden="1"/>
    </xf>
    <xf numFmtId="14" fontId="9" fillId="6" borderId="25" xfId="0" applyNumberFormat="1" applyFont="1" applyFill="1" applyBorder="1" applyAlignment="1" applyProtection="1">
      <alignment horizontal="center" vertical="center"/>
      <protection hidden="1"/>
    </xf>
    <xf numFmtId="14" fontId="9" fillId="6" borderId="22" xfId="0" applyNumberFormat="1" applyFont="1" applyFill="1" applyBorder="1" applyAlignment="1" applyProtection="1">
      <alignment horizontal="center" vertical="center"/>
      <protection hidden="1"/>
    </xf>
    <xf numFmtId="40" fontId="9" fillId="0" borderId="25" xfId="0" applyNumberFormat="1" applyFont="1" applyBorder="1" applyAlignment="1" applyProtection="1">
      <alignment horizontal="center" vertical="center"/>
      <protection hidden="1"/>
    </xf>
    <xf numFmtId="10" fontId="21" fillId="0" borderId="60" xfId="0" applyNumberFormat="1" applyFont="1" applyBorder="1" applyAlignment="1" applyProtection="1">
      <alignment horizontal="center" vertical="center"/>
      <protection hidden="1"/>
    </xf>
    <xf numFmtId="10" fontId="21" fillId="0" borderId="61" xfId="0" applyNumberFormat="1" applyFont="1" applyBorder="1" applyAlignment="1" applyProtection="1">
      <alignment horizontal="center" vertical="center"/>
      <protection hidden="1"/>
    </xf>
    <xf numFmtId="10" fontId="21" fillId="0" borderId="62" xfId="0" applyNumberFormat="1" applyFont="1" applyBorder="1" applyAlignment="1" applyProtection="1">
      <alignment horizontal="center" vertical="center"/>
      <protection hidden="1"/>
    </xf>
    <xf numFmtId="10" fontId="21" fillId="0" borderId="71" xfId="0" applyNumberFormat="1" applyFont="1" applyBorder="1" applyAlignment="1" applyProtection="1">
      <alignment horizontal="center" vertical="center"/>
      <protection hidden="1"/>
    </xf>
    <xf numFmtId="10" fontId="21" fillId="0" borderId="40" xfId="0" applyNumberFormat="1" applyFont="1" applyBorder="1" applyAlignment="1" applyProtection="1">
      <alignment horizontal="center" vertical="center" wrapText="1"/>
      <protection hidden="1"/>
    </xf>
    <xf numFmtId="10" fontId="21" fillId="0" borderId="25" xfId="0" applyNumberFormat="1" applyFont="1" applyBorder="1" applyAlignment="1" applyProtection="1">
      <alignment horizontal="center" vertical="center" wrapText="1"/>
      <protection hidden="1"/>
    </xf>
    <xf numFmtId="10" fontId="21" fillId="0" borderId="22" xfId="0" applyNumberFormat="1" applyFont="1" applyBorder="1" applyAlignment="1" applyProtection="1">
      <alignment horizontal="center" vertical="center" wrapText="1"/>
      <protection hidden="1"/>
    </xf>
    <xf numFmtId="0" fontId="5" fillId="0" borderId="41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5" fillId="0" borderId="58" xfId="0" applyFont="1" applyBorder="1" applyAlignment="1">
      <alignment horizontal="center" vertical="center"/>
    </xf>
    <xf numFmtId="14" fontId="5" fillId="0" borderId="35" xfId="0" applyNumberFormat="1" applyFont="1" applyBorder="1" applyAlignment="1">
      <alignment horizontal="center" vertical="center"/>
    </xf>
    <xf numFmtId="14" fontId="5" fillId="0" borderId="36" xfId="0" applyNumberFormat="1" applyFont="1" applyBorder="1" applyAlignment="1">
      <alignment horizontal="center" vertical="center"/>
    </xf>
    <xf numFmtId="0" fontId="5" fillId="8" borderId="40" xfId="0" applyFont="1" applyFill="1" applyBorder="1" applyAlignment="1" applyProtection="1">
      <alignment horizontal="center" vertical="center"/>
      <protection hidden="1"/>
    </xf>
    <xf numFmtId="0" fontId="5" fillId="8" borderId="22" xfId="0" applyFont="1" applyFill="1" applyBorder="1" applyAlignment="1" applyProtection="1">
      <alignment horizontal="center" vertical="center"/>
      <protection hidden="1"/>
    </xf>
    <xf numFmtId="40" fontId="5" fillId="0" borderId="12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40" xfId="0" applyFont="1" applyBorder="1" applyAlignment="1" applyProtection="1">
      <alignment horizontal="center" vertical="center"/>
      <protection hidden="1"/>
    </xf>
    <xf numFmtId="0" fontId="5" fillId="0" borderId="22" xfId="0" applyFont="1" applyBorder="1" applyAlignment="1" applyProtection="1">
      <alignment horizontal="center" vertical="center"/>
      <protection hidden="1"/>
    </xf>
    <xf numFmtId="0" fontId="5" fillId="0" borderId="25" xfId="0" applyFont="1" applyBorder="1" applyAlignment="1" applyProtection="1">
      <alignment horizontal="center" vertical="center"/>
      <protection hidden="1"/>
    </xf>
    <xf numFmtId="0" fontId="6" fillId="0" borderId="54" xfId="0" applyFont="1" applyBorder="1" applyAlignment="1" applyProtection="1">
      <alignment horizontal="center" vertical="center"/>
      <protection hidden="1"/>
    </xf>
    <xf numFmtId="0" fontId="6" fillId="0" borderId="49" xfId="0" applyFont="1" applyBorder="1" applyAlignment="1" applyProtection="1">
      <alignment horizontal="center" vertical="center"/>
      <protection hidden="1"/>
    </xf>
    <xf numFmtId="0" fontId="6" fillId="0" borderId="58" xfId="0" applyFont="1" applyBorder="1" applyAlignment="1" applyProtection="1">
      <alignment horizontal="center" vertical="center"/>
      <protection hidden="1"/>
    </xf>
    <xf numFmtId="14" fontId="5" fillId="0" borderId="40" xfId="0" applyNumberFormat="1" applyFont="1" applyBorder="1" applyAlignment="1">
      <alignment horizontal="center" vertical="center"/>
    </xf>
    <xf numFmtId="14" fontId="5" fillId="0" borderId="22" xfId="0" applyNumberFormat="1" applyFont="1" applyBorder="1" applyAlignment="1">
      <alignment horizontal="center" vertical="center"/>
    </xf>
    <xf numFmtId="0" fontId="5" fillId="0" borderId="54" xfId="0" applyFont="1" applyBorder="1" applyAlignment="1" applyProtection="1">
      <alignment horizontal="center" vertical="center"/>
      <protection hidden="1"/>
    </xf>
    <xf numFmtId="0" fontId="5" fillId="0" borderId="49" xfId="0" applyFont="1" applyBorder="1" applyAlignment="1" applyProtection="1">
      <alignment horizontal="center" vertical="center"/>
      <protection hidden="1"/>
    </xf>
    <xf numFmtId="14" fontId="5" fillId="8" borderId="35" xfId="0" applyNumberFormat="1" applyFont="1" applyFill="1" applyBorder="1" applyAlignment="1">
      <alignment horizontal="center" vertical="center"/>
    </xf>
    <xf numFmtId="14" fontId="5" fillId="8" borderId="36" xfId="0" applyNumberFormat="1" applyFont="1" applyFill="1" applyBorder="1" applyAlignment="1">
      <alignment horizontal="center" vertical="center"/>
    </xf>
    <xf numFmtId="14" fontId="5" fillId="8" borderId="31" xfId="0" applyNumberFormat="1" applyFont="1" applyFill="1" applyBorder="1" applyAlignment="1">
      <alignment horizontal="center" vertical="center"/>
    </xf>
    <xf numFmtId="14" fontId="5" fillId="8" borderId="33" xfId="0" applyNumberFormat="1" applyFont="1" applyFill="1" applyBorder="1" applyAlignment="1">
      <alignment horizontal="center" vertical="center"/>
    </xf>
    <xf numFmtId="14" fontId="5" fillId="8" borderId="54" xfId="0" applyNumberFormat="1" applyFont="1" applyFill="1" applyBorder="1" applyAlignment="1">
      <alignment horizontal="center" vertical="center"/>
    </xf>
    <xf numFmtId="14" fontId="5" fillId="8" borderId="58" xfId="0" applyNumberFormat="1" applyFont="1" applyFill="1" applyBorder="1" applyAlignment="1">
      <alignment horizontal="center" vertical="center"/>
    </xf>
    <xf numFmtId="14" fontId="5" fillId="0" borderId="41" xfId="0" applyNumberFormat="1" applyFont="1" applyBorder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4" fontId="5" fillId="0" borderId="33" xfId="0" applyNumberFormat="1" applyFont="1" applyBorder="1" applyAlignment="1">
      <alignment horizontal="center" vertical="center"/>
    </xf>
    <xf numFmtId="14" fontId="5" fillId="0" borderId="49" xfId="0" applyNumberFormat="1" applyFont="1" applyBorder="1" applyAlignment="1">
      <alignment horizontal="center" vertical="center"/>
    </xf>
    <xf numFmtId="14" fontId="5" fillId="0" borderId="58" xfId="0" applyNumberFormat="1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40" xfId="0" applyFont="1" applyBorder="1" applyAlignment="1" applyProtection="1">
      <alignment horizontal="center" vertical="center"/>
      <protection hidden="1"/>
    </xf>
    <xf numFmtId="0" fontId="6" fillId="0" borderId="25" xfId="0" applyFont="1" applyBorder="1" applyAlignment="1" applyProtection="1">
      <alignment horizontal="center" vertical="center"/>
      <protection hidden="1"/>
    </xf>
    <xf numFmtId="10" fontId="6" fillId="0" borderId="20" xfId="1" applyNumberFormat="1" applyFont="1" applyBorder="1" applyAlignment="1">
      <alignment horizontal="center" vertical="center"/>
    </xf>
    <xf numFmtId="10" fontId="6" fillId="0" borderId="23" xfId="1" applyNumberFormat="1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3" fillId="8" borderId="40" xfId="0" applyFont="1" applyFill="1" applyBorder="1" applyAlignment="1" applyProtection="1">
      <alignment horizontal="center" vertical="center"/>
      <protection hidden="1"/>
    </xf>
    <xf numFmtId="0" fontId="13" fillId="8" borderId="22" xfId="0" applyFont="1" applyFill="1" applyBorder="1" applyAlignment="1" applyProtection="1">
      <alignment horizontal="center" vertical="center"/>
      <protection hidden="1"/>
    </xf>
    <xf numFmtId="0" fontId="11" fillId="0" borderId="40" xfId="0" applyFont="1" applyBorder="1" applyAlignment="1" applyProtection="1">
      <alignment horizontal="center" vertical="center"/>
      <protection hidden="1"/>
    </xf>
    <xf numFmtId="0" fontId="11" fillId="0" borderId="25" xfId="0" applyFont="1" applyBorder="1" applyAlignment="1" applyProtection="1">
      <alignment horizontal="center" vertical="center"/>
      <protection hidden="1"/>
    </xf>
    <xf numFmtId="0" fontId="11" fillId="0" borderId="22" xfId="0" applyFont="1" applyBorder="1" applyAlignment="1" applyProtection="1">
      <alignment horizontal="center" vertical="center"/>
      <protection hidden="1"/>
    </xf>
    <xf numFmtId="0" fontId="13" fillId="0" borderId="40" xfId="0" applyFont="1" applyBorder="1" applyAlignment="1" applyProtection="1">
      <alignment horizontal="center" vertical="center"/>
      <protection hidden="1"/>
    </xf>
    <xf numFmtId="0" fontId="13" fillId="0" borderId="22" xfId="0" applyFont="1" applyBorder="1" applyAlignment="1" applyProtection="1">
      <alignment horizontal="center" vertical="center"/>
      <protection hidden="1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56" xfId="0" applyFont="1" applyBorder="1" applyAlignment="1" applyProtection="1">
      <alignment horizontal="center" vertical="center"/>
      <protection hidden="1"/>
    </xf>
    <xf numFmtId="0" fontId="11" fillId="0" borderId="37" xfId="0" applyFont="1" applyBorder="1" applyAlignment="1" applyProtection="1">
      <alignment horizontal="center" vertical="center"/>
      <protection hidden="1"/>
    </xf>
    <xf numFmtId="0" fontId="11" fillId="0" borderId="18" xfId="0" applyFont="1" applyBorder="1" applyAlignment="1" applyProtection="1">
      <alignment horizontal="center" vertical="center"/>
      <protection hidden="1"/>
    </xf>
    <xf numFmtId="0" fontId="13" fillId="0" borderId="25" xfId="0" applyFont="1" applyBorder="1" applyAlignment="1" applyProtection="1">
      <alignment horizontal="center" vertical="center"/>
      <protection hidden="1"/>
    </xf>
    <xf numFmtId="40" fontId="13" fillId="0" borderId="12" xfId="0" applyNumberFormat="1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14" fontId="13" fillId="8" borderId="35" xfId="0" applyNumberFormat="1" applyFont="1" applyFill="1" applyBorder="1" applyAlignment="1">
      <alignment horizontal="center" vertical="center"/>
    </xf>
    <xf numFmtId="14" fontId="13" fillId="8" borderId="36" xfId="0" applyNumberFormat="1" applyFont="1" applyFill="1" applyBorder="1" applyAlignment="1">
      <alignment horizontal="center" vertical="center"/>
    </xf>
    <xf numFmtId="14" fontId="13" fillId="8" borderId="54" xfId="0" applyNumberFormat="1" applyFont="1" applyFill="1" applyBorder="1" applyAlignment="1">
      <alignment horizontal="center" vertical="center"/>
    </xf>
    <xf numFmtId="14" fontId="13" fillId="8" borderId="58" xfId="0" applyNumberFormat="1" applyFont="1" applyFill="1" applyBorder="1" applyAlignment="1">
      <alignment horizontal="center" vertical="center"/>
    </xf>
    <xf numFmtId="14" fontId="13" fillId="0" borderId="41" xfId="0" applyNumberFormat="1" applyFont="1" applyBorder="1" applyAlignment="1">
      <alignment horizontal="center" vertical="center"/>
    </xf>
    <xf numFmtId="14" fontId="13" fillId="0" borderId="36" xfId="0" applyNumberFormat="1" applyFont="1" applyBorder="1" applyAlignment="1">
      <alignment horizontal="center" vertical="center"/>
    </xf>
    <xf numFmtId="14" fontId="13" fillId="0" borderId="49" xfId="0" applyNumberFormat="1" applyFont="1" applyBorder="1" applyAlignment="1">
      <alignment horizontal="center" vertical="center"/>
    </xf>
    <xf numFmtId="14" fontId="13" fillId="0" borderId="58" xfId="0" applyNumberFormat="1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40" fontId="12" fillId="11" borderId="8" xfId="0" applyNumberFormat="1" applyFont="1" applyFill="1" applyBorder="1" applyAlignment="1">
      <alignment horizontal="center" vertical="center"/>
    </xf>
    <xf numFmtId="40" fontId="12" fillId="11" borderId="57" xfId="0" applyNumberFormat="1" applyFont="1" applyFill="1" applyBorder="1" applyAlignment="1">
      <alignment horizontal="center" vertical="center"/>
    </xf>
    <xf numFmtId="40" fontId="12" fillId="11" borderId="16" xfId="0" applyNumberFormat="1" applyFont="1" applyFill="1" applyBorder="1" applyAlignment="1">
      <alignment horizontal="center" vertical="center"/>
    </xf>
    <xf numFmtId="168" fontId="12" fillId="0" borderId="8" xfId="0" applyNumberFormat="1" applyFont="1" applyBorder="1" applyAlignment="1">
      <alignment horizontal="center" vertical="center"/>
    </xf>
    <xf numFmtId="168" fontId="12" fillId="0" borderId="57" xfId="0" applyNumberFormat="1" applyFont="1" applyBorder="1" applyAlignment="1">
      <alignment horizontal="center" vertical="center"/>
    </xf>
    <xf numFmtId="168" fontId="12" fillId="0" borderId="16" xfId="0" applyNumberFormat="1" applyFont="1" applyBorder="1" applyAlignment="1">
      <alignment horizontal="center" vertical="center"/>
    </xf>
    <xf numFmtId="168" fontId="12" fillId="11" borderId="8" xfId="0" applyNumberFormat="1" applyFont="1" applyFill="1" applyBorder="1" applyAlignment="1">
      <alignment horizontal="center" vertical="center"/>
    </xf>
    <xf numFmtId="0" fontId="12" fillId="11" borderId="57" xfId="0" applyFont="1" applyFill="1" applyBorder="1" applyAlignment="1">
      <alignment horizontal="center" vertical="center"/>
    </xf>
    <xf numFmtId="0" fontId="12" fillId="11" borderId="16" xfId="0" applyFont="1" applyFill="1" applyBorder="1" applyAlignment="1">
      <alignment horizontal="center" vertical="center"/>
    </xf>
    <xf numFmtId="4" fontId="12" fillId="12" borderId="25" xfId="0" applyNumberFormat="1" applyFont="1" applyFill="1" applyBorder="1" applyAlignment="1">
      <alignment horizontal="center" vertical="center"/>
    </xf>
    <xf numFmtId="0" fontId="12" fillId="12" borderId="25" xfId="0" applyFont="1" applyFill="1" applyBorder="1" applyAlignment="1">
      <alignment horizontal="center" vertical="center"/>
    </xf>
    <xf numFmtId="4" fontId="12" fillId="0" borderId="25" xfId="0" applyNumberFormat="1" applyFont="1" applyBorder="1" applyAlignment="1">
      <alignment horizontal="center" vertical="center"/>
    </xf>
    <xf numFmtId="0" fontId="12" fillId="10" borderId="40" xfId="0" applyFont="1" applyFill="1" applyBorder="1" applyAlignment="1" applyProtection="1">
      <alignment horizontal="center" vertical="center"/>
      <protection hidden="1"/>
    </xf>
    <xf numFmtId="0" fontId="12" fillId="10" borderId="25" xfId="0" applyFont="1" applyFill="1" applyBorder="1" applyAlignment="1" applyProtection="1">
      <alignment horizontal="center" vertical="center"/>
      <protection hidden="1"/>
    </xf>
    <xf numFmtId="0" fontId="12" fillId="10" borderId="22" xfId="0" applyFont="1" applyFill="1" applyBorder="1" applyAlignment="1" applyProtection="1">
      <alignment horizontal="center" vertical="center"/>
      <protection hidden="1"/>
    </xf>
    <xf numFmtId="40" fontId="12" fillId="10" borderId="40" xfId="0" applyNumberFormat="1" applyFont="1" applyFill="1" applyBorder="1" applyAlignment="1" applyProtection="1">
      <alignment horizontal="center" vertical="center"/>
      <protection hidden="1"/>
    </xf>
    <xf numFmtId="0" fontId="21" fillId="6" borderId="29" xfId="0" applyFont="1" applyFill="1" applyBorder="1" applyAlignment="1" applyProtection="1">
      <alignment horizontal="center" vertical="center"/>
      <protection hidden="1"/>
    </xf>
    <xf numFmtId="0" fontId="21" fillId="6" borderId="38" xfId="0" applyFont="1" applyFill="1" applyBorder="1" applyAlignment="1" applyProtection="1">
      <alignment horizontal="center" vertical="center"/>
      <protection hidden="1"/>
    </xf>
    <xf numFmtId="0" fontId="21" fillId="0" borderId="35" xfId="0" applyFont="1" applyBorder="1" applyAlignment="1" applyProtection="1">
      <alignment horizontal="center" vertical="center"/>
      <protection hidden="1"/>
    </xf>
    <xf numFmtId="0" fontId="21" fillId="0" borderId="36" xfId="0" applyFont="1" applyBorder="1" applyAlignment="1" applyProtection="1">
      <alignment horizontal="center" vertical="center"/>
      <protection hidden="1"/>
    </xf>
    <xf numFmtId="0" fontId="21" fillId="0" borderId="31" xfId="0" applyFont="1" applyBorder="1" applyAlignment="1" applyProtection="1">
      <alignment horizontal="center" vertical="center"/>
      <protection hidden="1"/>
    </xf>
    <xf numFmtId="0" fontId="21" fillId="0" borderId="33" xfId="0" applyFont="1" applyBorder="1" applyAlignment="1" applyProtection="1">
      <alignment horizontal="center" vertical="center"/>
      <protection hidden="1"/>
    </xf>
    <xf numFmtId="0" fontId="21" fillId="0" borderId="54" xfId="0" applyFont="1" applyBorder="1" applyAlignment="1" applyProtection="1">
      <alignment horizontal="center" vertical="center"/>
      <protection hidden="1"/>
    </xf>
    <xf numFmtId="0" fontId="21" fillId="0" borderId="58" xfId="0" applyFont="1" applyBorder="1" applyAlignment="1" applyProtection="1">
      <alignment horizontal="center" vertical="center"/>
      <protection hidden="1"/>
    </xf>
    <xf numFmtId="1" fontId="21" fillId="6" borderId="20" xfId="0" applyNumberFormat="1" applyFont="1" applyFill="1" applyBorder="1" applyAlignment="1" applyProtection="1">
      <alignment horizontal="center" vertical="center"/>
      <protection hidden="1"/>
    </xf>
    <xf numFmtId="1" fontId="21" fillId="6" borderId="32" xfId="0" applyNumberFormat="1" applyFont="1" applyFill="1" applyBorder="1" applyAlignment="1" applyProtection="1">
      <alignment horizontal="center" vertical="center"/>
      <protection hidden="1"/>
    </xf>
    <xf numFmtId="1" fontId="21" fillId="6" borderId="47" xfId="0" applyNumberFormat="1" applyFont="1" applyFill="1" applyBorder="1" applyAlignment="1" applyProtection="1">
      <alignment horizontal="center" vertical="center"/>
      <protection hidden="1"/>
    </xf>
    <xf numFmtId="0" fontId="21" fillId="6" borderId="45" xfId="0" applyFont="1" applyFill="1" applyBorder="1" applyAlignment="1" applyProtection="1">
      <alignment horizontal="center" vertical="center"/>
      <protection hidden="1"/>
    </xf>
    <xf numFmtId="0" fontId="21" fillId="6" borderId="56" xfId="0" applyFont="1" applyFill="1" applyBorder="1" applyAlignment="1" applyProtection="1">
      <alignment horizontal="center" vertical="center"/>
      <protection hidden="1"/>
    </xf>
    <xf numFmtId="14" fontId="21" fillId="6" borderId="31" xfId="0" applyNumberFormat="1" applyFont="1" applyFill="1" applyBorder="1" applyAlignment="1" applyProtection="1">
      <alignment horizontal="center" vertical="center"/>
      <protection hidden="1"/>
    </xf>
    <xf numFmtId="0" fontId="21" fillId="6" borderId="33" xfId="0" applyFont="1" applyFill="1" applyBorder="1" applyAlignment="1" applyProtection="1">
      <alignment horizontal="center" vertical="center"/>
      <protection hidden="1"/>
    </xf>
    <xf numFmtId="4" fontId="21" fillId="10" borderId="35" xfId="0" applyNumberFormat="1" applyFont="1" applyFill="1" applyBorder="1" applyAlignment="1" applyProtection="1">
      <alignment horizontal="center" vertical="center"/>
      <protection hidden="1"/>
    </xf>
    <xf numFmtId="0" fontId="21" fillId="10" borderId="41" xfId="0" applyFont="1" applyFill="1" applyBorder="1" applyAlignment="1" applyProtection="1">
      <alignment horizontal="center" vertical="center"/>
      <protection hidden="1"/>
    </xf>
    <xf numFmtId="0" fontId="21" fillId="10" borderId="36" xfId="0" applyFont="1" applyFill="1" applyBorder="1" applyAlignment="1" applyProtection="1">
      <alignment horizontal="center" vertical="center"/>
      <protection hidden="1"/>
    </xf>
    <xf numFmtId="0" fontId="21" fillId="10" borderId="31" xfId="0" applyFont="1" applyFill="1" applyBorder="1" applyAlignment="1" applyProtection="1">
      <alignment horizontal="center" vertical="center"/>
      <protection hidden="1"/>
    </xf>
    <xf numFmtId="0" fontId="21" fillId="10" borderId="0" xfId="0" applyFont="1" applyFill="1" applyAlignment="1" applyProtection="1">
      <alignment horizontal="center" vertical="center"/>
      <protection hidden="1"/>
    </xf>
    <xf numFmtId="0" fontId="21" fillId="10" borderId="33" xfId="0" applyFont="1" applyFill="1" applyBorder="1" applyAlignment="1" applyProtection="1">
      <alignment horizontal="center" vertical="center"/>
      <protection hidden="1"/>
    </xf>
    <xf numFmtId="0" fontId="21" fillId="10" borderId="54" xfId="0" applyFont="1" applyFill="1" applyBorder="1" applyAlignment="1" applyProtection="1">
      <alignment horizontal="center" vertical="center"/>
      <protection hidden="1"/>
    </xf>
    <xf numFmtId="0" fontId="21" fillId="10" borderId="49" xfId="0" applyFont="1" applyFill="1" applyBorder="1" applyAlignment="1" applyProtection="1">
      <alignment horizontal="center" vertical="center"/>
      <protection hidden="1"/>
    </xf>
    <xf numFmtId="0" fontId="21" fillId="10" borderId="58" xfId="0" applyFont="1" applyFill="1" applyBorder="1" applyAlignment="1" applyProtection="1">
      <alignment horizontal="center" vertical="center"/>
      <protection hidden="1"/>
    </xf>
    <xf numFmtId="0" fontId="21" fillId="10" borderId="45" xfId="0" applyFont="1" applyFill="1" applyBorder="1" applyAlignment="1" applyProtection="1">
      <alignment horizontal="center" vertical="center"/>
      <protection hidden="1"/>
    </xf>
    <xf numFmtId="0" fontId="21" fillId="10" borderId="56" xfId="0" applyFont="1" applyFill="1" applyBorder="1" applyAlignment="1" applyProtection="1">
      <alignment horizontal="center" vertical="center"/>
      <protection hidden="1"/>
    </xf>
    <xf numFmtId="4" fontId="21" fillId="6" borderId="41" xfId="0" applyNumberFormat="1" applyFont="1" applyFill="1" applyBorder="1" applyAlignment="1" applyProtection="1">
      <alignment horizontal="center" vertical="center"/>
      <protection hidden="1"/>
    </xf>
    <xf numFmtId="0" fontId="21" fillId="6" borderId="41" xfId="0" applyFont="1" applyFill="1" applyBorder="1" applyAlignment="1" applyProtection="1">
      <alignment horizontal="center" vertical="center"/>
      <protection hidden="1"/>
    </xf>
    <xf numFmtId="0" fontId="21" fillId="6" borderId="36" xfId="0" applyFont="1" applyFill="1" applyBorder="1" applyAlignment="1" applyProtection="1">
      <alignment horizontal="center" vertical="center"/>
      <protection hidden="1"/>
    </xf>
    <xf numFmtId="0" fontId="21" fillId="6" borderId="0" xfId="0" applyFont="1" applyFill="1" applyAlignment="1" applyProtection="1">
      <alignment horizontal="center" vertical="center"/>
      <protection hidden="1"/>
    </xf>
    <xf numFmtId="0" fontId="21" fillId="6" borderId="49" xfId="0" applyFont="1" applyFill="1" applyBorder="1" applyAlignment="1" applyProtection="1">
      <alignment horizontal="center" vertical="center"/>
      <protection hidden="1"/>
    </xf>
    <xf numFmtId="0" fontId="21" fillId="6" borderId="58" xfId="0" applyFont="1" applyFill="1" applyBorder="1" applyAlignment="1" applyProtection="1">
      <alignment horizontal="center" vertical="center"/>
      <protection hidden="1"/>
    </xf>
    <xf numFmtId="0" fontId="12" fillId="6" borderId="40" xfId="0" applyFont="1" applyFill="1" applyBorder="1" applyAlignment="1" applyProtection="1">
      <alignment horizontal="center" vertical="center"/>
      <protection hidden="1"/>
    </xf>
    <xf numFmtId="0" fontId="12" fillId="6" borderId="25" xfId="0" applyFont="1" applyFill="1" applyBorder="1" applyAlignment="1" applyProtection="1">
      <alignment horizontal="center" vertical="center"/>
      <protection hidden="1"/>
    </xf>
    <xf numFmtId="0" fontId="12" fillId="6" borderId="22" xfId="0" applyFont="1" applyFill="1" applyBorder="1" applyAlignment="1" applyProtection="1">
      <alignment horizontal="center" vertical="center"/>
      <protection hidden="1"/>
    </xf>
    <xf numFmtId="14" fontId="12" fillId="6" borderId="40" xfId="0" applyNumberFormat="1" applyFont="1" applyFill="1" applyBorder="1" applyAlignment="1" applyProtection="1">
      <alignment horizontal="center" vertical="center"/>
      <protection hidden="1"/>
    </xf>
    <xf numFmtId="0" fontId="21" fillId="6" borderId="40" xfId="0" applyFont="1" applyFill="1" applyBorder="1" applyAlignment="1" applyProtection="1">
      <alignment horizontal="center" vertical="center"/>
      <protection hidden="1"/>
    </xf>
    <xf numFmtId="0" fontId="21" fillId="6" borderId="22" xfId="0" applyFont="1" applyFill="1" applyBorder="1" applyAlignment="1" applyProtection="1">
      <alignment horizontal="center" vertical="center"/>
      <protection hidden="1"/>
    </xf>
    <xf numFmtId="0" fontId="21" fillId="6" borderId="25" xfId="0" applyFont="1" applyFill="1" applyBorder="1" applyAlignment="1" applyProtection="1">
      <alignment horizontal="center" vertical="center"/>
      <protection hidden="1"/>
    </xf>
    <xf numFmtId="0" fontId="21" fillId="10" borderId="29" xfId="0" applyFont="1" applyFill="1" applyBorder="1" applyAlignment="1" applyProtection="1">
      <alignment horizontal="center" vertical="center"/>
      <protection hidden="1"/>
    </xf>
    <xf numFmtId="0" fontId="21" fillId="10" borderId="38" xfId="0" applyFont="1" applyFill="1" applyBorder="1" applyAlignment="1" applyProtection="1">
      <alignment horizontal="center" vertical="center"/>
      <protection hidden="1"/>
    </xf>
    <xf numFmtId="1" fontId="21" fillId="10" borderId="20" xfId="0" applyNumberFormat="1" applyFont="1" applyFill="1" applyBorder="1" applyAlignment="1" applyProtection="1">
      <alignment horizontal="center" vertical="center"/>
      <protection hidden="1"/>
    </xf>
    <xf numFmtId="1" fontId="21" fillId="10" borderId="32" xfId="0" applyNumberFormat="1" applyFont="1" applyFill="1" applyBorder="1" applyAlignment="1" applyProtection="1">
      <alignment horizontal="center" vertical="center"/>
      <protection hidden="1"/>
    </xf>
    <xf numFmtId="1" fontId="21" fillId="10" borderId="47" xfId="0" applyNumberFormat="1" applyFont="1" applyFill="1" applyBorder="1" applyAlignment="1" applyProtection="1">
      <alignment horizontal="center" vertical="center"/>
      <protection hidden="1"/>
    </xf>
    <xf numFmtId="0" fontId="21" fillId="10" borderId="40" xfId="0" applyFont="1" applyFill="1" applyBorder="1" applyAlignment="1" applyProtection="1">
      <alignment horizontal="center" vertical="center"/>
      <protection hidden="1"/>
    </xf>
    <xf numFmtId="0" fontId="21" fillId="10" borderId="22" xfId="0" applyFont="1" applyFill="1" applyBorder="1" applyAlignment="1" applyProtection="1">
      <alignment horizontal="center" vertical="center"/>
      <protection hidden="1"/>
    </xf>
    <xf numFmtId="0" fontId="21" fillId="10" borderId="25" xfId="0" applyFont="1" applyFill="1" applyBorder="1" applyAlignment="1" applyProtection="1">
      <alignment horizontal="center" vertical="center"/>
      <protection hidden="1"/>
    </xf>
    <xf numFmtId="14" fontId="21" fillId="10" borderId="31" xfId="0" applyNumberFormat="1" applyFont="1" applyFill="1" applyBorder="1" applyAlignment="1" applyProtection="1">
      <alignment horizontal="center" vertical="center"/>
      <protection hidden="1"/>
    </xf>
    <xf numFmtId="0" fontId="9" fillId="0" borderId="39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177" fontId="23" fillId="0" borderId="65" xfId="0" applyNumberFormat="1" applyFont="1" applyBorder="1" applyAlignment="1">
      <alignment horizontal="center" vertical="center"/>
    </xf>
    <xf numFmtId="177" fontId="23" fillId="0" borderId="50" xfId="0" applyNumberFormat="1" applyFont="1" applyBorder="1" applyAlignment="1">
      <alignment horizontal="center" vertical="center"/>
    </xf>
    <xf numFmtId="177" fontId="23" fillId="0" borderId="66" xfId="0" applyNumberFormat="1" applyFont="1" applyBorder="1" applyAlignment="1">
      <alignment horizontal="center" vertical="center"/>
    </xf>
    <xf numFmtId="0" fontId="23" fillId="0" borderId="40" xfId="0" applyFont="1" applyBorder="1" applyAlignment="1">
      <alignment horizontal="center" vertical="center"/>
    </xf>
    <xf numFmtId="0" fontId="23" fillId="0" borderId="25" xfId="0" applyFont="1" applyBorder="1" applyAlignment="1">
      <alignment horizontal="center" vertical="center"/>
    </xf>
    <xf numFmtId="0" fontId="23" fillId="0" borderId="46" xfId="0" applyFont="1" applyBorder="1" applyAlignment="1">
      <alignment horizontal="center" vertical="center"/>
    </xf>
    <xf numFmtId="14" fontId="23" fillId="0" borderId="42" xfId="0" applyNumberFormat="1" applyFont="1" applyBorder="1" applyAlignment="1">
      <alignment horizontal="center" vertical="center"/>
    </xf>
    <xf numFmtId="14" fontId="23" fillId="0" borderId="25" xfId="0" applyNumberFormat="1" applyFont="1" applyBorder="1" applyAlignment="1">
      <alignment horizontal="center" vertical="center"/>
    </xf>
    <xf numFmtId="0" fontId="23" fillId="0" borderId="39" xfId="0" applyFont="1" applyBorder="1" applyAlignment="1">
      <alignment horizontal="center" vertical="center"/>
    </xf>
    <xf numFmtId="0" fontId="23" fillId="0" borderId="32" xfId="0" applyFont="1" applyBorder="1" applyAlignment="1">
      <alignment horizontal="center" vertical="center"/>
    </xf>
    <xf numFmtId="0" fontId="23" fillId="0" borderId="47" xfId="0" applyFont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177" fontId="23" fillId="0" borderId="12" xfId="0" applyNumberFormat="1" applyFont="1" applyBorder="1" applyAlignment="1">
      <alignment horizontal="center" vertical="center"/>
    </xf>
    <xf numFmtId="177" fontId="23" fillId="0" borderId="13" xfId="0" applyNumberFormat="1" applyFont="1" applyBorder="1" applyAlignment="1">
      <alignment horizontal="center" vertical="center"/>
    </xf>
    <xf numFmtId="177" fontId="23" fillId="0" borderId="14" xfId="0" applyNumberFormat="1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177" fontId="9" fillId="0" borderId="40" xfId="0" applyNumberFormat="1" applyFont="1" applyBorder="1" applyAlignment="1" applyProtection="1">
      <alignment horizontal="center" vertical="center"/>
      <protection hidden="1"/>
    </xf>
    <xf numFmtId="177" fontId="9" fillId="0" borderId="25" xfId="0" applyNumberFormat="1" applyFont="1" applyBorder="1" applyAlignment="1" applyProtection="1">
      <alignment horizontal="center" vertical="center"/>
      <protection hidden="1"/>
    </xf>
    <xf numFmtId="177" fontId="9" fillId="0" borderId="22" xfId="0" applyNumberFormat="1" applyFont="1" applyBorder="1" applyAlignment="1" applyProtection="1">
      <alignment horizontal="center" vertical="center"/>
      <protection hidden="1"/>
    </xf>
    <xf numFmtId="0" fontId="24" fillId="0" borderId="40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 vertical="center"/>
    </xf>
    <xf numFmtId="0" fontId="24" fillId="0" borderId="46" xfId="0" applyFont="1" applyBorder="1" applyAlignment="1">
      <alignment horizontal="center" vertical="center"/>
    </xf>
    <xf numFmtId="14" fontId="23" fillId="0" borderId="40" xfId="0" applyNumberFormat="1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0" fontId="22" fillId="12" borderId="0" xfId="0" applyFont="1" applyFill="1" applyAlignment="1" applyProtection="1">
      <alignment horizontal="center" vertical="center"/>
      <protection hidden="1"/>
    </xf>
  </cellXfs>
  <cellStyles count="7">
    <cellStyle name="Comma" xfId="2" builtinId="3"/>
    <cellStyle name="Comma 2" xfId="5" xr:uid="{959AB5B4-E87E-4A93-AD8E-25A0F946A00B}"/>
    <cellStyle name="Normal" xfId="0" builtinId="0"/>
    <cellStyle name="Normal 2" xfId="3" xr:uid="{00000000-0005-0000-0000-000001000000}"/>
    <cellStyle name="Percent" xfId="1" builtinId="5"/>
    <cellStyle name="千位分隔 3" xfId="4" xr:uid="{00000000-0005-0000-0000-000004000000}"/>
    <cellStyle name="千位分隔 3 2" xfId="6" xr:uid="{9B38DA76-11AD-42CB-A038-3ED4E5275698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885151</xdr:colOff>
      <xdr:row>0</xdr:row>
      <xdr:rowOff>0</xdr:rowOff>
    </xdr:from>
    <xdr:to>
      <xdr:col>2</xdr:col>
      <xdr:colOff>2688128</xdr:colOff>
      <xdr:row>2</xdr:row>
      <xdr:rowOff>92184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255B94D-9884-3E61-EBEC-F062290DD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62878" y="0"/>
          <a:ext cx="1799167" cy="11158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1162286</xdr:colOff>
      <xdr:row>0</xdr:row>
      <xdr:rowOff>307780</xdr:rowOff>
    </xdr:from>
    <xdr:to>
      <xdr:col>4</xdr:col>
      <xdr:colOff>34495</xdr:colOff>
      <xdr:row>4</xdr:row>
      <xdr:rowOff>47084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3A5298A-E90E-4C61-BFC2-404EC866EE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88829" y="307780"/>
          <a:ext cx="2368629" cy="152671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1595246</xdr:colOff>
      <xdr:row>1</xdr:row>
      <xdr:rowOff>263294</xdr:rowOff>
    </xdr:from>
    <xdr:to>
      <xdr:col>3</xdr:col>
      <xdr:colOff>1455856</xdr:colOff>
      <xdr:row>4</xdr:row>
      <xdr:rowOff>302641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8851575-2EA9-9F16-1FE7-7561D6916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90246" y="650489"/>
          <a:ext cx="2230244" cy="144873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721360</xdr:colOff>
      <xdr:row>1</xdr:row>
      <xdr:rowOff>193040</xdr:rowOff>
    </xdr:from>
    <xdr:to>
      <xdr:col>3</xdr:col>
      <xdr:colOff>1036320</xdr:colOff>
      <xdr:row>3</xdr:row>
      <xdr:rowOff>470633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1BF587A-B7A5-9B24-A58A-9E64D613A5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447040"/>
          <a:ext cx="1564640" cy="103959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1595246</xdr:colOff>
      <xdr:row>1</xdr:row>
      <xdr:rowOff>263294</xdr:rowOff>
    </xdr:from>
    <xdr:to>
      <xdr:col>3</xdr:col>
      <xdr:colOff>1455856</xdr:colOff>
      <xdr:row>4</xdr:row>
      <xdr:rowOff>302641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EB819DE-D3D9-CC4C-88C9-727452A33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77546" y="644294"/>
          <a:ext cx="2222810" cy="143634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376297</xdr:colOff>
      <xdr:row>7</xdr:row>
      <xdr:rowOff>291630</xdr:rowOff>
    </xdr:from>
    <xdr:to>
      <xdr:col>9</xdr:col>
      <xdr:colOff>1138297</xdr:colOff>
      <xdr:row>12</xdr:row>
      <xdr:rowOff>127001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D5CEF8D-A0F0-AE92-B604-FA3560D21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95112" y="2991556"/>
          <a:ext cx="2351852" cy="1763889"/>
        </a:xfrm>
        <a:prstGeom prst="rect">
          <a:avLst/>
        </a:prstGeom>
      </xdr:spPr>
    </xdr:pic>
    <xdr:clientData/>
  </xdr:twoCellAnchor>
  <xdr:twoCellAnchor editAs="oneCell">
    <xdr:from>
      <xdr:col>8</xdr:col>
      <xdr:colOff>65853</xdr:colOff>
      <xdr:row>22</xdr:row>
      <xdr:rowOff>75260</xdr:rowOff>
    </xdr:from>
    <xdr:to>
      <xdr:col>9</xdr:col>
      <xdr:colOff>1401705</xdr:colOff>
      <xdr:row>28</xdr:row>
      <xdr:rowOff>21168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07977D0-B5A7-3B5B-6AA8-827018840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84668" y="8363186"/>
          <a:ext cx="2925704" cy="219427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36</xdr:row>
      <xdr:rowOff>18815</xdr:rowOff>
    </xdr:from>
    <xdr:to>
      <xdr:col>9</xdr:col>
      <xdr:colOff>1545951</xdr:colOff>
      <xdr:row>42</xdr:row>
      <xdr:rowOff>122297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DBC807B1-266B-A1A7-BB2D-C2428ABBB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18815" y="13574889"/>
          <a:ext cx="3135803" cy="2351852"/>
        </a:xfrm>
        <a:prstGeom prst="rect">
          <a:avLst/>
        </a:prstGeom>
      </xdr:spPr>
    </xdr:pic>
    <xdr:clientData/>
  </xdr:twoCellAnchor>
  <xdr:twoCellAnchor editAs="oneCell">
    <xdr:from>
      <xdr:col>7</xdr:col>
      <xdr:colOff>1505187</xdr:colOff>
      <xdr:row>49</xdr:row>
      <xdr:rowOff>319852</xdr:rowOff>
    </xdr:from>
    <xdr:to>
      <xdr:col>10</xdr:col>
      <xdr:colOff>18815</xdr:colOff>
      <xdr:row>56</xdr:row>
      <xdr:rowOff>148166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CADA29D-2FA6-0DA5-17C8-2A8581634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34150" y="18758371"/>
          <a:ext cx="3283184" cy="24623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07"/>
  <sheetViews>
    <sheetView tabSelected="1" topLeftCell="A37" zoomScale="85" zoomScaleNormal="85" zoomScaleSheetLayoutView="100" zoomScalePageLayoutView="118" workbookViewId="0">
      <selection activeCell="C57" sqref="C57"/>
    </sheetView>
  </sheetViews>
  <sheetFormatPr defaultColWidth="8.77734375" defaultRowHeight="19.95" customHeight="1"/>
  <cols>
    <col min="1" max="1" width="113.109375" style="190" customWidth="1"/>
    <col min="2" max="2" width="11.6640625" style="190" bestFit="1" customWidth="1"/>
    <col min="3" max="3" width="47.6640625" style="190" customWidth="1"/>
    <col min="4" max="4" width="27.44140625" style="190" hidden="1" customWidth="1"/>
    <col min="5" max="5" width="18" style="190" hidden="1" customWidth="1"/>
    <col min="6" max="6" width="20.6640625" style="190" hidden="1" customWidth="1"/>
    <col min="7" max="7" width="17.77734375" style="190" hidden="1" customWidth="1"/>
    <col min="8" max="8" width="16" style="190" hidden="1" customWidth="1"/>
    <col min="9" max="9" width="20.44140625" style="190" hidden="1" customWidth="1"/>
    <col min="10" max="10" width="19.77734375" style="190" hidden="1" customWidth="1"/>
    <col min="11" max="11" width="8.77734375" style="190" hidden="1" customWidth="1"/>
    <col min="12" max="12" width="10.109375" style="190" bestFit="1" customWidth="1"/>
    <col min="13" max="13" width="20.33203125" style="190" customWidth="1"/>
    <col min="14" max="14" width="9" style="190" customWidth="1"/>
    <col min="15" max="16384" width="8.77734375" style="190"/>
  </cols>
  <sheetData>
    <row r="1" spans="1:5" ht="40.049999999999997" customHeight="1">
      <c r="A1" s="513" t="s">
        <v>0</v>
      </c>
      <c r="B1" s="514"/>
      <c r="C1" s="517"/>
    </row>
    <row r="2" spans="1:5" ht="40.049999999999997" customHeight="1" thickBot="1">
      <c r="A2" s="515" t="str">
        <f>LOOKUP(C6,Tabela!B3:B9,Tabela!C3:C9)</f>
        <v>IMPORTAÇÃO DE MERCADORIAS PARA REVENDA</v>
      </c>
      <c r="B2" s="516"/>
      <c r="C2" s="518"/>
    </row>
    <row r="3" spans="1:5" ht="19.95" customHeight="1" thickBot="1">
      <c r="A3" s="510" t="s">
        <v>1</v>
      </c>
      <c r="B3" s="511"/>
      <c r="C3" s="512"/>
    </row>
    <row r="4" spans="1:5" ht="19.95" customHeight="1">
      <c r="A4" s="194" t="s">
        <v>236</v>
      </c>
      <c r="B4" s="195"/>
      <c r="C4" s="308" t="s">
        <v>337</v>
      </c>
      <c r="D4" s="193"/>
      <c r="E4" s="193"/>
    </row>
    <row r="5" spans="1:5" ht="19.95" customHeight="1">
      <c r="A5" s="194" t="s">
        <v>263</v>
      </c>
      <c r="B5" s="195"/>
      <c r="C5" s="4" t="s">
        <v>338</v>
      </c>
    </row>
    <row r="6" spans="1:5" ht="19.95" customHeight="1">
      <c r="A6" s="194" t="s">
        <v>187</v>
      </c>
      <c r="B6" s="195"/>
      <c r="C6" s="5">
        <v>3102</v>
      </c>
    </row>
    <row r="7" spans="1:5" ht="19.95" customHeight="1">
      <c r="A7" s="194" t="s">
        <v>188</v>
      </c>
      <c r="B7" s="195"/>
      <c r="C7" s="5">
        <f>IF(C30&lt;&gt;C31,6102,5102)</f>
        <v>6102</v>
      </c>
    </row>
    <row r="8" spans="1:5" ht="19.95" customHeight="1">
      <c r="A8" s="194" t="s">
        <v>189</v>
      </c>
      <c r="B8" s="195"/>
      <c r="C8" s="108">
        <f>IF(C31&lt;&gt;C32,6102,5102)</f>
        <v>5102</v>
      </c>
    </row>
    <row r="9" spans="1:5" ht="19.95" customHeight="1">
      <c r="A9" s="194" t="s">
        <v>2</v>
      </c>
      <c r="B9" s="195"/>
      <c r="C9" s="6" t="s">
        <v>3</v>
      </c>
    </row>
    <row r="10" spans="1:5" ht="19.95" customHeight="1">
      <c r="A10" s="11" t="s">
        <v>5</v>
      </c>
      <c r="B10" s="12" t="s">
        <v>4</v>
      </c>
      <c r="C10" s="8">
        <f>Adições!D9</f>
        <v>13006.050000000001</v>
      </c>
    </row>
    <row r="11" spans="1:5" ht="19.95" customHeight="1">
      <c r="A11" s="11" t="s">
        <v>308</v>
      </c>
      <c r="B11" s="9" t="s">
        <v>309</v>
      </c>
      <c r="C11" s="196" t="str">
        <f>IF(B11="S","SIMPLES NACIONAL",IF(B11="P","LUCRO PRESUMIDO","LUCRO REAL"))</f>
        <v>LUCRO REAL</v>
      </c>
    </row>
    <row r="12" spans="1:5" ht="19.95" customHeight="1">
      <c r="A12" s="11" t="s">
        <v>299</v>
      </c>
      <c r="B12" s="45">
        <f>Tabela!L22</f>
        <v>0</v>
      </c>
      <c r="C12" s="7"/>
    </row>
    <row r="13" spans="1:5" ht="19.95" customHeight="1">
      <c r="A13" s="11" t="s">
        <v>277</v>
      </c>
      <c r="B13" s="9" t="s">
        <v>309</v>
      </c>
      <c r="C13" s="196" t="str">
        <f>IF(B13="S","SIMPLES NACIONAL",IF(B13="P","LUCRO PRESUMIDO","LUCRO REAL"))</f>
        <v>LUCRO REAL</v>
      </c>
    </row>
    <row r="14" spans="1:5" ht="19.95" customHeight="1">
      <c r="A14" s="11" t="s">
        <v>279</v>
      </c>
      <c r="B14" s="45">
        <f>Tabela!L34</f>
        <v>0</v>
      </c>
      <c r="C14" s="7"/>
    </row>
    <row r="15" spans="1:5" ht="19.95" customHeight="1">
      <c r="A15" s="11" t="s">
        <v>278</v>
      </c>
      <c r="B15" s="9" t="s">
        <v>365</v>
      </c>
      <c r="C15" s="196" t="str">
        <f>IF(B15="S","SIMPLES NACIONAL",IF(B15="P","LUCRO PRESUMIDO","LUCRO REAL"))</f>
        <v>LUCRO PRESUMIDO</v>
      </c>
    </row>
    <row r="16" spans="1:5" ht="19.95" customHeight="1">
      <c r="A16" s="11" t="s">
        <v>280</v>
      </c>
      <c r="B16" s="45">
        <f>Tabela!L46</f>
        <v>0</v>
      </c>
      <c r="C16" s="7"/>
    </row>
    <row r="17" spans="1:12" ht="19.95" customHeight="1">
      <c r="A17" s="11" t="s">
        <v>197</v>
      </c>
      <c r="B17" s="197"/>
      <c r="C17" s="56">
        <v>2.5000000000000001E-2</v>
      </c>
      <c r="L17" s="193"/>
    </row>
    <row r="18" spans="1:12" ht="19.95" customHeight="1">
      <c r="A18" s="11" t="s">
        <v>156</v>
      </c>
      <c r="B18" s="45"/>
      <c r="C18" s="196">
        <f ca="1">C17*C110</f>
        <v>5936.2594316230297</v>
      </c>
      <c r="L18" s="193"/>
    </row>
    <row r="19" spans="1:12" ht="19.95" customHeight="1">
      <c r="A19" s="11" t="s">
        <v>198</v>
      </c>
      <c r="B19" s="45"/>
      <c r="C19" s="56">
        <v>2.5000000000000001E-2</v>
      </c>
      <c r="D19" s="193"/>
      <c r="E19" s="193"/>
      <c r="L19" s="193"/>
    </row>
    <row r="20" spans="1:12" ht="19.95" customHeight="1">
      <c r="A20" s="11" t="s">
        <v>199</v>
      </c>
      <c r="B20" s="45"/>
      <c r="C20" s="196">
        <f ca="1">C19*C160</f>
        <v>7719.2409513474968</v>
      </c>
    </row>
    <row r="21" spans="1:12" ht="19.95" customHeight="1">
      <c r="A21" s="11" t="s">
        <v>6</v>
      </c>
      <c r="B21" s="197"/>
      <c r="C21" s="10">
        <v>4.8912000000000004</v>
      </c>
    </row>
    <row r="22" spans="1:12" ht="19.95" customHeight="1">
      <c r="A22" s="11" t="s">
        <v>7</v>
      </c>
      <c r="B22" s="197"/>
      <c r="C22" s="10">
        <f>C21</f>
        <v>4.8912000000000004</v>
      </c>
    </row>
    <row r="23" spans="1:12" ht="19.95" customHeight="1">
      <c r="A23" s="11" t="s">
        <v>8</v>
      </c>
      <c r="B23" s="197"/>
      <c r="C23" s="10">
        <f t="shared" ref="C23:C24" si="0">C22</f>
        <v>4.8912000000000004</v>
      </c>
      <c r="E23" s="201" t="s">
        <v>295</v>
      </c>
      <c r="F23" s="201" t="s">
        <v>296</v>
      </c>
      <c r="G23" s="201" t="s">
        <v>247</v>
      </c>
      <c r="H23" s="201" t="s">
        <v>297</v>
      </c>
      <c r="I23" s="201" t="s">
        <v>318</v>
      </c>
    </row>
    <row r="24" spans="1:12" ht="19.95" customHeight="1">
      <c r="A24" s="11" t="s">
        <v>9</v>
      </c>
      <c r="B24" s="197"/>
      <c r="C24" s="10">
        <f t="shared" si="0"/>
        <v>4.8912000000000004</v>
      </c>
      <c r="D24" s="198">
        <f>H24-E24</f>
        <v>0</v>
      </c>
      <c r="E24" s="216">
        <f>C75</f>
        <v>215235.38490431997</v>
      </c>
      <c r="F24" s="216"/>
      <c r="G24" s="216"/>
      <c r="H24" s="237">
        <f>'Notas - Sintético'!H12</f>
        <v>215235.38490431997</v>
      </c>
      <c r="I24" s="237">
        <f>'Quadro Sintético'!C22</f>
        <v>215235.38490431997</v>
      </c>
      <c r="J24" s="219">
        <f>I24-E24</f>
        <v>0</v>
      </c>
      <c r="K24" s="202" t="s">
        <v>304</v>
      </c>
    </row>
    <row r="25" spans="1:12" ht="19.95" customHeight="1">
      <c r="A25" s="11" t="s">
        <v>286</v>
      </c>
      <c r="B25" s="12"/>
      <c r="C25" s="13">
        <f>_xlfn.XLOOKUP(C30,Tabela!B15:B41,Tabela!C15:C41)</f>
        <v>0.19500000000000001</v>
      </c>
      <c r="D25" s="198">
        <f t="shared" ref="D25:D27" ca="1" si="1">H25-E25</f>
        <v>0</v>
      </c>
      <c r="E25" s="216">
        <f ca="1">C113</f>
        <v>252217.36467583472</v>
      </c>
      <c r="F25" s="216">
        <f ca="1">'Saida 1 - Importador'!C62</f>
        <v>252217.36467583466</v>
      </c>
      <c r="G25" s="216">
        <f ca="1">'Saida 1 - Importador'!C62</f>
        <v>252217.36467583466</v>
      </c>
      <c r="H25" s="237">
        <f ca="1">'Notas - Sintético'!H27</f>
        <v>252217.36467583469</v>
      </c>
      <c r="I25" s="237">
        <f ca="1">'Quadro Sintético'!C47</f>
        <v>249288.34880740481</v>
      </c>
      <c r="J25" s="219">
        <f t="shared" ref="J25:J27" ca="1" si="2">I25-E25</f>
        <v>-2929.0158684299095</v>
      </c>
      <c r="K25" s="202" t="s">
        <v>305</v>
      </c>
    </row>
    <row r="26" spans="1:12" ht="19.95" customHeight="1">
      <c r="A26" s="11" t="s">
        <v>227</v>
      </c>
      <c r="B26" s="348" t="str">
        <f>C30</f>
        <v>RO</v>
      </c>
      <c r="C26" s="13">
        <f>IF(B11="S","SEM BENEFÍCIO",IF(B26="RO",0.8%,IF(B26="AL",1.4%,"SEM BENEFÍCIO")))</f>
        <v>8.0000000000000002E-3</v>
      </c>
      <c r="D26" s="198">
        <f t="shared" ca="1" si="1"/>
        <v>0</v>
      </c>
      <c r="E26" s="216">
        <f ca="1">C168</f>
        <v>327971.95480965375</v>
      </c>
      <c r="F26" s="216">
        <f ca="1">'Saída 2 - Encomendante'!C44</f>
        <v>327971.95480965375</v>
      </c>
      <c r="G26" s="216">
        <f ca="1">'Saída 2 - Encomendante'!C44</f>
        <v>327971.95480965375</v>
      </c>
      <c r="H26" s="237">
        <f ca="1">'Notas - Sintético'!H41</f>
        <v>327971.95480965369</v>
      </c>
      <c r="I26" s="237">
        <f ca="1">'Quadro Sintético'!C71</f>
        <v>332898.06206339272</v>
      </c>
      <c r="J26" s="219">
        <f t="shared" ca="1" si="2"/>
        <v>4926.10725373897</v>
      </c>
      <c r="K26" s="202" t="s">
        <v>306</v>
      </c>
    </row>
    <row r="27" spans="1:12" ht="19.95" customHeight="1">
      <c r="A27" s="11" t="s">
        <v>285</v>
      </c>
      <c r="B27" s="12"/>
      <c r="C27" s="13">
        <f>IF(C30&lt;&gt;C31,4%,_xlfn.XLOOKUP(C30,Tabela!B15:B41,Tabela!C15:C41))</f>
        <v>0.04</v>
      </c>
      <c r="D27" s="198" t="e">
        <f t="shared" si="1"/>
        <v>#REF!</v>
      </c>
      <c r="E27" s="216" t="e">
        <f>#REF!</f>
        <v>#REF!</v>
      </c>
      <c r="F27" s="216" t="e">
        <f>#REF!</f>
        <v>#REF!</v>
      </c>
      <c r="G27" s="216" t="e">
        <f>#REF!</f>
        <v>#REF!</v>
      </c>
      <c r="H27" s="237" t="e">
        <f>'Notas - Sintético'!H55</f>
        <v>#REF!</v>
      </c>
      <c r="I27" s="237" t="e">
        <f ca="1">'Quadro Sintético'!C91</f>
        <v>#REF!</v>
      </c>
      <c r="J27" s="219" t="e">
        <f t="shared" ca="1" si="2"/>
        <v>#REF!</v>
      </c>
      <c r="K27" s="202" t="s">
        <v>307</v>
      </c>
    </row>
    <row r="28" spans="1:12" ht="19.95" customHeight="1">
      <c r="A28" s="11" t="s">
        <v>287</v>
      </c>
      <c r="B28" s="14"/>
      <c r="C28" s="13">
        <v>0.22</v>
      </c>
      <c r="E28" s="77"/>
      <c r="F28" s="77"/>
      <c r="G28" s="77"/>
      <c r="H28" s="77"/>
      <c r="I28" s="77"/>
    </row>
    <row r="29" spans="1:12" ht="19.95" customHeight="1">
      <c r="A29" s="11" t="s">
        <v>336</v>
      </c>
      <c r="B29" s="14"/>
      <c r="C29" s="196" t="str">
        <f>Adições!BN1</f>
        <v>N</v>
      </c>
      <c r="D29" s="193">
        <f>Adições!X45</f>
        <v>10772.522255209276</v>
      </c>
      <c r="E29" s="193">
        <f>C51</f>
        <v>11239.62</v>
      </c>
      <c r="F29" s="193">
        <f>Importação!C16</f>
        <v>11239.62</v>
      </c>
      <c r="G29" s="193"/>
      <c r="H29" s="193">
        <f>'Notas - Sintético'!F6</f>
        <v>11239.62</v>
      </c>
      <c r="I29" s="193">
        <f>'Quadro Sintético'!C14</f>
        <v>11239.62</v>
      </c>
    </row>
    <row r="30" spans="1:12" ht="19.95" customHeight="1">
      <c r="A30" s="11" t="s">
        <v>11</v>
      </c>
      <c r="B30" s="14"/>
      <c r="C30" s="15" t="s">
        <v>10</v>
      </c>
      <c r="D30" s="193">
        <f ca="1">Adições!BF45</f>
        <v>14089.912082962683</v>
      </c>
      <c r="E30" s="193">
        <f ca="1">C111</f>
        <v>14766.98741091352</v>
      </c>
      <c r="F30" s="193">
        <f ca="1">'Saida 1 - Importador'!C17+'Saida 1 - Importador'!C42</f>
        <v>14766.98741091352</v>
      </c>
      <c r="G30" s="193"/>
      <c r="H30" s="193">
        <f ca="1">'Notas - Sintético'!F21</f>
        <v>14766.98741091352</v>
      </c>
      <c r="I30" s="193">
        <f ca="1">'Quadro Sintético'!C33+'Quadro Sintético'!C38</f>
        <v>14595.497472022671</v>
      </c>
    </row>
    <row r="31" spans="1:12" ht="19.95" customHeight="1">
      <c r="A31" s="11" t="s">
        <v>146</v>
      </c>
      <c r="B31" s="14"/>
      <c r="C31" s="15" t="s">
        <v>12</v>
      </c>
      <c r="D31" s="210">
        <f ca="1">Adições!BF45/Adições!BE45</f>
        <v>5.9338343637343201E-2</v>
      </c>
      <c r="E31" s="210">
        <f>B111</f>
        <v>6.2189782896988746E-2</v>
      </c>
      <c r="F31" s="210"/>
      <c r="G31" s="210"/>
      <c r="H31" s="210">
        <f ca="1">'Notas - Sintético'!F21/'Notas - Sintético'!H25</f>
        <v>6.2189782896988746E-2</v>
      </c>
      <c r="I31" s="210">
        <f ca="1">('Quadro Sintético'!C33+'Quadro Sintético'!C38)/'Quadro Sintético'!C45</f>
        <v>6.2189782896988746E-2</v>
      </c>
    </row>
    <row r="32" spans="1:12" ht="19.95" customHeight="1">
      <c r="A32" s="11" t="s">
        <v>147</v>
      </c>
      <c r="B32" s="14"/>
      <c r="C32" s="15" t="s">
        <v>12</v>
      </c>
      <c r="D32" s="193">
        <f ca="1">Adições!BN45</f>
        <v>18321.878887620398</v>
      </c>
      <c r="E32" s="193">
        <f ca="1">C162</f>
        <v>19202.316755753829</v>
      </c>
      <c r="F32" s="193">
        <f ca="1">'Saída 2 - Encomendante'!C15+'Saída 2 - Encomendante'!C25</f>
        <v>19202.316755753829</v>
      </c>
      <c r="G32" s="193"/>
      <c r="H32" s="193">
        <f ca="1">'Notas - Sintético'!F35</f>
        <v>19202.316755753829</v>
      </c>
      <c r="I32" s="193">
        <f ca="1">'Quadro Sintético'!C55+'Quadro Sintético'!C60</f>
        <v>19490.733708703396</v>
      </c>
    </row>
    <row r="33" spans="1:13" ht="19.95" customHeight="1" thickBot="1">
      <c r="A33" s="18"/>
      <c r="B33" s="18"/>
      <c r="C33" s="19"/>
    </row>
    <row r="34" spans="1:13" ht="19.95" customHeight="1" thickBot="1">
      <c r="A34" s="523" t="s">
        <v>13</v>
      </c>
      <c r="B34" s="524"/>
      <c r="C34" s="525"/>
      <c r="D34" s="198"/>
      <c r="E34" s="210">
        <f>Adições!X45/(Adições!V45+Adições!T45)</f>
        <v>5.9605304666926658E-2</v>
      </c>
    </row>
    <row r="35" spans="1:13" ht="19.95" customHeight="1" thickBot="1">
      <c r="A35" s="519" t="s">
        <v>14</v>
      </c>
      <c r="B35" s="520"/>
      <c r="C35" s="521"/>
    </row>
    <row r="36" spans="1:13" ht="19.95" customHeight="1">
      <c r="A36" s="11" t="s">
        <v>15</v>
      </c>
      <c r="B36" s="199" t="str">
        <f>C5</f>
        <v>FOB</v>
      </c>
      <c r="C36" s="20">
        <f>Adições!D2</f>
        <v>29657.519999999993</v>
      </c>
      <c r="D36" s="408"/>
      <c r="E36" s="210">
        <f ca="1">Adições!BF45/Adições!BE45</f>
        <v>5.9338343637343201E-2</v>
      </c>
      <c r="L36" s="190">
        <f>C36*29%</f>
        <v>8600.6807999999983</v>
      </c>
    </row>
    <row r="37" spans="1:13" ht="19.95" customHeight="1">
      <c r="A37" s="11" t="s">
        <v>16</v>
      </c>
      <c r="B37" s="12" t="str">
        <f>C$9</f>
        <v>USD</v>
      </c>
      <c r="C37" s="20">
        <f>IF(B36="FOB",C36,IF(B36="CFR",C36-C42,C36-C42-C44))</f>
        <v>29657.519999999993</v>
      </c>
      <c r="D37" s="408"/>
      <c r="E37" s="210"/>
    </row>
    <row r="38" spans="1:13" ht="19.95" customHeight="1">
      <c r="A38" s="11" t="s">
        <v>17</v>
      </c>
      <c r="B38" s="12" t="str">
        <f>C$9</f>
        <v>USD</v>
      </c>
      <c r="C38" s="20">
        <f>C37+C41+C42+C44</f>
        <v>32475.519999999993</v>
      </c>
      <c r="D38" s="198"/>
    </row>
    <row r="39" spans="1:13" ht="19.95" customHeight="1">
      <c r="A39" s="11" t="s">
        <v>141</v>
      </c>
      <c r="B39" s="12" t="s">
        <v>3</v>
      </c>
      <c r="C39" s="20">
        <f>C37</f>
        <v>29657.519999999993</v>
      </c>
      <c r="E39" s="210">
        <f ca="1">Adições!BN45/Adições!BM45</f>
        <v>5.9338343637343201E-2</v>
      </c>
    </row>
    <row r="40" spans="1:13" ht="19.95" customHeight="1">
      <c r="A40" s="11" t="s">
        <v>266</v>
      </c>
      <c r="B40" s="12" t="s">
        <v>3</v>
      </c>
      <c r="C40" s="20">
        <f>C38-C41/C21</f>
        <v>32475.519999999993</v>
      </c>
    </row>
    <row r="41" spans="1:13" ht="19.95" customHeight="1">
      <c r="A41" s="11" t="s">
        <v>76</v>
      </c>
      <c r="B41" s="12" t="s">
        <v>67</v>
      </c>
      <c r="C41" s="21">
        <v>0</v>
      </c>
      <c r="L41" s="190">
        <f>2000*0.29*7.2</f>
        <v>4176</v>
      </c>
      <c r="M41" s="190">
        <v>18297.376</v>
      </c>
    </row>
    <row r="42" spans="1:13" ht="19.95" customHeight="1">
      <c r="A42" s="11" t="s">
        <v>19</v>
      </c>
      <c r="B42" s="12" t="str">
        <f>C$9</f>
        <v>USD</v>
      </c>
      <c r="C42" s="21">
        <v>2818</v>
      </c>
    </row>
    <row r="43" spans="1:13" ht="19.95" customHeight="1">
      <c r="A43" s="11" t="str">
        <f>IF(B36="FOB","Valor do Frete Internacional - Tal Qual Cobrado no Brasil (Caso FOB)","Valor do Frete Internacional já está Incluído no VMCV (Casos CFR OU CIF)")</f>
        <v>Valor do Frete Internacional - Tal Qual Cobrado no Brasil (Caso FOB)</v>
      </c>
      <c r="B43" s="12" t="s">
        <v>18</v>
      </c>
      <c r="C43" s="20">
        <v>16949.669999999998</v>
      </c>
    </row>
    <row r="44" spans="1:13" ht="19.95" customHeight="1">
      <c r="A44" s="11" t="s">
        <v>20</v>
      </c>
      <c r="B44" s="12" t="str">
        <f>C$9</f>
        <v>USD</v>
      </c>
      <c r="C44" s="21">
        <v>0</v>
      </c>
    </row>
    <row r="45" spans="1:13" ht="19.95" customHeight="1">
      <c r="A45" s="11" t="s">
        <v>21</v>
      </c>
      <c r="B45" s="12" t="str">
        <f>C$9</f>
        <v>USD</v>
      </c>
      <c r="C45" s="20">
        <f>C38</f>
        <v>32475.519999999993</v>
      </c>
    </row>
    <row r="46" spans="1:13" ht="19.95" customHeight="1" thickBot="1">
      <c r="A46" s="17" t="s">
        <v>21</v>
      </c>
      <c r="B46" s="22" t="s">
        <v>18</v>
      </c>
      <c r="C46" s="23">
        <f>C45*C21</f>
        <v>158844.26342399998</v>
      </c>
    </row>
    <row r="47" spans="1:13" ht="19.95" customHeight="1" thickBot="1">
      <c r="A47" s="18"/>
      <c r="B47" s="24"/>
      <c r="C47" s="25"/>
    </row>
    <row r="48" spans="1:13" ht="19.95" customHeight="1" thickBot="1">
      <c r="A48" s="519" t="s">
        <v>22</v>
      </c>
      <c r="B48" s="520"/>
      <c r="C48" s="521"/>
    </row>
    <row r="49" spans="1:4" ht="19.95" customHeight="1">
      <c r="A49" s="191" t="s">
        <v>23</v>
      </c>
      <c r="B49" s="192"/>
      <c r="C49" s="307">
        <v>331.65</v>
      </c>
    </row>
    <row r="50" spans="1:4" ht="19.95" customHeight="1">
      <c r="A50" s="26" t="s">
        <v>24</v>
      </c>
      <c r="B50" s="27">
        <f>C50/C46</f>
        <v>0.13778722333571605</v>
      </c>
      <c r="C50" s="28">
        <v>21886.71</v>
      </c>
    </row>
    <row r="51" spans="1:4" ht="19.95" customHeight="1">
      <c r="A51" s="11" t="s">
        <v>25</v>
      </c>
      <c r="B51" s="27">
        <f>C51/(C46+C50)</f>
        <v>6.2189782896988746E-2</v>
      </c>
      <c r="C51" s="29">
        <v>11239.62</v>
      </c>
    </row>
    <row r="52" spans="1:4" ht="19.95" customHeight="1">
      <c r="A52" s="11" t="s">
        <v>26</v>
      </c>
      <c r="B52" s="27">
        <f>C52/C46</f>
        <v>2.1000000000000008E-2</v>
      </c>
      <c r="C52" s="29">
        <f>Adições!Z45</f>
        <v>3335.7295319040009</v>
      </c>
    </row>
    <row r="53" spans="1:4" ht="19.95" customHeight="1">
      <c r="A53" s="11" t="s">
        <v>27</v>
      </c>
      <c r="B53" s="27">
        <f>C53/C46</f>
        <v>9.6500000000000002E-2</v>
      </c>
      <c r="C53" s="29">
        <f>9.65%*C46</f>
        <v>15328.471420415997</v>
      </c>
    </row>
    <row r="54" spans="1:4" ht="19.95" customHeight="1">
      <c r="A54" s="30" t="s">
        <v>256</v>
      </c>
      <c r="B54" s="31">
        <f>C54/C46</f>
        <v>0</v>
      </c>
      <c r="C54" s="32">
        <f>Adições!AB45-C53</f>
        <v>0</v>
      </c>
    </row>
    <row r="55" spans="1:4" ht="19.95" customHeight="1">
      <c r="A55" s="30" t="s">
        <v>230</v>
      </c>
      <c r="B55" s="31"/>
      <c r="C55" s="482">
        <f>C42*C21*0.08</f>
        <v>1102.6721280000002</v>
      </c>
    </row>
    <row r="56" spans="1:4" ht="19.95" customHeight="1">
      <c r="A56" s="30" t="s">
        <v>254</v>
      </c>
      <c r="B56" s="31"/>
      <c r="C56" s="33">
        <v>3166.2683999999972</v>
      </c>
    </row>
    <row r="57" spans="1:4" ht="19.95" customHeight="1">
      <c r="A57" s="30" t="s">
        <v>28</v>
      </c>
      <c r="B57" s="14"/>
      <c r="C57" s="21">
        <v>0</v>
      </c>
      <c r="D57" s="198"/>
    </row>
    <row r="58" spans="1:4" ht="19.95" customHeight="1">
      <c r="A58" s="30" t="s">
        <v>29</v>
      </c>
      <c r="B58" s="14"/>
      <c r="C58" s="33">
        <v>0</v>
      </c>
    </row>
    <row r="59" spans="1:4" ht="19.95" customHeight="1" thickBot="1">
      <c r="A59" s="17" t="s">
        <v>30</v>
      </c>
      <c r="B59" s="2" t="str">
        <f>IF(B11="S",C25,IF(OR(B26="AL",B26="RO"),"DIFERIDO",C25))</f>
        <v>DIFERIDO</v>
      </c>
      <c r="C59" s="35">
        <f>IF(B59="DIFERIDO",0,C25*(C46+C49+C50+C51+C52+C53+C54+C55+C56+C57+C58+C59))</f>
        <v>0</v>
      </c>
    </row>
    <row r="60" spans="1:4" ht="19.95" customHeight="1" thickBot="1">
      <c r="A60" s="510"/>
      <c r="B60" s="511"/>
      <c r="C60" s="512"/>
    </row>
    <row r="61" spans="1:4" ht="19.95" customHeight="1" thickBot="1">
      <c r="A61" s="510" t="s">
        <v>37</v>
      </c>
      <c r="B61" s="512"/>
      <c r="C61" s="36">
        <f>SUM(C49:C59)</f>
        <v>56391.121480319998</v>
      </c>
    </row>
    <row r="62" spans="1:4" ht="19.95" customHeight="1" thickBot="1">
      <c r="A62" s="18"/>
      <c r="B62" s="24"/>
      <c r="C62" s="25"/>
    </row>
    <row r="63" spans="1:4" ht="19.95" customHeight="1" thickBot="1">
      <c r="A63" s="523" t="s">
        <v>158</v>
      </c>
      <c r="B63" s="530"/>
      <c r="C63" s="531"/>
    </row>
    <row r="64" spans="1:4" ht="19.95" customHeight="1">
      <c r="A64" s="16" t="s">
        <v>31</v>
      </c>
      <c r="B64" s="200"/>
      <c r="C64" s="37" t="str">
        <f>IF(B11="S",(C46+C49+C50+C51+C52+C53+C54+C55+C56+C57+C58)/(1-C25),IF(AND(B26&lt;&gt;"AL",B26&lt;&gt;"RO"),(C46+C49+C50+C51+C52+C53+C54+C55+C56+C57+C58)/(1-C25),"DIFERIDO"))</f>
        <v>DIFERIDO</v>
      </c>
    </row>
    <row r="65" spans="1:11" ht="19.95" customHeight="1">
      <c r="A65" s="11" t="s">
        <v>32</v>
      </c>
      <c r="B65" s="333" t="str">
        <f>IF(B59="DIFERIDO","DIFERIDO",C65/C64)</f>
        <v>DIFERIDO</v>
      </c>
      <c r="C65" s="37" t="str">
        <f>IF(B59="DIFERIDO","DIFERIDO",C59)</f>
        <v>DIFERIDO</v>
      </c>
    </row>
    <row r="66" spans="1:11" ht="19.95" customHeight="1">
      <c r="A66" s="11" t="s">
        <v>349</v>
      </c>
      <c r="B66" s="51"/>
      <c r="C66" s="37">
        <f>C46</f>
        <v>158844.26342399998</v>
      </c>
    </row>
    <row r="67" spans="1:11" s="202" customFormat="1" ht="19.95" customHeight="1">
      <c r="A67" s="11" t="s">
        <v>24</v>
      </c>
      <c r="B67" s="333">
        <f>C67/C46</f>
        <v>0.13778722333571605</v>
      </c>
      <c r="C67" s="37">
        <f t="shared" ref="C67:C72" si="3">C50</f>
        <v>21886.71</v>
      </c>
      <c r="D67" s="190"/>
      <c r="E67" s="190"/>
      <c r="F67" s="190"/>
      <c r="G67" s="190"/>
      <c r="H67" s="190"/>
      <c r="I67" s="190"/>
      <c r="J67" s="190"/>
      <c r="K67" s="190"/>
    </row>
    <row r="68" spans="1:11" s="202" customFormat="1" ht="19.95" customHeight="1">
      <c r="A68" s="11" t="s">
        <v>25</v>
      </c>
      <c r="B68" s="333">
        <f>C68/(C46+C50)</f>
        <v>6.2189782896988746E-2</v>
      </c>
      <c r="C68" s="37">
        <f t="shared" si="3"/>
        <v>11239.62</v>
      </c>
      <c r="D68" s="190"/>
      <c r="E68" s="190"/>
      <c r="F68" s="190"/>
      <c r="G68" s="190"/>
      <c r="H68" s="190"/>
      <c r="I68" s="190"/>
      <c r="J68" s="190"/>
      <c r="K68" s="190"/>
    </row>
    <row r="69" spans="1:11" ht="19.95" customHeight="1">
      <c r="A69" s="11" t="s">
        <v>202</v>
      </c>
      <c r="B69" s="333">
        <f>C69/C46</f>
        <v>2.1000000000000008E-2</v>
      </c>
      <c r="C69" s="37">
        <f t="shared" si="3"/>
        <v>3335.7295319040009</v>
      </c>
    </row>
    <row r="70" spans="1:11" ht="19.95" customHeight="1">
      <c r="A70" s="11" t="s">
        <v>203</v>
      </c>
      <c r="B70" s="333">
        <f>C70/C46</f>
        <v>9.6500000000000002E-2</v>
      </c>
      <c r="C70" s="37">
        <f t="shared" si="3"/>
        <v>15328.471420415997</v>
      </c>
    </row>
    <row r="71" spans="1:11" ht="19.95" customHeight="1">
      <c r="A71" s="30" t="str">
        <f>A54</f>
        <v>Adicional da COFINS  - IMPORTAÇÃO (Somatório das Adições)</v>
      </c>
      <c r="B71" s="333">
        <f>C71/C46</f>
        <v>0</v>
      </c>
      <c r="C71" s="47">
        <f t="shared" si="3"/>
        <v>0</v>
      </c>
    </row>
    <row r="72" spans="1:11" ht="19.95" customHeight="1">
      <c r="A72" s="30" t="s">
        <v>231</v>
      </c>
      <c r="B72" s="14"/>
      <c r="C72" s="47">
        <f t="shared" si="3"/>
        <v>1102.6721280000002</v>
      </c>
    </row>
    <row r="73" spans="1:11" ht="19.95" customHeight="1" thickBot="1">
      <c r="A73" s="17" t="s">
        <v>288</v>
      </c>
      <c r="B73" s="38"/>
      <c r="C73" s="35">
        <f>C49+C56+C57+C58</f>
        <v>3497.9183999999973</v>
      </c>
    </row>
    <row r="74" spans="1:11" ht="19.95" customHeight="1" thickBot="1">
      <c r="A74" s="510"/>
      <c r="B74" s="511"/>
      <c r="C74" s="512"/>
    </row>
    <row r="75" spans="1:11" ht="19.95" customHeight="1" thickBot="1">
      <c r="A75" s="510" t="s">
        <v>34</v>
      </c>
      <c r="B75" s="512"/>
      <c r="C75" s="36">
        <f>C46+C49+C50+C51+C52+C53+C54+C55+C56+C57+C58+C59</f>
        <v>215235.38490431997</v>
      </c>
    </row>
    <row r="76" spans="1:11" ht="19.95" customHeight="1" thickBot="1">
      <c r="A76" s="39"/>
      <c r="B76" s="39"/>
      <c r="C76" s="40"/>
      <c r="D76" s="49"/>
    </row>
    <row r="77" spans="1:11" ht="19.95" customHeight="1" thickBot="1">
      <c r="A77" s="523" t="s">
        <v>35</v>
      </c>
      <c r="B77" s="524"/>
      <c r="C77" s="525"/>
      <c r="D77" s="49"/>
      <c r="J77" s="202"/>
      <c r="K77" s="202"/>
    </row>
    <row r="78" spans="1:11" ht="19.95" customHeight="1">
      <c r="A78" s="309" t="s">
        <v>368</v>
      </c>
      <c r="B78" s="195"/>
      <c r="C78" s="41">
        <v>7222.25</v>
      </c>
      <c r="D78" s="49"/>
      <c r="J78" s="202"/>
      <c r="K78" s="202"/>
    </row>
    <row r="79" spans="1:11" ht="19.95" customHeight="1">
      <c r="A79" s="310" t="s">
        <v>369</v>
      </c>
      <c r="B79" s="203"/>
      <c r="C79" s="42"/>
      <c r="D79" s="49"/>
    </row>
    <row r="80" spans="1:11" ht="19.95" customHeight="1">
      <c r="A80" s="311" t="s">
        <v>262</v>
      </c>
      <c r="B80" s="203"/>
      <c r="C80" s="42"/>
      <c r="D80" s="49"/>
    </row>
    <row r="81" spans="1:12" ht="19.95" customHeight="1">
      <c r="A81" s="310" t="s">
        <v>261</v>
      </c>
      <c r="B81" s="203"/>
      <c r="C81" s="42"/>
      <c r="D81" s="39"/>
      <c r="E81" s="202"/>
      <c r="F81" s="202"/>
      <c r="G81" s="202"/>
      <c r="H81" s="202"/>
      <c r="I81" s="202"/>
    </row>
    <row r="82" spans="1:12" ht="19.95" customHeight="1">
      <c r="A82" s="310" t="s">
        <v>370</v>
      </c>
      <c r="B82" s="203"/>
      <c r="C82" s="42"/>
      <c r="D82" s="39"/>
      <c r="E82" s="202"/>
      <c r="F82" s="202"/>
      <c r="G82" s="202"/>
      <c r="H82" s="202"/>
      <c r="I82" s="202"/>
    </row>
    <row r="83" spans="1:12" ht="19.95" customHeight="1">
      <c r="A83" s="310" t="s">
        <v>372</v>
      </c>
      <c r="B83" s="204"/>
      <c r="C83" s="43"/>
      <c r="D83" s="39"/>
    </row>
    <row r="84" spans="1:12" ht="19.95" customHeight="1">
      <c r="A84" s="310" t="s">
        <v>260</v>
      </c>
      <c r="B84" s="204"/>
      <c r="C84" s="43"/>
    </row>
    <row r="85" spans="1:12" ht="19.95" customHeight="1" thickBot="1">
      <c r="A85" s="312" t="s">
        <v>371</v>
      </c>
      <c r="B85" s="204"/>
      <c r="C85" s="43">
        <f>1%*C75</f>
        <v>2152.3538490431997</v>
      </c>
    </row>
    <row r="86" spans="1:12" ht="19.95" customHeight="1" thickBot="1">
      <c r="A86" s="510"/>
      <c r="B86" s="511"/>
      <c r="C86" s="512"/>
      <c r="L86" s="504"/>
    </row>
    <row r="87" spans="1:12" ht="19.95" customHeight="1" thickBot="1">
      <c r="A87" s="44" t="s">
        <v>36</v>
      </c>
      <c r="B87" s="205"/>
      <c r="C87" s="206">
        <f>SUM(C78:C85)</f>
        <v>9374.6038490432002</v>
      </c>
    </row>
    <row r="88" spans="1:12" ht="19.95" customHeight="1" thickBot="1">
      <c r="A88" s="511"/>
      <c r="B88" s="511"/>
      <c r="C88" s="511"/>
    </row>
    <row r="89" spans="1:12" ht="19.95" customHeight="1" thickBot="1">
      <c r="A89" s="519" t="s">
        <v>249</v>
      </c>
      <c r="B89" s="520"/>
      <c r="C89" s="521"/>
    </row>
    <row r="90" spans="1:12" ht="19.95" customHeight="1">
      <c r="A90" s="11" t="s">
        <v>248</v>
      </c>
      <c r="B90" s="45"/>
      <c r="C90" s="37">
        <f>(C22-C21)*C36</f>
        <v>0</v>
      </c>
    </row>
    <row r="91" spans="1:12" ht="19.95" customHeight="1">
      <c r="A91" s="11" t="str">
        <f>IF((C23-C21)&gt;=0,"Variação Cambial Passiva - Frete","Variação Cambial Ativa")</f>
        <v>Variação Cambial Passiva - Frete</v>
      </c>
      <c r="B91" s="46"/>
      <c r="C91" s="47">
        <f>IF(C5="FOB",(C23-C21)*C42,0)</f>
        <v>0</v>
      </c>
    </row>
    <row r="92" spans="1:12" ht="19.95" customHeight="1" thickBot="1">
      <c r="A92" s="11" t="str">
        <f>IF((C24-C21)&gt;=0,"Variação Cambial Passiva - Seguro","Variação Cambial Seguro")</f>
        <v>Variação Cambial Passiva - Seguro</v>
      </c>
      <c r="B92" s="48"/>
      <c r="C92" s="47">
        <f>(C24-C21)*C44</f>
        <v>0</v>
      </c>
    </row>
    <row r="93" spans="1:12" ht="19.95" customHeight="1" thickBot="1">
      <c r="A93" s="510"/>
      <c r="B93" s="511"/>
      <c r="C93" s="512"/>
    </row>
    <row r="94" spans="1:12" ht="19.95" customHeight="1" thickBot="1">
      <c r="A94" s="522" t="str">
        <f>IF(C94&gt;=0,"Variação Cambial Passiva Total","Variação Cambial Ativa")</f>
        <v>Variação Cambial Passiva Total</v>
      </c>
      <c r="B94" s="512"/>
      <c r="C94" s="36">
        <f>SUM(C90:C92)</f>
        <v>0</v>
      </c>
    </row>
    <row r="95" spans="1:12" ht="19.95" customHeight="1" thickBot="1">
      <c r="A95" s="511"/>
      <c r="B95" s="511"/>
      <c r="C95" s="511"/>
    </row>
    <row r="96" spans="1:12" ht="19.95" customHeight="1" thickBot="1">
      <c r="A96" s="510" t="s">
        <v>168</v>
      </c>
      <c r="B96" s="511"/>
      <c r="C96" s="512"/>
    </row>
    <row r="97" spans="1:3" ht="19.95" customHeight="1">
      <c r="A97" s="11" t="s">
        <v>192</v>
      </c>
      <c r="B97" s="45">
        <f ca="1">IF(B11="S","S",IF(C110&gt;0,C97/C110,""))</f>
        <v>8.0000000000000002E-3</v>
      </c>
      <c r="C97" s="37">
        <f ca="1">IF(B11="S",0,IF(OR(B26="AL",B26="RO"),C26*C108,IF((C109-C59)&gt;0,(C109-C59),0)))</f>
        <v>1899.6030181193694</v>
      </c>
    </row>
    <row r="98" spans="1:3" ht="19.95" customHeight="1">
      <c r="A98" s="30" t="s">
        <v>242</v>
      </c>
      <c r="B98" s="46">
        <f>IF(C26&lt;&gt;"SEM BENEFÍCIO",(C27-C26),"")</f>
        <v>3.2000000000000001E-2</v>
      </c>
      <c r="C98" s="47">
        <f ca="1">IF(B11="S",0,IF(OR(B26="AL",B26="RO"),B98*C108,0))</f>
        <v>7598.4120724774775</v>
      </c>
    </row>
    <row r="99" spans="1:3" ht="19.95" customHeight="1">
      <c r="A99" s="30" t="s">
        <v>193</v>
      </c>
      <c r="B99" s="48"/>
      <c r="C99" s="47">
        <f ca="1">IF(B11="S",0,C111-C51)</f>
        <v>3527.3674109135191</v>
      </c>
    </row>
    <row r="100" spans="1:3" ht="19.95" customHeight="1">
      <c r="A100" s="30" t="s">
        <v>194</v>
      </c>
      <c r="B100" s="46" t="str">
        <f>B11</f>
        <v>R</v>
      </c>
      <c r="C100" s="47">
        <f ca="1">1.65%*(C108-C109)-C52</f>
        <v>425.48444397235107</v>
      </c>
    </row>
    <row r="101" spans="1:3" ht="19.95" customHeight="1">
      <c r="A101" s="30" t="s">
        <v>195</v>
      </c>
      <c r="B101" s="46" t="str">
        <f>B11</f>
        <v>R</v>
      </c>
      <c r="C101" s="47">
        <f ca="1">7.6%*(C108-C109)-C70</f>
        <v>1995.9081048326516</v>
      </c>
    </row>
    <row r="102" spans="1:3" ht="19.95" customHeight="1" thickBot="1">
      <c r="A102" s="30" t="s">
        <v>298</v>
      </c>
      <c r="B102" s="46"/>
      <c r="C102" s="47">
        <f>IF(B11="S",B12*C110,0)</f>
        <v>0</v>
      </c>
    </row>
    <row r="103" spans="1:3" ht="19.95" customHeight="1" thickBot="1">
      <c r="A103" s="510"/>
      <c r="B103" s="511"/>
      <c r="C103" s="512"/>
    </row>
    <row r="104" spans="1:3" ht="19.95" customHeight="1" thickBot="1">
      <c r="A104" s="522" t="s">
        <v>37</v>
      </c>
      <c r="B104" s="526"/>
      <c r="C104" s="36">
        <f ca="1">SUM(C97:C102)</f>
        <v>15446.775050315369</v>
      </c>
    </row>
    <row r="105" spans="1:3" ht="19.95" customHeight="1" thickBot="1">
      <c r="A105" s="49"/>
      <c r="B105" s="39"/>
      <c r="C105" s="40"/>
    </row>
    <row r="106" spans="1:3" ht="19.95" customHeight="1" thickBot="1">
      <c r="A106" s="527">
        <f ca="1">C110/C66-1</f>
        <v>0.49486278035171716</v>
      </c>
      <c r="B106" s="528"/>
      <c r="C106" s="529"/>
    </row>
    <row r="107" spans="1:3" ht="19.95" customHeight="1" thickBot="1">
      <c r="A107" s="523" t="s">
        <v>157</v>
      </c>
      <c r="B107" s="530"/>
      <c r="C107" s="531"/>
    </row>
    <row r="108" spans="1:3" ht="19.95" customHeight="1">
      <c r="A108" s="30" t="s">
        <v>31</v>
      </c>
      <c r="B108" s="207"/>
      <c r="C108" s="208">
        <f ca="1">IF(B11="S",0,C110)</f>
        <v>237450.37726492118</v>
      </c>
    </row>
    <row r="109" spans="1:3" ht="19.95" customHeight="1">
      <c r="A109" s="11" t="s">
        <v>38</v>
      </c>
      <c r="B109" s="50">
        <f>IF(B11="S",0,C27)</f>
        <v>0.04</v>
      </c>
      <c r="C109" s="37">
        <f ca="1">IF(B11="S",0,B109*C108)</f>
        <v>9498.0150905968476</v>
      </c>
    </row>
    <row r="110" spans="1:3" ht="19.95" customHeight="1">
      <c r="A110" s="26" t="s">
        <v>349</v>
      </c>
      <c r="B110" s="51"/>
      <c r="C110" s="52">
        <f ca="1">C113/(1+B111)</f>
        <v>237450.37726492118</v>
      </c>
    </row>
    <row r="111" spans="1:3" ht="19.95" customHeight="1" thickBot="1">
      <c r="A111" s="17" t="s">
        <v>25</v>
      </c>
      <c r="B111" s="34">
        <f>B68</f>
        <v>6.2189782896988746E-2</v>
      </c>
      <c r="C111" s="35">
        <f ca="1">IF(B11="S",0,B111*C110)</f>
        <v>14766.98741091352</v>
      </c>
    </row>
    <row r="112" spans="1:3" ht="19.95" customHeight="1" thickBot="1">
      <c r="A112" s="510"/>
      <c r="B112" s="511"/>
      <c r="C112" s="512"/>
    </row>
    <row r="113" spans="1:5" ht="19.95" customHeight="1" thickBot="1">
      <c r="A113" s="522" t="s">
        <v>37</v>
      </c>
      <c r="B113" s="526"/>
      <c r="C113" s="36">
        <f ca="1">C144</f>
        <v>252217.36467583472</v>
      </c>
    </row>
    <row r="114" spans="1:5" ht="19.95" customHeight="1" thickBot="1">
      <c r="A114" s="49"/>
      <c r="B114" s="39"/>
      <c r="C114" s="40"/>
    </row>
    <row r="115" spans="1:5" ht="19.95" customHeight="1" thickBot="1">
      <c r="A115" s="522" t="str">
        <f>LOOKUP(C7,Tabela!B3:C9)</f>
        <v>VENDA DE MERC. IMPORTADA, PARA OUTRO ESTADO</v>
      </c>
      <c r="B115" s="532"/>
      <c r="C115" s="526"/>
    </row>
    <row r="116" spans="1:5" ht="19.95" customHeight="1" thickBot="1">
      <c r="A116" s="510" t="s">
        <v>159</v>
      </c>
      <c r="B116" s="511"/>
      <c r="C116" s="512"/>
    </row>
    <row r="117" spans="1:5" ht="19.95" customHeight="1">
      <c r="A117" s="16" t="str">
        <f>A39</f>
        <v>FOB - Equivalente</v>
      </c>
      <c r="B117" s="200"/>
      <c r="C117" s="211">
        <f>C39*C21</f>
        <v>145060.86182399999</v>
      </c>
    </row>
    <row r="118" spans="1:5" ht="19.95" customHeight="1">
      <c r="A118" s="26" t="s">
        <v>140</v>
      </c>
      <c r="B118" s="212"/>
      <c r="C118" s="213">
        <f>C43</f>
        <v>16949.669999999998</v>
      </c>
      <c r="D118" s="209"/>
    </row>
    <row r="119" spans="1:5" ht="19.95" customHeight="1">
      <c r="A119" s="26" t="s">
        <v>76</v>
      </c>
      <c r="B119" s="212"/>
      <c r="C119" s="213">
        <f>C41*C21</f>
        <v>0</v>
      </c>
      <c r="D119" s="209"/>
    </row>
    <row r="120" spans="1:5" ht="19.95" customHeight="1">
      <c r="A120" s="26" t="str">
        <f>A44</f>
        <v>Valor do Seguro</v>
      </c>
      <c r="B120" s="212"/>
      <c r="C120" s="213">
        <f>C44*C21</f>
        <v>0</v>
      </c>
    </row>
    <row r="121" spans="1:5" ht="19.95" customHeight="1">
      <c r="A121" s="11" t="s">
        <v>23</v>
      </c>
      <c r="B121" s="214"/>
      <c r="C121" s="215">
        <f t="shared" ref="C121:C126" si="4">C49</f>
        <v>331.65</v>
      </c>
      <c r="D121" s="347"/>
    </row>
    <row r="122" spans="1:5" ht="19.95" customHeight="1">
      <c r="A122" s="11" t="s">
        <v>24</v>
      </c>
      <c r="B122" s="214"/>
      <c r="C122" s="215">
        <f t="shared" si="4"/>
        <v>21886.71</v>
      </c>
      <c r="D122" s="347"/>
    </row>
    <row r="123" spans="1:5" ht="19.95" customHeight="1">
      <c r="A123" s="11" t="s">
        <v>39</v>
      </c>
      <c r="B123" s="214"/>
      <c r="C123" s="215">
        <f t="shared" si="4"/>
        <v>11239.62</v>
      </c>
      <c r="D123" s="18"/>
      <c r="E123" s="210"/>
    </row>
    <row r="124" spans="1:5" ht="19.95" customHeight="1">
      <c r="A124" s="11" t="s">
        <v>26</v>
      </c>
      <c r="B124" s="214"/>
      <c r="C124" s="215">
        <f t="shared" si="4"/>
        <v>3335.7295319040009</v>
      </c>
      <c r="D124" s="49"/>
    </row>
    <row r="125" spans="1:5" ht="19.95" customHeight="1">
      <c r="A125" s="11" t="s">
        <v>27</v>
      </c>
      <c r="B125" s="214"/>
      <c r="C125" s="215">
        <f t="shared" si="4"/>
        <v>15328.471420415997</v>
      </c>
    </row>
    <row r="126" spans="1:5" ht="19.95" customHeight="1">
      <c r="A126" s="11" t="str">
        <f>A54</f>
        <v>Adicional da COFINS  - IMPORTAÇÃO (Somatório das Adições)</v>
      </c>
      <c r="B126" s="214"/>
      <c r="C126" s="215">
        <f t="shared" si="4"/>
        <v>0</v>
      </c>
    </row>
    <row r="127" spans="1:5" ht="19.95" customHeight="1">
      <c r="A127" s="217" t="str">
        <f>A55</f>
        <v>AFRMM (Incluída na Base de Cálculo do ICMS Importação)</v>
      </c>
      <c r="B127" s="214"/>
      <c r="C127" s="215">
        <f t="shared" ref="C127" si="5">C55</f>
        <v>1102.6721280000002</v>
      </c>
    </row>
    <row r="128" spans="1:5" ht="19.95" customHeight="1">
      <c r="A128" s="217" t="str">
        <f>A56</f>
        <v>Capatazia</v>
      </c>
      <c r="B128" s="214"/>
      <c r="C128" s="215">
        <f>C56</f>
        <v>3166.2683999999972</v>
      </c>
    </row>
    <row r="129" spans="1:12" ht="19.95" customHeight="1">
      <c r="A129" s="217" t="s">
        <v>41</v>
      </c>
      <c r="B129" s="214"/>
      <c r="C129" s="215">
        <f>C87</f>
        <v>9374.6038490432002</v>
      </c>
    </row>
    <row r="130" spans="1:12" ht="19.95" customHeight="1">
      <c r="A130" s="11" t="s">
        <v>28</v>
      </c>
      <c r="B130" s="12"/>
      <c r="C130" s="215">
        <f>C57</f>
        <v>0</v>
      </c>
    </row>
    <row r="131" spans="1:12" ht="19.95" customHeight="1">
      <c r="A131" s="11" t="s">
        <v>29</v>
      </c>
      <c r="B131" s="214"/>
      <c r="C131" s="215">
        <f>C58</f>
        <v>0</v>
      </c>
    </row>
    <row r="132" spans="1:12" ht="19.95" customHeight="1">
      <c r="A132" s="11" t="s">
        <v>40</v>
      </c>
      <c r="B132" s="55" t="str">
        <f>IF(B59="DIFERIDO","DIFERIDO","")</f>
        <v>DIFERIDO</v>
      </c>
      <c r="C132" s="215">
        <f>C59</f>
        <v>0</v>
      </c>
    </row>
    <row r="133" spans="1:12" ht="19.95" customHeight="1">
      <c r="A133" s="217" t="str">
        <f>A94</f>
        <v>Variação Cambial Passiva Total</v>
      </c>
      <c r="B133" s="55"/>
      <c r="C133" s="208">
        <f>C94</f>
        <v>0</v>
      </c>
    </row>
    <row r="134" spans="1:12" ht="19.95" customHeight="1">
      <c r="A134" s="11" t="s">
        <v>196</v>
      </c>
      <c r="B134" s="218"/>
      <c r="C134" s="208">
        <f t="shared" ref="C134:C139" ca="1" si="6">C97</f>
        <v>1899.6030181193694</v>
      </c>
      <c r="L134" s="193"/>
    </row>
    <row r="135" spans="1:12" ht="19.95" customHeight="1">
      <c r="A135" s="11" t="s">
        <v>242</v>
      </c>
      <c r="B135" s="218"/>
      <c r="C135" s="208">
        <f t="shared" ca="1" si="6"/>
        <v>7598.4120724774775</v>
      </c>
      <c r="L135" s="193"/>
    </row>
    <row r="136" spans="1:12" ht="19.95" customHeight="1">
      <c r="A136" s="11" t="str">
        <f>A99</f>
        <v>IPI a Pagar na Revenda 1</v>
      </c>
      <c r="B136" s="214"/>
      <c r="C136" s="208">
        <f t="shared" ca="1" si="6"/>
        <v>3527.3674109135191</v>
      </c>
      <c r="L136" s="193"/>
    </row>
    <row r="137" spans="1:12" ht="19.95" customHeight="1">
      <c r="A137" s="11" t="str">
        <f>A100</f>
        <v>PIS a Pagar na Revenda 1</v>
      </c>
      <c r="B137" s="214"/>
      <c r="C137" s="208">
        <f t="shared" ca="1" si="6"/>
        <v>425.48444397235107</v>
      </c>
      <c r="L137" s="193"/>
    </row>
    <row r="138" spans="1:12" ht="19.95" customHeight="1">
      <c r="A138" s="11" t="str">
        <f>A101</f>
        <v>COFINS a Pagar na Revenda 1</v>
      </c>
      <c r="B138" s="214"/>
      <c r="C138" s="208">
        <f t="shared" ca="1" si="6"/>
        <v>1995.9081048326516</v>
      </c>
      <c r="L138" s="193"/>
    </row>
    <row r="139" spans="1:12" ht="19.95" customHeight="1">
      <c r="A139" s="11" t="str">
        <f>A102</f>
        <v>DAS a Pagar na Revenda 1</v>
      </c>
      <c r="B139" s="214"/>
      <c r="C139" s="208">
        <f t="shared" si="6"/>
        <v>0</v>
      </c>
    </row>
    <row r="140" spans="1:12" ht="19.95" customHeight="1">
      <c r="A140" s="11" t="s">
        <v>42</v>
      </c>
      <c r="B140" s="214"/>
      <c r="C140" s="208">
        <f ca="1">C18</f>
        <v>5936.2594316230297</v>
      </c>
      <c r="L140" s="219"/>
    </row>
    <row r="141" spans="1:12" ht="19.95" customHeight="1">
      <c r="A141" s="11" t="s">
        <v>43</v>
      </c>
      <c r="B141" s="50" t="str">
        <f>B11</f>
        <v>R</v>
      </c>
      <c r="C141" s="208">
        <f ca="1">IF(B11="S",0,IF(B142="NA",0,IF((IF(B142="R",(C140/0.66)*9%,25%*12%*C110))&gt;0,IF(B142="R",(C140/0.66)*9%,9%*12%*C110),0)))</f>
        <v>809.48992249404944</v>
      </c>
    </row>
    <row r="142" spans="1:12" ht="19.95" customHeight="1" thickBot="1">
      <c r="A142" s="17" t="s">
        <v>44</v>
      </c>
      <c r="B142" s="34" t="str">
        <f>B11</f>
        <v>R</v>
      </c>
      <c r="C142" s="220">
        <f ca="1">IF(B11="S",0,IF(B142="NA",0,IF((IF(B142="R",(C140/0.66)*25%,25%*8%*C110))&gt;0,IF(B142="R",(C140/0.66)*25%,25%*8%*C110),0)))</f>
        <v>2248.5831180390264</v>
      </c>
      <c r="D142" s="198"/>
    </row>
    <row r="143" spans="1:12" ht="19.95" customHeight="1" thickBot="1">
      <c r="A143" s="510"/>
      <c r="B143" s="511"/>
      <c r="C143" s="511"/>
      <c r="D143" s="198"/>
    </row>
    <row r="144" spans="1:12" ht="19.95" customHeight="1" thickBot="1">
      <c r="A144" s="522" t="s">
        <v>243</v>
      </c>
      <c r="B144" s="526"/>
      <c r="C144" s="222">
        <f ca="1">SUM(C117:C142)</f>
        <v>252217.36467583472</v>
      </c>
      <c r="D144" s="193"/>
    </row>
    <row r="145" spans="1:11" ht="19.95" customHeight="1" thickBot="1">
      <c r="A145" s="53"/>
      <c r="B145" s="54"/>
      <c r="C145" s="223"/>
      <c r="D145" s="193"/>
    </row>
    <row r="146" spans="1:11" ht="19.95" customHeight="1" thickBot="1">
      <c r="A146" s="148"/>
      <c r="B146" s="149"/>
      <c r="C146" s="224"/>
      <c r="D146" s="193"/>
      <c r="E146" s="198"/>
    </row>
    <row r="147" spans="1:11" s="18" customFormat="1" ht="19.95" customHeight="1" thickBot="1">
      <c r="A147" s="510" t="s">
        <v>163</v>
      </c>
      <c r="B147" s="511"/>
      <c r="C147" s="512"/>
      <c r="D147" s="193"/>
      <c r="E147" s="190"/>
      <c r="F147" s="190"/>
      <c r="G147" s="190"/>
      <c r="H147" s="190"/>
      <c r="I147" s="190"/>
      <c r="J147" s="190"/>
      <c r="K147" s="190"/>
    </row>
    <row r="148" spans="1:11" s="18" customFormat="1" ht="19.95" customHeight="1">
      <c r="A148" s="11" t="s">
        <v>148</v>
      </c>
      <c r="B148" s="78" t="str">
        <f>IF(B13="S","S","")</f>
        <v/>
      </c>
      <c r="C148" s="79">
        <f ca="1">IF(B13="S",0,IF(B11="S",C159,C159-C109))</f>
        <v>58431.305281261128</v>
      </c>
      <c r="D148" s="193"/>
      <c r="E148" s="193"/>
      <c r="F148" s="190"/>
      <c r="G148" s="190"/>
      <c r="H148" s="190"/>
      <c r="I148" s="190"/>
      <c r="J148" s="190"/>
      <c r="K148" s="190"/>
    </row>
    <row r="149" spans="1:11" s="18" customFormat="1" ht="19.95" customHeight="1">
      <c r="A149" s="30" t="s">
        <v>149</v>
      </c>
      <c r="B149" s="80" t="str">
        <f>IF(B13="S","S","")</f>
        <v/>
      </c>
      <c r="C149" s="81">
        <f ca="1">IF(B13="S",0,IF(B11="S",C162,C162-C111))</f>
        <v>4435.3293448403092</v>
      </c>
      <c r="D149" s="193"/>
      <c r="E149" s="193"/>
      <c r="F149" s="190"/>
      <c r="G149" s="190"/>
      <c r="H149" s="190"/>
      <c r="I149" s="190"/>
      <c r="J149" s="190"/>
      <c r="K149" s="190"/>
    </row>
    <row r="150" spans="1:11" s="18" customFormat="1" ht="19.95" customHeight="1">
      <c r="A150" s="30" t="s">
        <v>150</v>
      </c>
      <c r="B150" s="82" t="str">
        <f>B13</f>
        <v>R</v>
      </c>
      <c r="C150" s="81">
        <f ca="1">1.65%*((C158-C159)-(C108-C109))</f>
        <v>212.65126587733977</v>
      </c>
      <c r="D150" s="219"/>
      <c r="E150" s="193"/>
      <c r="F150" s="190"/>
      <c r="G150" s="190"/>
      <c r="H150" s="190"/>
      <c r="I150" s="190"/>
      <c r="J150" s="190"/>
      <c r="K150" s="190"/>
    </row>
    <row r="151" spans="1:11" s="18" customFormat="1" ht="19.95" customHeight="1">
      <c r="A151" s="30" t="s">
        <v>151</v>
      </c>
      <c r="B151" s="82" t="str">
        <f>B13</f>
        <v>R</v>
      </c>
      <c r="C151" s="81">
        <f ca="1">7.6%*((C158-C159)-(C108-C109))</f>
        <v>979.48461858653457</v>
      </c>
      <c r="D151" s="190"/>
      <c r="E151" s="193"/>
      <c r="F151" s="190"/>
      <c r="G151" s="190"/>
      <c r="H151" s="190"/>
      <c r="I151" s="190"/>
      <c r="J151" s="190"/>
      <c r="K151" s="190"/>
    </row>
    <row r="152" spans="1:11" s="18" customFormat="1" ht="19.95" customHeight="1" thickBot="1">
      <c r="A152" s="342" t="s">
        <v>284</v>
      </c>
      <c r="B152" s="50" t="str">
        <f>IF(B13="S",B14,"")</f>
        <v/>
      </c>
      <c r="C152" s="343">
        <f>IF(B13="S",B14*C160,0)</f>
        <v>0</v>
      </c>
      <c r="D152" s="198"/>
      <c r="E152" s="193"/>
      <c r="F152" s="190"/>
      <c r="G152" s="190"/>
      <c r="H152" s="190"/>
      <c r="I152" s="190"/>
      <c r="J152" s="190"/>
      <c r="K152" s="190"/>
    </row>
    <row r="153" spans="1:11" s="18" customFormat="1" ht="19.95" customHeight="1" thickBot="1">
      <c r="A153" s="510"/>
      <c r="B153" s="511"/>
      <c r="C153" s="512"/>
      <c r="D153" s="221"/>
      <c r="E153" s="193"/>
      <c r="F153" s="190"/>
      <c r="G153" s="190"/>
      <c r="H153" s="190"/>
      <c r="I153" s="190"/>
      <c r="J153" s="190"/>
      <c r="K153" s="190"/>
    </row>
    <row r="154" spans="1:11" s="18" customFormat="1" ht="19.95" customHeight="1" thickBot="1">
      <c r="A154" s="522" t="s">
        <v>37</v>
      </c>
      <c r="B154" s="526"/>
      <c r="C154" s="83">
        <f ca="1">SUM(C148:C152)</f>
        <v>64058.770510565315</v>
      </c>
      <c r="D154" s="198"/>
      <c r="E154" s="219"/>
      <c r="F154" s="190"/>
      <c r="G154" s="190"/>
      <c r="H154" s="190"/>
      <c r="I154" s="190"/>
      <c r="J154" s="190"/>
      <c r="K154" s="190"/>
    </row>
    <row r="155" spans="1:11" s="18" customFormat="1" ht="19.95" customHeight="1" thickBot="1">
      <c r="A155" s="49"/>
      <c r="B155" s="39"/>
      <c r="C155" s="84"/>
      <c r="D155" s="190"/>
      <c r="E155" s="190"/>
      <c r="F155" s="190"/>
      <c r="G155" s="190"/>
      <c r="H155" s="190"/>
      <c r="I155" s="190"/>
      <c r="J155" s="190"/>
      <c r="K155" s="190"/>
    </row>
    <row r="156" spans="1:11" s="18" customFormat="1" ht="19.95" customHeight="1" thickBot="1">
      <c r="A156" s="527">
        <f ca="1">C160/C110-1</f>
        <v>0.30035437976756074</v>
      </c>
      <c r="B156" s="528"/>
      <c r="C156" s="529"/>
      <c r="D156" s="190"/>
      <c r="E156" s="190"/>
      <c r="F156" s="190"/>
      <c r="G156" s="190"/>
      <c r="H156" s="190"/>
      <c r="I156" s="190"/>
      <c r="J156" s="190"/>
      <c r="K156" s="190"/>
    </row>
    <row r="157" spans="1:11" s="18" customFormat="1" ht="19.95" customHeight="1" thickBot="1">
      <c r="A157" s="523" t="s">
        <v>160</v>
      </c>
      <c r="B157" s="530"/>
      <c r="C157" s="531"/>
      <c r="E157" s="190"/>
      <c r="F157" s="190"/>
      <c r="G157" s="190"/>
      <c r="H157" s="190"/>
      <c r="I157" s="190"/>
    </row>
    <row r="158" spans="1:11" s="18" customFormat="1" ht="19.95" customHeight="1">
      <c r="A158" s="30" t="s">
        <v>31</v>
      </c>
      <c r="B158" s="14" t="str">
        <f>IF(B13="S","S","")</f>
        <v/>
      </c>
      <c r="C158" s="208">
        <f ca="1">IF(B13="S",0,C160)</f>
        <v>308769.63805389986</v>
      </c>
      <c r="E158" s="190"/>
      <c r="F158" s="190"/>
      <c r="G158" s="190"/>
      <c r="H158" s="190"/>
      <c r="I158" s="190"/>
    </row>
    <row r="159" spans="1:11" s="18" customFormat="1" ht="19.95" customHeight="1">
      <c r="A159" s="11" t="s">
        <v>38</v>
      </c>
      <c r="B159" s="50">
        <f>IF(B13="S","S",C28)</f>
        <v>0.22</v>
      </c>
      <c r="C159" s="79">
        <f ca="1">IF(B13="S",0,C158*B159)</f>
        <v>67929.320371857975</v>
      </c>
      <c r="E159" s="190"/>
      <c r="F159" s="190"/>
      <c r="G159" s="190"/>
      <c r="H159" s="190"/>
      <c r="I159" s="190"/>
    </row>
    <row r="160" spans="1:11" s="18" customFormat="1" ht="19.95" customHeight="1">
      <c r="A160" s="26" t="s">
        <v>33</v>
      </c>
      <c r="B160" s="51"/>
      <c r="C160" s="86">
        <f ca="1">C164/(1+B162)</f>
        <v>308769.63805389986</v>
      </c>
      <c r="E160" s="190"/>
      <c r="F160" s="190"/>
      <c r="G160" s="190"/>
      <c r="H160" s="190"/>
      <c r="I160" s="190"/>
    </row>
    <row r="161" spans="1:9" s="18" customFormat="1" ht="19.95" customHeight="1">
      <c r="A161" s="463" t="s">
        <v>348</v>
      </c>
      <c r="B161" s="464"/>
      <c r="C161" s="465">
        <f>Adições!BP45</f>
        <v>0</v>
      </c>
      <c r="E161" s="190"/>
      <c r="F161" s="190"/>
      <c r="G161" s="190"/>
      <c r="H161" s="190"/>
      <c r="I161" s="190"/>
    </row>
    <row r="162" spans="1:9" s="18" customFormat="1" ht="19.95" customHeight="1" thickBot="1">
      <c r="A162" s="17" t="s">
        <v>25</v>
      </c>
      <c r="B162" s="34">
        <f>B111</f>
        <v>6.2189782896988746E-2</v>
      </c>
      <c r="C162" s="85">
        <f ca="1">B162*C160</f>
        <v>19202.316755753829</v>
      </c>
      <c r="E162" s="225"/>
      <c r="F162" s="226"/>
      <c r="G162" s="226"/>
      <c r="H162" s="226"/>
      <c r="I162" s="226"/>
    </row>
    <row r="163" spans="1:9" s="18" customFormat="1" ht="19.95" customHeight="1" thickBot="1">
      <c r="A163" s="510"/>
      <c r="B163" s="511"/>
      <c r="C163" s="512"/>
      <c r="E163" s="225"/>
      <c r="F163" s="226"/>
      <c r="G163" s="226"/>
      <c r="H163" s="226"/>
      <c r="I163" s="226"/>
    </row>
    <row r="164" spans="1:9" s="18" customFormat="1" ht="19.95" customHeight="1" thickBot="1">
      <c r="A164" s="522" t="s">
        <v>152</v>
      </c>
      <c r="B164" s="526"/>
      <c r="C164" s="83">
        <f ca="1">C185</f>
        <v>327971.95480965375</v>
      </c>
      <c r="E164" s="225"/>
      <c r="F164" s="226"/>
      <c r="G164" s="226"/>
      <c r="H164" s="226"/>
      <c r="I164" s="226"/>
    </row>
    <row r="165" spans="1:9" s="18" customFormat="1" ht="19.95" customHeight="1" thickBot="1">
      <c r="A165" s="49"/>
      <c r="B165" s="49"/>
      <c r="C165" s="84"/>
      <c r="E165" s="225"/>
      <c r="F165" s="226"/>
      <c r="G165" s="226"/>
      <c r="H165" s="226"/>
      <c r="I165" s="226"/>
    </row>
    <row r="166" spans="1:9" s="18" customFormat="1" ht="19.95" customHeight="1" thickBot="1">
      <c r="A166" s="522" t="s">
        <v>335</v>
      </c>
      <c r="B166" s="526"/>
      <c r="C166" s="83">
        <f>Adições!BQ45</f>
        <v>0</v>
      </c>
      <c r="E166" s="225"/>
      <c r="F166" s="226"/>
      <c r="G166" s="226"/>
      <c r="H166" s="226"/>
      <c r="I166" s="226"/>
    </row>
    <row r="167" spans="1:9" s="18" customFormat="1" ht="19.95" customHeight="1" thickBot="1">
      <c r="A167" s="49"/>
      <c r="B167" s="49"/>
      <c r="C167" s="84"/>
      <c r="E167" s="225"/>
      <c r="F167" s="226"/>
      <c r="G167" s="226"/>
      <c r="H167" s="226"/>
      <c r="I167" s="226"/>
    </row>
    <row r="168" spans="1:9" s="18" customFormat="1" ht="19.95" customHeight="1" thickBot="1">
      <c r="A168" s="522" t="s">
        <v>102</v>
      </c>
      <c r="B168" s="526"/>
      <c r="C168" s="83">
        <f ca="1">C164+C166</f>
        <v>327971.95480965375</v>
      </c>
      <c r="E168" s="225"/>
      <c r="F168" s="226"/>
      <c r="G168" s="226"/>
      <c r="H168" s="226"/>
      <c r="I168" s="226"/>
    </row>
    <row r="169" spans="1:9" s="18" customFormat="1" ht="19.95" customHeight="1" thickBot="1">
      <c r="A169" s="49"/>
      <c r="B169" s="49"/>
      <c r="C169" s="84"/>
      <c r="E169" s="225"/>
      <c r="F169" s="226"/>
      <c r="G169" s="226"/>
      <c r="H169" s="226"/>
      <c r="I169" s="226"/>
    </row>
    <row r="170" spans="1:9" s="18" customFormat="1" ht="19.95" customHeight="1" thickBot="1">
      <c r="A170" s="522" t="s">
        <v>110</v>
      </c>
      <c r="B170" s="532"/>
      <c r="C170" s="526"/>
      <c r="E170" s="225"/>
      <c r="F170" s="226"/>
      <c r="G170" s="226"/>
      <c r="H170" s="226"/>
      <c r="I170" s="226"/>
    </row>
    <row r="171" spans="1:9" s="18" customFormat="1" ht="19.95" customHeight="1" thickBot="1">
      <c r="A171" s="510" t="s">
        <v>161</v>
      </c>
      <c r="B171" s="511"/>
      <c r="C171" s="512"/>
      <c r="E171" s="225"/>
      <c r="F171" s="226"/>
      <c r="G171" s="226"/>
      <c r="H171" s="226"/>
      <c r="I171" s="226"/>
    </row>
    <row r="172" spans="1:9" s="18" customFormat="1" ht="19.95" customHeight="1">
      <c r="A172" s="16" t="s">
        <v>17</v>
      </c>
      <c r="B172" s="200"/>
      <c r="C172" s="211">
        <f>SUM(C117:C120)</f>
        <v>162010.53182400001</v>
      </c>
      <c r="E172" s="225"/>
      <c r="F172" s="226"/>
      <c r="G172" s="226"/>
      <c r="H172" s="226"/>
      <c r="I172" s="226"/>
    </row>
    <row r="173" spans="1:9" s="18" customFormat="1" ht="19.95" customHeight="1">
      <c r="A173" s="26" t="s">
        <v>52</v>
      </c>
      <c r="B173" s="212"/>
      <c r="C173" s="213">
        <f>SUM(C121:C132)</f>
        <v>65765.725329363195</v>
      </c>
      <c r="D173" s="346"/>
      <c r="E173" s="225"/>
      <c r="F173" s="226"/>
      <c r="G173" s="226"/>
      <c r="H173" s="226"/>
      <c r="I173" s="226"/>
    </row>
    <row r="174" spans="1:9" s="18" customFormat="1" ht="19.95" customHeight="1">
      <c r="A174" s="26" t="s">
        <v>162</v>
      </c>
      <c r="B174" s="212"/>
      <c r="C174" s="213">
        <f ca="1">SUM(C133:C142)</f>
        <v>24441.107522471473</v>
      </c>
      <c r="E174" s="225"/>
      <c r="F174" s="226"/>
      <c r="G174" s="226"/>
      <c r="H174" s="226"/>
      <c r="I174" s="226"/>
    </row>
    <row r="175" spans="1:9" s="18" customFormat="1" ht="19.95" customHeight="1">
      <c r="A175" s="26" t="s">
        <v>372</v>
      </c>
      <c r="B175" s="212"/>
      <c r="C175" s="503">
        <v>0</v>
      </c>
      <c r="E175" s="225"/>
      <c r="F175" s="226"/>
      <c r="G175" s="226"/>
      <c r="H175" s="226"/>
      <c r="I175" s="226"/>
    </row>
    <row r="176" spans="1:9" s="18" customFormat="1" ht="19.95" customHeight="1">
      <c r="A176" s="26" t="str">
        <f>A148</f>
        <v>ICMS a Pagar na Revenda 2</v>
      </c>
      <c r="B176" s="212"/>
      <c r="C176" s="213">
        <f ca="1">C148</f>
        <v>58431.305281261128</v>
      </c>
      <c r="D176" s="347"/>
      <c r="E176" s="225"/>
      <c r="F176" s="226"/>
      <c r="G176" s="226"/>
      <c r="H176" s="226"/>
      <c r="I176" s="226"/>
    </row>
    <row r="177" spans="1:11" s="18" customFormat="1" ht="19.95" customHeight="1">
      <c r="A177" s="26" t="str">
        <f>A149</f>
        <v>IPI a Pagar na Revenda 2</v>
      </c>
      <c r="B177" s="212"/>
      <c r="C177" s="213">
        <f ca="1">C149</f>
        <v>4435.3293448403092</v>
      </c>
      <c r="D177" s="347"/>
      <c r="E177" s="225"/>
      <c r="F177" s="226"/>
      <c r="G177" s="226"/>
      <c r="H177" s="226"/>
      <c r="I177" s="226"/>
    </row>
    <row r="178" spans="1:11" s="18" customFormat="1" ht="19.95" customHeight="1">
      <c r="A178" s="26" t="str">
        <f>A150</f>
        <v>PIS a Pagar na Revenda 2</v>
      </c>
      <c r="B178" s="212"/>
      <c r="C178" s="213">
        <f ca="1">C150</f>
        <v>212.65126587733977</v>
      </c>
      <c r="E178" s="225"/>
      <c r="F178" s="226"/>
      <c r="G178" s="226"/>
      <c r="H178" s="226"/>
      <c r="I178" s="226"/>
    </row>
    <row r="179" spans="1:11" s="18" customFormat="1" ht="19.95" customHeight="1">
      <c r="A179" s="26" t="str">
        <f>A151</f>
        <v>COFINS a Pagar na Revenda 2</v>
      </c>
      <c r="B179" s="212"/>
      <c r="C179" s="213">
        <f ca="1">C151</f>
        <v>979.48461858653457</v>
      </c>
      <c r="D179" s="49"/>
      <c r="E179" s="225"/>
      <c r="F179" s="226"/>
      <c r="G179" s="226"/>
      <c r="H179" s="226"/>
      <c r="I179" s="226"/>
    </row>
    <row r="180" spans="1:11" s="18" customFormat="1" ht="19.95" customHeight="1">
      <c r="A180" s="26" t="str">
        <f>A152</f>
        <v>DAS a Pagar na Revenda</v>
      </c>
      <c r="B180" s="344" t="str">
        <f>B152</f>
        <v/>
      </c>
      <c r="C180" s="213">
        <f>C152</f>
        <v>0</v>
      </c>
      <c r="E180" s="225"/>
      <c r="F180" s="226"/>
      <c r="G180" s="226"/>
      <c r="H180" s="226"/>
      <c r="I180" s="226"/>
    </row>
    <row r="181" spans="1:11" s="18" customFormat="1" ht="19.95" customHeight="1">
      <c r="A181" s="11" t="s">
        <v>153</v>
      </c>
      <c r="B181" s="227"/>
      <c r="C181" s="215">
        <f ca="1">C20</f>
        <v>7719.2409513474968</v>
      </c>
      <c r="E181" s="225"/>
      <c r="F181" s="226"/>
      <c r="G181" s="226"/>
      <c r="H181" s="226"/>
      <c r="I181" s="226"/>
    </row>
    <row r="182" spans="1:11" s="18" customFormat="1" ht="19.95" customHeight="1">
      <c r="A182" s="11" t="s">
        <v>164</v>
      </c>
      <c r="B182" s="228" t="str">
        <f>B13</f>
        <v>R</v>
      </c>
      <c r="C182" s="215">
        <f ca="1">IF(B182="S",0,IF((IF(B182="R",(C181/0.66)*9%,9%*12%*C160))&gt;0,IF(B182="R",(C181/0.66)*9%,9%*12%*C160),0))</f>
        <v>1052.6237660928405</v>
      </c>
      <c r="E182" s="225"/>
      <c r="F182" s="226"/>
      <c r="G182" s="226"/>
      <c r="H182" s="226"/>
      <c r="I182" s="226"/>
    </row>
    <row r="183" spans="1:11" s="18" customFormat="1" ht="19.95" customHeight="1" thickBot="1">
      <c r="A183" s="17" t="s">
        <v>154</v>
      </c>
      <c r="B183" s="229" t="str">
        <f>B13</f>
        <v>R</v>
      </c>
      <c r="C183" s="220">
        <f ca="1">IF(B183="S",0,IF((IF(B183="R",(C181/0.66)*25%,25%*8%*C160))&gt;0,IF(B183="R",(C181/0.66)*25%,25%*8%*C160),0))</f>
        <v>2923.9549058134457</v>
      </c>
      <c r="E183" s="225"/>
      <c r="F183" s="226"/>
      <c r="G183" s="226"/>
      <c r="H183" s="226"/>
      <c r="I183" s="226"/>
    </row>
    <row r="184" spans="1:11" s="18" customFormat="1" ht="19.95" customHeight="1" thickBot="1">
      <c r="A184" s="49"/>
      <c r="B184" s="49"/>
      <c r="E184" s="225"/>
      <c r="F184" s="226"/>
      <c r="G184" s="226"/>
      <c r="H184" s="226"/>
      <c r="I184" s="226"/>
    </row>
    <row r="185" spans="1:11" s="18" customFormat="1" ht="19.95" customHeight="1" thickBot="1">
      <c r="A185" s="522" t="s">
        <v>347</v>
      </c>
      <c r="B185" s="526"/>
      <c r="C185" s="222">
        <f ca="1">SUM(C172:C183)</f>
        <v>327971.95480965375</v>
      </c>
      <c r="E185" s="225"/>
      <c r="F185" s="226"/>
      <c r="G185" s="226"/>
      <c r="H185" s="226"/>
      <c r="I185" s="226"/>
    </row>
    <row r="186" spans="1:11" s="18" customFormat="1" ht="19.95" customHeight="1" thickBot="1">
      <c r="A186" s="53"/>
      <c r="B186" s="462"/>
      <c r="C186" s="223"/>
      <c r="E186" s="225"/>
      <c r="F186" s="226"/>
      <c r="G186" s="226"/>
      <c r="H186" s="226"/>
      <c r="I186" s="226"/>
    </row>
    <row r="187" spans="1:11" s="18" customFormat="1" ht="19.95" customHeight="1" thickBot="1">
      <c r="A187" s="522" t="s">
        <v>335</v>
      </c>
      <c r="B187" s="526"/>
      <c r="C187" s="230">
        <f>C166</f>
        <v>0</v>
      </c>
      <c r="E187" s="225"/>
      <c r="F187" s="226"/>
      <c r="G187" s="226"/>
      <c r="H187" s="226"/>
      <c r="I187" s="226"/>
    </row>
    <row r="188" spans="1:11" s="18" customFormat="1" ht="19.95" customHeight="1" thickBot="1">
      <c r="A188" s="53"/>
      <c r="B188" s="54"/>
      <c r="C188" s="223"/>
      <c r="E188" s="225"/>
      <c r="F188" s="226"/>
      <c r="G188" s="226"/>
      <c r="H188" s="226"/>
      <c r="I188" s="226"/>
    </row>
    <row r="189" spans="1:11" s="18" customFormat="1" ht="19.95" customHeight="1" thickBot="1">
      <c r="A189" s="522" t="s">
        <v>155</v>
      </c>
      <c r="B189" s="526"/>
      <c r="C189" s="230">
        <f ca="1">C185+C187</f>
        <v>327971.95480965375</v>
      </c>
      <c r="E189" s="225"/>
      <c r="F189" s="226"/>
      <c r="G189" s="226"/>
      <c r="H189" s="226"/>
      <c r="I189" s="226"/>
    </row>
    <row r="190" spans="1:11" ht="19.95" hidden="1" customHeight="1" thickBot="1">
      <c r="A190" s="510" t="s">
        <v>169</v>
      </c>
      <c r="B190" s="511"/>
      <c r="C190" s="511"/>
      <c r="D190" s="226"/>
      <c r="E190" s="225"/>
      <c r="F190" s="226"/>
      <c r="G190" s="226"/>
      <c r="H190" s="226"/>
      <c r="I190" s="226"/>
      <c r="J190" s="18"/>
      <c r="K190" s="18"/>
    </row>
    <row r="191" spans="1:11" ht="19.95" hidden="1" customHeight="1">
      <c r="A191" s="26" t="s">
        <v>289</v>
      </c>
      <c r="B191" s="195" t="str">
        <f>B36</f>
        <v>FOB</v>
      </c>
      <c r="C191" s="213">
        <f>C36*C21</f>
        <v>145060.86182399999</v>
      </c>
      <c r="D191" s="226"/>
      <c r="E191" s="225"/>
      <c r="F191" s="226"/>
      <c r="G191" s="226"/>
      <c r="H191" s="226"/>
      <c r="I191" s="226"/>
      <c r="J191" s="18"/>
      <c r="K191" s="18"/>
    </row>
    <row r="192" spans="1:11" ht="19.95" hidden="1" customHeight="1">
      <c r="A192" s="26" t="s">
        <v>76</v>
      </c>
      <c r="B192" s="195"/>
      <c r="C192" s="213">
        <f>C41</f>
        <v>0</v>
      </c>
      <c r="D192" s="226"/>
      <c r="E192" s="225"/>
      <c r="F192" s="226"/>
      <c r="G192" s="226"/>
      <c r="H192" s="226"/>
      <c r="I192" s="226"/>
      <c r="J192" s="18"/>
      <c r="K192" s="18"/>
    </row>
    <row r="193" spans="1:11" ht="19.95" hidden="1" customHeight="1">
      <c r="A193" s="11" t="s">
        <v>165</v>
      </c>
      <c r="B193" s="214"/>
      <c r="C193" s="215">
        <f>C66</f>
        <v>158844.26342399998</v>
      </c>
      <c r="D193" s="18"/>
      <c r="E193" s="225"/>
      <c r="F193" s="226"/>
      <c r="G193" s="226"/>
      <c r="H193" s="226"/>
      <c r="I193" s="226"/>
      <c r="J193" s="18"/>
      <c r="K193" s="18"/>
    </row>
    <row r="194" spans="1:11" ht="19.95" hidden="1" customHeight="1">
      <c r="A194" s="11" t="s">
        <v>166</v>
      </c>
      <c r="B194" s="233"/>
      <c r="C194" s="215">
        <f ca="1">C110</f>
        <v>237450.37726492118</v>
      </c>
      <c r="D194" s="226"/>
      <c r="E194" s="225"/>
      <c r="F194" s="226"/>
      <c r="G194" s="226"/>
      <c r="H194" s="226"/>
      <c r="I194" s="226"/>
      <c r="J194" s="18"/>
      <c r="K194" s="18"/>
    </row>
    <row r="195" spans="1:11" ht="19.95" hidden="1" customHeight="1">
      <c r="A195" s="11" t="s">
        <v>167</v>
      </c>
      <c r="B195" s="233"/>
      <c r="C195" s="215">
        <f ca="1">C160</f>
        <v>308769.63805389986</v>
      </c>
      <c r="D195" s="231"/>
      <c r="E195" s="225"/>
      <c r="F195" s="226"/>
      <c r="G195" s="226"/>
      <c r="H195" s="226"/>
      <c r="I195" s="226"/>
      <c r="J195" s="18"/>
      <c r="K195" s="18"/>
    </row>
    <row r="196" spans="1:11" ht="19.95" hidden="1" customHeight="1">
      <c r="A196" s="11" t="s">
        <v>46</v>
      </c>
      <c r="B196" s="214"/>
      <c r="C196" s="234">
        <f>B50</f>
        <v>0.13778722333571605</v>
      </c>
      <c r="D196" s="18"/>
      <c r="E196" s="18"/>
      <c r="F196" s="18"/>
      <c r="G196" s="18"/>
      <c r="H196" s="18"/>
      <c r="I196" s="18"/>
      <c r="J196" s="18"/>
      <c r="K196" s="18"/>
    </row>
    <row r="197" spans="1:11" ht="19.95" hidden="1" customHeight="1">
      <c r="A197" s="11" t="s">
        <v>47</v>
      </c>
      <c r="B197" s="214"/>
      <c r="C197" s="234">
        <f>B162</f>
        <v>6.2189782896988746E-2</v>
      </c>
      <c r="D197" s="226"/>
      <c r="E197" s="225"/>
      <c r="F197" s="18"/>
      <c r="G197" s="18"/>
      <c r="H197" s="18"/>
      <c r="I197" s="18"/>
      <c r="J197" s="18"/>
      <c r="K197" s="18"/>
    </row>
    <row r="198" spans="1:11" ht="19.95" hidden="1" customHeight="1">
      <c r="A198" s="11" t="s">
        <v>48</v>
      </c>
      <c r="B198" s="214"/>
      <c r="C198" s="234">
        <f ca="1">(C52+C100+C150)/(C158-C159)</f>
        <v>1.6500000000000001E-2</v>
      </c>
      <c r="D198" s="226"/>
      <c r="E198" s="225"/>
      <c r="F198" s="226"/>
      <c r="G198" s="226"/>
      <c r="H198" s="226"/>
      <c r="I198" s="226"/>
      <c r="J198" s="18"/>
      <c r="K198" s="18"/>
    </row>
    <row r="199" spans="1:11" ht="19.95" hidden="1" customHeight="1">
      <c r="A199" s="11" t="s">
        <v>49</v>
      </c>
      <c r="B199" s="214"/>
      <c r="C199" s="234">
        <f ca="1">(C53+C54+C101+C151)/(C158-C159)</f>
        <v>7.5999999999999998E-2</v>
      </c>
      <c r="D199" s="198"/>
      <c r="E199" s="225"/>
      <c r="F199" s="226"/>
      <c r="G199" s="226"/>
      <c r="H199" s="226"/>
      <c r="I199" s="226"/>
    </row>
    <row r="200" spans="1:11" ht="19.95" hidden="1" customHeight="1">
      <c r="A200" s="11" t="s">
        <v>290</v>
      </c>
      <c r="B200" s="214"/>
      <c r="C200" s="234">
        <f ca="1">C201/C160</f>
        <v>0.19539132370537329</v>
      </c>
      <c r="E200" s="225"/>
      <c r="F200" s="226"/>
      <c r="G200" s="226"/>
      <c r="H200" s="226"/>
      <c r="I200" s="226"/>
    </row>
    <row r="201" spans="1:11" ht="19.95" hidden="1" customHeight="1">
      <c r="A201" s="11" t="s">
        <v>170</v>
      </c>
      <c r="B201" s="214"/>
      <c r="C201" s="215">
        <f ca="1">C59+C97+C148</f>
        <v>60330.908299380499</v>
      </c>
      <c r="E201" s="225"/>
      <c r="F201" s="226"/>
      <c r="G201" s="226"/>
      <c r="H201" s="226"/>
      <c r="I201" s="226"/>
    </row>
    <row r="202" spans="1:11" ht="19.95" hidden="1" customHeight="1">
      <c r="A202" s="11" t="s">
        <v>50</v>
      </c>
      <c r="B202" s="214"/>
      <c r="C202" s="234">
        <f ca="1">(C18+C20)/C193</f>
        <v>8.5967853598339652E-2</v>
      </c>
      <c r="E202" s="18"/>
      <c r="F202" s="18"/>
      <c r="G202" s="18"/>
      <c r="H202" s="18"/>
      <c r="I202" s="18"/>
    </row>
    <row r="203" spans="1:11" ht="19.95" hidden="1" customHeight="1" thickBot="1">
      <c r="A203" s="17" t="s">
        <v>51</v>
      </c>
      <c r="B203" s="235"/>
      <c r="C203" s="236">
        <f ca="1">(C18+C20)/C160</f>
        <v>4.4225528355177131E-2</v>
      </c>
    </row>
    <row r="204" spans="1:11" ht="19.95" hidden="1" customHeight="1">
      <c r="A204" s="18"/>
      <c r="B204" s="18"/>
      <c r="C204" s="18"/>
    </row>
    <row r="205" spans="1:11" ht="19.95" hidden="1" customHeight="1"/>
    <row r="206" spans="1:11" ht="19.95" hidden="1" customHeight="1"/>
    <row r="207" spans="1:11" ht="19.95" hidden="1" customHeight="1"/>
  </sheetData>
  <sheetProtection formatColumns="0" selectLockedCells="1"/>
  <mergeCells count="45">
    <mergeCell ref="A166:B166"/>
    <mergeCell ref="A168:B168"/>
    <mergeCell ref="A171:C171"/>
    <mergeCell ref="A170:C170"/>
    <mergeCell ref="A187:B187"/>
    <mergeCell ref="A190:C190"/>
    <mergeCell ref="A48:C48"/>
    <mergeCell ref="A61:B61"/>
    <mergeCell ref="A63:C63"/>
    <mergeCell ref="A86:C86"/>
    <mergeCell ref="A74:C74"/>
    <mergeCell ref="A60:C60"/>
    <mergeCell ref="A77:C77"/>
    <mergeCell ref="A75:B75"/>
    <mergeCell ref="A185:B185"/>
    <mergeCell ref="A189:B189"/>
    <mergeCell ref="A154:B154"/>
    <mergeCell ref="A156:C156"/>
    <mergeCell ref="A157:C157"/>
    <mergeCell ref="A163:C163"/>
    <mergeCell ref="A164:B164"/>
    <mergeCell ref="A153:C153"/>
    <mergeCell ref="A147:C147"/>
    <mergeCell ref="A144:B144"/>
    <mergeCell ref="A143:C143"/>
    <mergeCell ref="A115:C115"/>
    <mergeCell ref="A116:C116"/>
    <mergeCell ref="A113:B113"/>
    <mergeCell ref="A112:C112"/>
    <mergeCell ref="A106:C106"/>
    <mergeCell ref="A107:C107"/>
    <mergeCell ref="A104:B104"/>
    <mergeCell ref="A103:C103"/>
    <mergeCell ref="A96:C96"/>
    <mergeCell ref="A1:B1"/>
    <mergeCell ref="A2:B2"/>
    <mergeCell ref="C1:C2"/>
    <mergeCell ref="A89:C89"/>
    <mergeCell ref="A93:C93"/>
    <mergeCell ref="A94:B94"/>
    <mergeCell ref="A88:C88"/>
    <mergeCell ref="A95:C95"/>
    <mergeCell ref="A35:C35"/>
    <mergeCell ref="A3:C3"/>
    <mergeCell ref="A34:C34"/>
  </mergeCells>
  <phoneticPr fontId="7" type="noConversion"/>
  <printOptions horizontalCentered="1" verticalCentered="1"/>
  <pageMargins left="0.78740157480314998" right="0.78740157480314998" top="0.5" bottom="0.5" header="0" footer="0"/>
  <pageSetup paperSize="9" scale="46" orientation="portrait" r:id="rId1"/>
  <headerFooter alignWithMargins="0"/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 fitToPage="1"/>
  </sheetPr>
  <dimension ref="A1:BS48"/>
  <sheetViews>
    <sheetView topLeftCell="K3" zoomScale="40" zoomScaleNormal="40" workbookViewId="0">
      <pane ySplit="11" topLeftCell="A31" activePane="bottomLeft" state="frozen"/>
      <selection activeCell="BT1" sqref="BT1"/>
      <selection pane="bottomLeft" activeCell="AA32" sqref="AA32"/>
    </sheetView>
  </sheetViews>
  <sheetFormatPr defaultColWidth="8.77734375" defaultRowHeight="24.6"/>
  <cols>
    <col min="1" max="1" width="7.109375" style="238" customWidth="1"/>
    <col min="2" max="7" width="30.77734375" style="238" customWidth="1"/>
    <col min="8" max="8" width="30.77734375" style="352" customWidth="1"/>
    <col min="9" max="9" width="30.77734375" style="353" customWidth="1"/>
    <col min="10" max="10" width="30.77734375" style="238" customWidth="1"/>
    <col min="11" max="11" width="150.109375" style="238" customWidth="1"/>
    <col min="12" max="30" width="30.77734375" style="238" customWidth="1"/>
    <col min="31" max="31" width="30.77734375" style="450" customWidth="1"/>
    <col min="32" max="35" width="30.77734375" style="238" customWidth="1"/>
    <col min="36" max="36" width="30.77734375" style="353" customWidth="1"/>
    <col min="37" max="37" width="30.77734375" style="238" customWidth="1"/>
    <col min="38" max="38" width="138.77734375" style="458" customWidth="1"/>
    <col min="39" max="64" width="30.77734375" style="238" customWidth="1"/>
    <col min="65" max="65" width="37" style="238" customWidth="1"/>
    <col min="66" max="66" width="33.77734375" style="238" customWidth="1"/>
    <col min="67" max="67" width="32.6640625" style="238" customWidth="1"/>
    <col min="68" max="71" width="30.77734375" style="238" customWidth="1"/>
    <col min="72" max="16384" width="8.77734375" style="238"/>
  </cols>
  <sheetData>
    <row r="1" spans="1:71" hidden="1">
      <c r="A1" s="351"/>
      <c r="D1" s="238" t="s">
        <v>3</v>
      </c>
      <c r="I1" s="353" t="s">
        <v>18</v>
      </c>
      <c r="V1" s="354"/>
      <c r="BA1" s="355"/>
      <c r="BM1" s="238" t="s">
        <v>346</v>
      </c>
      <c r="BN1" s="480" t="s">
        <v>339</v>
      </c>
    </row>
    <row r="2" spans="1:71" hidden="1">
      <c r="A2" s="351"/>
      <c r="C2" s="238" t="s">
        <v>74</v>
      </c>
      <c r="D2" s="351">
        <f>M45</f>
        <v>29657.519999999993</v>
      </c>
      <c r="E2" s="351"/>
      <c r="F2" s="351"/>
      <c r="G2" s="351"/>
      <c r="I2" s="353">
        <f>D2*'Dados Gerais'!C$21</f>
        <v>145060.86182399999</v>
      </c>
      <c r="V2" s="354"/>
      <c r="BA2" s="355"/>
      <c r="BP2" s="238" t="s">
        <v>345</v>
      </c>
      <c r="BQ2" s="238" t="s">
        <v>361</v>
      </c>
    </row>
    <row r="3" spans="1:71">
      <c r="A3" s="351"/>
      <c r="C3" s="238" t="s">
        <v>75</v>
      </c>
      <c r="D3" s="351">
        <f>'Dados Gerais'!C42</f>
        <v>2818</v>
      </c>
      <c r="E3" s="351"/>
      <c r="F3" s="351"/>
      <c r="G3" s="351"/>
      <c r="I3" s="353">
        <f>D3*'Dados Gerais'!C$21</f>
        <v>13783.401600000001</v>
      </c>
      <c r="V3" s="354"/>
      <c r="AG3" s="238">
        <v>1</v>
      </c>
      <c r="AH3" s="238">
        <f>SUMIFS($T$14:$T$32,$AF$14:$AF$32,AG3)</f>
        <v>6334.4328353318124</v>
      </c>
      <c r="BA3" s="355"/>
      <c r="BM3" s="238" t="s">
        <v>343</v>
      </c>
      <c r="BN3" s="238" t="s">
        <v>341</v>
      </c>
      <c r="BO3" s="352" t="str">
        <f>'Dados Gerais'!C31</f>
        <v>RJ</v>
      </c>
      <c r="BP3" s="461">
        <f>IF(AND(BN1="S",BO3="RJ",BO4="RJ"),12%,_xlfn.XLOOKUP(BO3,Tabela!B15:B41,Tabela!C15:C41))</f>
        <v>0.22</v>
      </c>
      <c r="BQ3" s="461">
        <f>'Dados Gerais'!C28</f>
        <v>0.22</v>
      </c>
    </row>
    <row r="4" spans="1:71">
      <c r="A4" s="351"/>
      <c r="C4" s="238" t="s">
        <v>76</v>
      </c>
      <c r="D4" s="351">
        <f>'Dados Gerais'!C41/'Dados Gerais'!C21</f>
        <v>0</v>
      </c>
      <c r="E4" s="351"/>
      <c r="F4" s="351"/>
      <c r="G4" s="351"/>
      <c r="I4" s="353">
        <f>D4*'Dados Gerais'!C$21</f>
        <v>0</v>
      </c>
      <c r="V4" s="354"/>
      <c r="AG4" s="238">
        <v>2</v>
      </c>
      <c r="AH4" s="238">
        <f t="shared" ref="AH4:AH9" si="0">SUMIFS($T$14:$T$32,$AF$14:$AF$32,AG4)</f>
        <v>6163.3417949377308</v>
      </c>
      <c r="BA4" s="355"/>
      <c r="BM4" s="238" t="s">
        <v>344</v>
      </c>
      <c r="BN4" s="238" t="s">
        <v>342</v>
      </c>
      <c r="BO4" s="352" t="str">
        <f>'Dados Gerais'!C32</f>
        <v>RJ</v>
      </c>
      <c r="BP4" s="461">
        <f>IF(AND(BN1="S",BO3="RJ",BO4="RJ"),12%,_xlfn.XLOOKUP(BO4,Tabela!B15:B41,Tabela!C15:C41))</f>
        <v>0.22</v>
      </c>
    </row>
    <row r="5" spans="1:71">
      <c r="A5" s="351"/>
      <c r="C5" s="238" t="s">
        <v>77</v>
      </c>
      <c r="D5" s="351">
        <f>'Dados Gerais'!C44</f>
        <v>0</v>
      </c>
      <c r="E5" s="351"/>
      <c r="F5" s="351"/>
      <c r="G5" s="351"/>
      <c r="I5" s="353">
        <f>D5*'Dados Gerais'!C$21</f>
        <v>0</v>
      </c>
      <c r="V5" s="354"/>
      <c r="AG5" s="238">
        <v>3</v>
      </c>
      <c r="AH5" s="238">
        <f t="shared" si="0"/>
        <v>2501.2986883318581</v>
      </c>
      <c r="BA5" s="355"/>
      <c r="BO5" s="238" t="s">
        <v>350</v>
      </c>
      <c r="BP5" s="461">
        <f>IF(AND(BN1="S",BO3="RJ",BO4="RJ"),25%,0)</f>
        <v>0</v>
      </c>
    </row>
    <row r="6" spans="1:71">
      <c r="A6" s="351"/>
      <c r="C6" s="238" t="s">
        <v>78</v>
      </c>
      <c r="D6" s="356">
        <v>1</v>
      </c>
      <c r="E6" s="356"/>
      <c r="F6" s="356"/>
      <c r="G6" s="356"/>
      <c r="I6" s="351">
        <f>D6*'Dados Gerais'!C$21</f>
        <v>4.8912000000000004</v>
      </c>
      <c r="K6" s="238">
        <v>14.976000000000001</v>
      </c>
      <c r="V6" s="354"/>
      <c r="AG6" s="238">
        <v>4</v>
      </c>
      <c r="AH6" s="238">
        <f t="shared" si="0"/>
        <v>4407.8930484279781</v>
      </c>
      <c r="BA6" s="355"/>
    </row>
    <row r="7" spans="1:71">
      <c r="A7" s="351"/>
      <c r="C7" s="238" t="s">
        <v>79</v>
      </c>
      <c r="D7" s="351">
        <f>I7/I6</f>
        <v>67.805446516192333</v>
      </c>
      <c r="E7" s="351"/>
      <c r="F7" s="351"/>
      <c r="G7" s="351"/>
      <c r="I7" s="353">
        <f>'Dados Gerais'!C49</f>
        <v>331.65</v>
      </c>
      <c r="K7" s="238">
        <f>K6/9216</f>
        <v>1.6250000000000001E-3</v>
      </c>
      <c r="V7" s="354"/>
      <c r="AG7" s="238">
        <v>5</v>
      </c>
      <c r="AH7" s="238">
        <f t="shared" si="0"/>
        <v>918.89077028003044</v>
      </c>
      <c r="BA7" s="355"/>
      <c r="BM7" s="39"/>
      <c r="BN7" s="238" t="s">
        <v>366</v>
      </c>
      <c r="BO7" s="480" t="s">
        <v>339</v>
      </c>
    </row>
    <row r="8" spans="1:71">
      <c r="A8" s="351"/>
      <c r="C8" s="238" t="s">
        <v>80</v>
      </c>
      <c r="D8" s="238">
        <f>I8/I6</f>
        <v>0</v>
      </c>
      <c r="I8" s="353">
        <f>'Dados Gerais'!C57+'Dados Gerais'!C58</f>
        <v>0</v>
      </c>
      <c r="K8" s="238">
        <f>ROUNDUP(64.08/K7,0)</f>
        <v>39434</v>
      </c>
      <c r="M8" s="351"/>
      <c r="N8" s="357"/>
      <c r="V8" s="354"/>
      <c r="AG8" s="238">
        <v>6</v>
      </c>
      <c r="AH8" s="238">
        <f t="shared" si="0"/>
        <v>1134.828360495402</v>
      </c>
      <c r="BA8" s="355"/>
      <c r="BN8" s="355"/>
    </row>
    <row r="9" spans="1:71">
      <c r="A9" s="351"/>
      <c r="C9" s="238" t="s">
        <v>81</v>
      </c>
      <c r="D9" s="238">
        <f>C45</f>
        <v>13006.050000000001</v>
      </c>
      <c r="K9" s="238">
        <f>9216/B14</f>
        <v>26.782911944202265</v>
      </c>
      <c r="L9" s="238">
        <f>9216/C14</f>
        <v>30.967741935483868</v>
      </c>
      <c r="M9" s="351">
        <f>M14*0.29</f>
        <v>233.02079999999998</v>
      </c>
      <c r="V9" s="354"/>
      <c r="AG9" s="238">
        <v>7</v>
      </c>
      <c r="AH9" s="238">
        <f t="shared" si="0"/>
        <v>425.98292068692297</v>
      </c>
      <c r="BA9" s="355"/>
    </row>
    <row r="10" spans="1:71" ht="25.2" thickBot="1">
      <c r="A10" s="351"/>
      <c r="C10" s="238" t="s">
        <v>340</v>
      </c>
      <c r="D10" s="238" cm="1">
        <f t="array" ref="D10">SUM(IF(FREQUENCY(L14:L43,L14:L43)&gt;0,1))</f>
        <v>1</v>
      </c>
      <c r="K10" s="238">
        <f>K9*$K$8</f>
        <v>1056157.3496076721</v>
      </c>
      <c r="L10" s="238">
        <f>L9*$K$8</f>
        <v>1221181.9354838708</v>
      </c>
      <c r="V10" s="354"/>
      <c r="BA10" s="355"/>
    </row>
    <row r="11" spans="1:71" s="242" customFormat="1" ht="25.8" thickTop="1" thickBot="1">
      <c r="A11" s="393"/>
      <c r="C11" s="242" t="s">
        <v>312</v>
      </c>
      <c r="D11" s="394">
        <f ca="1">BF45/BE45</f>
        <v>5.9338343637343201E-2</v>
      </c>
      <c r="E11" s="394">
        <f ca="1">BN45/BM45</f>
        <v>5.9338343637343201E-2</v>
      </c>
      <c r="H11" s="395"/>
      <c r="I11" s="396"/>
      <c r="L11" s="350"/>
      <c r="M11" s="397" t="str">
        <f>'Dados Gerais'!B36</f>
        <v>FOB</v>
      </c>
      <c r="V11" s="398"/>
      <c r="AE11" s="451"/>
      <c r="AG11" s="238"/>
      <c r="AJ11" s="396"/>
      <c r="AL11" s="404"/>
      <c r="BA11" s="533" t="s">
        <v>228</v>
      </c>
      <c r="BB11" s="534"/>
      <c r="BC11" s="534"/>
      <c r="BD11" s="534"/>
      <c r="BE11" s="534"/>
      <c r="BF11" s="534"/>
      <c r="BG11" s="535"/>
      <c r="BI11" s="533" t="s">
        <v>229</v>
      </c>
      <c r="BJ11" s="534"/>
      <c r="BK11" s="534"/>
      <c r="BL11" s="534"/>
      <c r="BM11" s="534"/>
      <c r="BN11" s="534"/>
      <c r="BO11" s="536"/>
      <c r="BP11" s="536"/>
      <c r="BQ11" s="536"/>
      <c r="BR11" s="535"/>
    </row>
    <row r="12" spans="1:71" s="404" customFormat="1" ht="45" thickBot="1">
      <c r="A12" s="399" t="s">
        <v>82</v>
      </c>
      <c r="B12" s="400" t="s">
        <v>360</v>
      </c>
      <c r="C12" s="400" t="s">
        <v>83</v>
      </c>
      <c r="D12" s="400" t="s">
        <v>145</v>
      </c>
      <c r="E12" s="400" t="s">
        <v>316</v>
      </c>
      <c r="F12" s="400" t="s">
        <v>317</v>
      </c>
      <c r="G12" s="400" t="s">
        <v>142</v>
      </c>
      <c r="H12" s="401" t="s">
        <v>311</v>
      </c>
      <c r="I12" s="402" t="s">
        <v>84</v>
      </c>
      <c r="J12" s="400" t="s">
        <v>85</v>
      </c>
      <c r="K12" s="400" t="s">
        <v>53</v>
      </c>
      <c r="L12" s="400" t="s">
        <v>86</v>
      </c>
      <c r="M12" s="400" t="s">
        <v>15</v>
      </c>
      <c r="N12" s="400" t="s">
        <v>87</v>
      </c>
      <c r="O12" s="400" t="s">
        <v>88</v>
      </c>
      <c r="P12" s="400" t="s">
        <v>89</v>
      </c>
      <c r="Q12" s="400" t="s">
        <v>17</v>
      </c>
      <c r="R12" s="400" t="s">
        <v>90</v>
      </c>
      <c r="S12" s="400" t="s">
        <v>91</v>
      </c>
      <c r="T12" s="400" t="s">
        <v>92</v>
      </c>
      <c r="U12" s="400" t="s">
        <v>264</v>
      </c>
      <c r="V12" s="403" t="s">
        <v>93</v>
      </c>
      <c r="W12" s="400" t="s">
        <v>94</v>
      </c>
      <c r="X12" s="400" t="s">
        <v>95</v>
      </c>
      <c r="Y12" s="400" t="s">
        <v>96</v>
      </c>
      <c r="Z12" s="400" t="s">
        <v>97</v>
      </c>
      <c r="AA12" s="400" t="s">
        <v>98</v>
      </c>
      <c r="AB12" s="446" t="s">
        <v>99</v>
      </c>
      <c r="AC12" s="446" t="s">
        <v>328</v>
      </c>
      <c r="AD12" s="446" t="s">
        <v>231</v>
      </c>
      <c r="AE12" s="407" t="s">
        <v>351</v>
      </c>
      <c r="AJ12" s="405"/>
      <c r="AN12" s="537" t="s">
        <v>333</v>
      </c>
      <c r="AO12" s="538"/>
      <c r="AP12" s="538"/>
      <c r="AQ12" s="538"/>
      <c r="AR12" s="538"/>
      <c r="AS12" s="538"/>
      <c r="AT12" s="538"/>
      <c r="AU12" s="538"/>
      <c r="AV12" s="538"/>
      <c r="AW12" s="538"/>
      <c r="AX12" s="538"/>
      <c r="AY12" s="539"/>
      <c r="BA12" s="537" t="s">
        <v>223</v>
      </c>
      <c r="BB12" s="538"/>
      <c r="BC12" s="538"/>
      <c r="BD12" s="538"/>
      <c r="BE12" s="538"/>
      <c r="BF12" s="538"/>
      <c r="BG12" s="539"/>
      <c r="BI12" s="537" t="s">
        <v>225</v>
      </c>
      <c r="BJ12" s="538"/>
      <c r="BK12" s="538"/>
      <c r="BL12" s="538"/>
      <c r="BM12" s="538"/>
      <c r="BN12" s="538"/>
      <c r="BO12" s="538"/>
      <c r="BP12" s="538"/>
      <c r="BQ12" s="538"/>
      <c r="BR12" s="539"/>
    </row>
    <row r="13" spans="1:71" ht="41.4" thickBot="1">
      <c r="A13" s="361"/>
      <c r="B13" s="362"/>
      <c r="C13" s="362"/>
      <c r="D13" s="362"/>
      <c r="E13" s="362"/>
      <c r="F13" s="362"/>
      <c r="G13" s="362"/>
      <c r="H13" s="363"/>
      <c r="I13" s="364"/>
      <c r="J13" s="362"/>
      <c r="K13" s="362"/>
      <c r="L13" s="362"/>
      <c r="M13" s="362"/>
      <c r="N13" s="362"/>
      <c r="O13" s="362"/>
      <c r="P13" s="362"/>
      <c r="Q13" s="362"/>
      <c r="R13" s="362"/>
      <c r="S13" s="362"/>
      <c r="T13" s="362"/>
      <c r="U13" s="362"/>
      <c r="V13" s="365"/>
      <c r="W13" s="362"/>
      <c r="X13" s="362"/>
      <c r="Y13" s="362"/>
      <c r="Z13" s="362"/>
      <c r="AA13" s="362"/>
      <c r="AB13" s="362"/>
      <c r="AC13" s="362"/>
      <c r="AD13" s="362"/>
      <c r="AE13" s="452"/>
      <c r="AH13" s="238" t="s">
        <v>314</v>
      </c>
      <c r="AI13" s="238" t="s">
        <v>237</v>
      </c>
      <c r="AJ13" s="353" t="s">
        <v>313</v>
      </c>
      <c r="AK13" s="238" t="s">
        <v>315</v>
      </c>
      <c r="AL13" s="458" t="s">
        <v>53</v>
      </c>
      <c r="AN13" s="406" t="s">
        <v>100</v>
      </c>
      <c r="AO13" s="400" t="s">
        <v>101</v>
      </c>
      <c r="AP13" s="400" t="s">
        <v>71</v>
      </c>
      <c r="AQ13" s="400" t="s">
        <v>252</v>
      </c>
      <c r="AR13" s="400" t="s">
        <v>93</v>
      </c>
      <c r="AS13" s="400" t="s">
        <v>24</v>
      </c>
      <c r="AT13" s="400" t="s">
        <v>328</v>
      </c>
      <c r="AU13" s="400" t="s">
        <v>202</v>
      </c>
      <c r="AV13" s="400" t="s">
        <v>203</v>
      </c>
      <c r="AW13" s="400" t="s">
        <v>231</v>
      </c>
      <c r="AX13" s="400" t="s">
        <v>25</v>
      </c>
      <c r="AY13" s="407" t="s">
        <v>102</v>
      </c>
      <c r="BA13" s="406" t="s">
        <v>100</v>
      </c>
      <c r="BB13" s="400" t="s">
        <v>101</v>
      </c>
      <c r="BC13" s="400" t="s">
        <v>71</v>
      </c>
      <c r="BD13" s="400" t="s">
        <v>252</v>
      </c>
      <c r="BE13" s="400" t="s">
        <v>93</v>
      </c>
      <c r="BF13" s="400" t="s">
        <v>25</v>
      </c>
      <c r="BG13" s="407" t="s">
        <v>102</v>
      </c>
      <c r="BI13" s="406" t="s">
        <v>100</v>
      </c>
      <c r="BJ13" s="400" t="s">
        <v>101</v>
      </c>
      <c r="BK13" s="400" t="s">
        <v>71</v>
      </c>
      <c r="BL13" s="400" t="s">
        <v>253</v>
      </c>
      <c r="BM13" s="400" t="s">
        <v>93</v>
      </c>
      <c r="BN13" s="400" t="s">
        <v>25</v>
      </c>
      <c r="BO13" s="446" t="s">
        <v>329</v>
      </c>
      <c r="BP13" s="446" t="s">
        <v>334</v>
      </c>
      <c r="BQ13" s="446" t="s">
        <v>335</v>
      </c>
      <c r="BR13" s="407" t="s">
        <v>102</v>
      </c>
    </row>
    <row r="14" spans="1:71" ht="100.05" customHeight="1" thickBot="1">
      <c r="A14" s="366">
        <v>1</v>
      </c>
      <c r="B14" s="439">
        <v>344.1</v>
      </c>
      <c r="C14" s="439">
        <v>297.60000000000002</v>
      </c>
      <c r="D14" s="440">
        <v>0.12</v>
      </c>
      <c r="E14" s="494">
        <f>IF(I14&gt;0,IF(M$11="CFR",(M14-N14)/I14,(M14)/I14),"")</f>
        <v>0.12</v>
      </c>
      <c r="F14" s="494">
        <f>IF(I14&gt;0,IF(M$11="CIF",(M14)/I14,IF(M$11="CFR",(M14+P14)/I14,(M14+N14+P14)/I14)),"")</f>
        <v>0.12962970651692438</v>
      </c>
      <c r="G14" s="494">
        <f t="shared" ref="G14:G44" si="1">IF(C14&gt;0,IF(M11="FOB",M14/C14,(M14-N14)/C14),"")</f>
        <v>2.6999999999999997</v>
      </c>
      <c r="H14" s="441" t="s">
        <v>379</v>
      </c>
      <c r="I14" s="442">
        <v>6696</v>
      </c>
      <c r="J14" s="484" t="s">
        <v>310</v>
      </c>
      <c r="K14" s="485" t="s">
        <v>398</v>
      </c>
      <c r="L14" s="443">
        <v>83040000</v>
      </c>
      <c r="M14" s="495">
        <f>D14*I14</f>
        <v>803.52</v>
      </c>
      <c r="N14" s="495">
        <f t="shared" ref="N14:N43" si="2">D$3*(C14/D$9)</f>
        <v>64.4805148373257</v>
      </c>
      <c r="O14" s="495">
        <f>(M14/$M$45)*('Dados Gerais'!$C$41)</f>
        <v>0</v>
      </c>
      <c r="P14" s="495">
        <f t="shared" ref="P14:P43" si="3">D$5*(M14/D$2)</f>
        <v>0</v>
      </c>
      <c r="Q14" s="495">
        <f>IF(M$11="FOB",M14+N14+O14+P14,IF(M$11="CFR",M14+O14+P14,M14+O14))</f>
        <v>868.00051483732568</v>
      </c>
      <c r="R14" s="495">
        <f t="shared" ref="R14:R43" si="4">Q14*I$6</f>
        <v>4245.5641181723277</v>
      </c>
      <c r="S14" s="496">
        <v>0.14399999999999999</v>
      </c>
      <c r="T14" s="495">
        <f>R14*S14</f>
        <v>611.36123301681516</v>
      </c>
      <c r="U14" s="497">
        <f>IF(I14&gt;0,R14/I14,"")</f>
        <v>0.63404482051558064</v>
      </c>
      <c r="V14" s="495">
        <f>R14</f>
        <v>4245.5641181723277</v>
      </c>
      <c r="W14" s="369">
        <v>9.7500000000000003E-2</v>
      </c>
      <c r="X14" s="495">
        <f>W14*(T14+V14)</f>
        <v>473.55022174094142</v>
      </c>
      <c r="Y14" s="496">
        <v>2.1000000000000001E-2</v>
      </c>
      <c r="Z14" s="495">
        <f t="shared" ref="Z14:Z43" si="5">Y14*R14</f>
        <v>89.156846481618885</v>
      </c>
      <c r="AA14" s="496">
        <v>9.6500000000000002E-2</v>
      </c>
      <c r="AB14" s="498">
        <f t="shared" ref="AB14:AB43" si="6">AA14*R14</f>
        <v>409.69693740362965</v>
      </c>
      <c r="AC14" s="498">
        <f>(V14/V$45)*('Dados Gerais'!C$56+'Dados Gerais'!C$57+'Dados Gerais'!C$58+'Dados Gerais'!C$49)</f>
        <v>93.491804659600589</v>
      </c>
      <c r="AD14" s="498">
        <f>(V14/V$45)*('Dados Gerais'!C$72)</f>
        <v>29.472044629332178</v>
      </c>
      <c r="AE14" s="499" t="s">
        <v>367</v>
      </c>
      <c r="AF14" s="351">
        <v>2</v>
      </c>
      <c r="AG14" s="238">
        <f>A14</f>
        <v>1</v>
      </c>
      <c r="AI14" s="351" t="str">
        <f t="shared" ref="AI14:AI29" si="7">H14</f>
        <v xml:space="preserve"> BP00064 </v>
      </c>
      <c r="AJ14" s="353">
        <f t="shared" ref="AJ14:AJ29" si="8">I14</f>
        <v>6696</v>
      </c>
      <c r="AK14" s="351" t="str">
        <f t="shared" ref="AK14:AK29" si="9">J14</f>
        <v>Un.</v>
      </c>
      <c r="AL14" s="459" t="str">
        <f t="shared" ref="AL14:AL24" si="10">K20</f>
        <v>RÉGUA 30 cm COLOR</v>
      </c>
      <c r="AM14" s="351"/>
      <c r="AN14" s="371">
        <f>IF(I14&lt;&gt;"",IF('Dados Gerais'!B$26="NA",'Dados Gerais'!C$25,0%),"")</f>
        <v>0</v>
      </c>
      <c r="AO14" s="372" t="str">
        <f>IF(I14&lt;&gt;"",'Dados Gerais'!C$64,"")</f>
        <v>DIFERIDO</v>
      </c>
      <c r="AP14" s="372">
        <f>IF(H14&lt;&gt;"",IF(AN14&lt;&gt;0%,AN14*AO14,0),"")</f>
        <v>0</v>
      </c>
      <c r="AQ14" s="373">
        <f>IF(I14&lt;&gt;"",R14/I14,"")</f>
        <v>0.63404482051558064</v>
      </c>
      <c r="AR14" s="372">
        <f>IF(I14&lt;&gt;"",I14*AQ14,"")</f>
        <v>4245.5641181723277</v>
      </c>
      <c r="AS14" s="372">
        <f>IF(I14&lt;&gt;"",T14,"")</f>
        <v>611.36123301681516</v>
      </c>
      <c r="AT14" s="372">
        <f>IF(H14&lt;&gt;"",AC14,"")</f>
        <v>93.491804659600589</v>
      </c>
      <c r="AU14" s="372">
        <f>IF(H14&lt;&gt;"",Z14,"")</f>
        <v>89.156846481618885</v>
      </c>
      <c r="AV14" s="372">
        <f>IF(H14&lt;&gt;"",AB14,"")</f>
        <v>409.69693740362965</v>
      </c>
      <c r="AW14" s="372">
        <f>IF(H14&lt;&gt;"",AD14,"")</f>
        <v>29.472044629332178</v>
      </c>
      <c r="AX14" s="372">
        <f t="shared" ref="AX14:AX43" si="11">IF(I14&lt;&gt;"",X14,"")</f>
        <v>473.55022174094142</v>
      </c>
      <c r="AY14" s="374">
        <f>IF(I14&lt;&gt;"",AR14+AS14+AT14+AU14+AV14+AW14+AX14,"")</f>
        <v>5952.2932061042657</v>
      </c>
      <c r="AZ14" s="351">
        <f>AY14/I14</f>
        <v>0.88893267713624036</v>
      </c>
      <c r="BA14" s="371">
        <f>IF(H14&lt;&gt;"",'Dados Gerais'!C$27,"")</f>
        <v>0.04</v>
      </c>
      <c r="BB14" s="372">
        <f ca="1">IF(H14&lt;&gt;"",BE14,"")</f>
        <v>6346.5357818525717</v>
      </c>
      <c r="BC14" s="372">
        <f ca="1">IF(H14&lt;&gt;"",BA14*BB14,"")</f>
        <v>253.86143127410287</v>
      </c>
      <c r="BD14" s="373">
        <f ca="1">IF(I14&gt;0,BE14/I14,"")</f>
        <v>0.94781000326352627</v>
      </c>
      <c r="BE14" s="372">
        <f ca="1">IF(H14&lt;&gt;"",(R14)*(1+'Dados Gerais'!A$106),"")</f>
        <v>6346.5357818525717</v>
      </c>
      <c r="BF14" s="372">
        <f ca="1">IF(H14&lt;&gt;"",IF('Dados Gerais'!B$11="S",0,BE14*(W14)),"")</f>
        <v>618.78723873062575</v>
      </c>
      <c r="BG14" s="374">
        <f ca="1">IF(H14&lt;&gt;"",BE14+BF14,"")</f>
        <v>6965.3230205831978</v>
      </c>
      <c r="BI14" s="371">
        <f>IF(H14&lt;&gt;"",BQ$3,"")</f>
        <v>0.22</v>
      </c>
      <c r="BJ14" s="372">
        <f ca="1">IF(H14&lt;&gt;"",BM14,"")</f>
        <v>8252.7456002835315</v>
      </c>
      <c r="BK14" s="372">
        <f ca="1">IF(H14&lt;&gt;"",BI14*BJ14,"")</f>
        <v>1815.604032062377</v>
      </c>
      <c r="BL14" s="373">
        <f ca="1">IF(H14&lt;&gt;"",IF(I14&gt;0,BM14/I14,0),"")</f>
        <v>1.2324888889312322</v>
      </c>
      <c r="BM14" s="372">
        <f ca="1">IF(H14&lt;&gt;"",BE14*(1+'Dados Gerais'!A$156),"")</f>
        <v>8252.7456002835315</v>
      </c>
      <c r="BN14" s="372">
        <f ca="1">IF(H14&lt;&gt;"",IF('Dados Gerais'!B$13="S",0,BM14*W14),"")</f>
        <v>804.64269602764432</v>
      </c>
      <c r="BO14" s="455" t="str">
        <f>IF(H14&lt;&gt;"",IF(AE14&lt;&gt;"N",(1-BP$5)*(((1+AE14)*(1-BQ$3))/(1-BP$4)-1),"N"),"")</f>
        <v>N</v>
      </c>
      <c r="BP14" s="447" t="str">
        <f>IF(H14&lt;&gt;"",IF(AE14&lt;&gt;"N",(BM14+BN14)*(1+BO14),"N"),"")</f>
        <v>N</v>
      </c>
      <c r="BQ14" s="447" t="str">
        <f>IF(H14&lt;&gt;"",IF(AE14&lt;&gt;"N",BP14*BP$4-BK14,"N"),"")</f>
        <v>N</v>
      </c>
      <c r="BR14" s="374">
        <f ca="1">IF(H14&lt;&gt;"",IF(AE14&lt;&gt;"N",SUM(BM14+BN14+BQ14),BM14+BN14),"")</f>
        <v>9057.3882963111755</v>
      </c>
      <c r="BS14" s="238">
        <f ca="1">BR14/2000</f>
        <v>4.528694148155588</v>
      </c>
    </row>
    <row r="15" spans="1:71" ht="100.05" customHeight="1" thickBot="1">
      <c r="A15" s="375">
        <v>2</v>
      </c>
      <c r="B15" s="439">
        <v>426.3</v>
      </c>
      <c r="C15" s="439">
        <v>367.5</v>
      </c>
      <c r="D15" s="440">
        <v>0.04</v>
      </c>
      <c r="E15" s="494">
        <f t="shared" ref="E15:E20" si="12">IF(I15&gt;0,IF(M$11="CFR",(M15-N15)/I15,(M15)/I15),"")</f>
        <v>0.04</v>
      </c>
      <c r="F15" s="494">
        <f t="shared" ref="F15:F20" si="13">IF(I15&gt;0,IF(M$11="CIF",(M15)/I15,IF(M$11="CFR",(M15+P15)/I15,(M15+N15+P15)/I15)),"")</f>
        <v>4.3761604108173591E-2</v>
      </c>
      <c r="G15" s="494">
        <f t="shared" ref="G15:G20" si="14">IF(C15&gt;0,IF(M12="FOB",M15/C15,(M15-N15)/C15),"")</f>
        <v>2.0873316033692011</v>
      </c>
      <c r="H15" s="441" t="s">
        <v>380</v>
      </c>
      <c r="I15" s="442">
        <v>21168</v>
      </c>
      <c r="J15" s="484" t="s">
        <v>310</v>
      </c>
      <c r="K15" s="485" t="s">
        <v>399</v>
      </c>
      <c r="L15" s="443">
        <v>83040000</v>
      </c>
      <c r="M15" s="495">
        <f t="shared" ref="M15:M20" si="15">D15*I15</f>
        <v>846.72</v>
      </c>
      <c r="N15" s="495">
        <f t="shared" ref="N15:N20" si="16">D$3*(C15/D$9)</f>
        <v>79.625635761818529</v>
      </c>
      <c r="O15" s="495">
        <f>(M15/$M$45)*('Dados Gerais'!$C$41)</f>
        <v>0</v>
      </c>
      <c r="P15" s="495">
        <f t="shared" ref="P15:P20" si="17">D$5*(M15/D$2)</f>
        <v>0</v>
      </c>
      <c r="Q15" s="495">
        <f t="shared" ref="Q15:Q20" si="18">IF(M$11="FOB",M15+N15+O15+P15,IF(M$11="CFR",M15+O15+P15,M15+O15))</f>
        <v>926.34563576181858</v>
      </c>
      <c r="R15" s="495">
        <f t="shared" ref="R15:R20" si="19">Q15*I$6</f>
        <v>4530.9417736382075</v>
      </c>
      <c r="S15" s="496">
        <v>0.14399999999999999</v>
      </c>
      <c r="T15" s="495">
        <f t="shared" ref="T15:T20" si="20">R15*S15</f>
        <v>652.45561540390179</v>
      </c>
      <c r="U15" s="497">
        <f t="shared" ref="U15:U20" si="21">IF(I15&gt;0,R15/I15,"")</f>
        <v>0.21404675801389869</v>
      </c>
      <c r="V15" s="495">
        <f t="shared" ref="V15:V20" si="22">R15</f>
        <v>4530.9417736382075</v>
      </c>
      <c r="W15" s="369">
        <v>9.7500000000000003E-2</v>
      </c>
      <c r="X15" s="495">
        <f t="shared" ref="X15:X20" si="23">W15*(T15+V15)</f>
        <v>505.38124543160569</v>
      </c>
      <c r="Y15" s="496">
        <v>2.1000000000000001E-2</v>
      </c>
      <c r="Z15" s="495">
        <f t="shared" ref="Z15:Z20" si="24">Y15*R15</f>
        <v>95.149777246402365</v>
      </c>
      <c r="AA15" s="496">
        <v>9.6500000000000002E-2</v>
      </c>
      <c r="AB15" s="498">
        <f t="shared" ref="AB15:AB20" si="25">AA15*R15</f>
        <v>437.23588115608703</v>
      </c>
      <c r="AC15" s="498">
        <f>(V15/V$45)*('Dados Gerais'!C$56+'Dados Gerais'!C$57+'Dados Gerais'!C$58+'Dados Gerais'!C$49)</f>
        <v>99.776121955582568</v>
      </c>
      <c r="AD15" s="498">
        <f>(V15/V$45)*('Dados Gerais'!C$72)</f>
        <v>31.45309185038446</v>
      </c>
      <c r="AE15" s="499" t="s">
        <v>367</v>
      </c>
      <c r="AF15" s="351">
        <v>5</v>
      </c>
      <c r="AG15" s="238">
        <f>A15</f>
        <v>2</v>
      </c>
      <c r="AI15" s="351" t="str">
        <f t="shared" si="7"/>
        <v>BP00068</v>
      </c>
      <c r="AJ15" s="353">
        <f t="shared" si="8"/>
        <v>21168</v>
      </c>
      <c r="AK15" s="351" t="str">
        <f t="shared" si="9"/>
        <v>Un.</v>
      </c>
      <c r="AL15" s="459" t="str">
        <f t="shared" si="10"/>
        <v>RÉGUA 30 cm TRANSPARENTE</v>
      </c>
      <c r="AM15" s="351"/>
      <c r="AN15" s="371">
        <f>IF(I15&lt;&gt;"",IF('Dados Gerais'!B$26="NA",'Dados Gerais'!C$25,0%),"")</f>
        <v>0</v>
      </c>
      <c r="AO15" s="372" t="str">
        <f>IF(I15&lt;&gt;"",'Dados Gerais'!C$64,"")</f>
        <v>DIFERIDO</v>
      </c>
      <c r="AP15" s="372">
        <f t="shared" ref="AP15:AP43" si="26">IF(H15&lt;&gt;"",IF(AN15&lt;&gt;0%,AN15*AO15,0),"")</f>
        <v>0</v>
      </c>
      <c r="AQ15" s="373">
        <f t="shared" ref="AQ15:AQ43" si="27">IF(I15&lt;&gt;"",R15/I15,"")</f>
        <v>0.21404675801389869</v>
      </c>
      <c r="AR15" s="372">
        <f t="shared" ref="AR15:AR43" si="28">IF(I15&lt;&gt;"",I15*AQ15,"")</f>
        <v>4530.9417736382075</v>
      </c>
      <c r="AS15" s="372">
        <f t="shared" ref="AS15:AS43" si="29">IF(I15&lt;&gt;"",T15,"")</f>
        <v>652.45561540390179</v>
      </c>
      <c r="AT15" s="372">
        <f t="shared" ref="AT15:AT43" si="30">IF(H15&lt;&gt;"",AC15,"")</f>
        <v>99.776121955582568</v>
      </c>
      <c r="AU15" s="372">
        <f t="shared" ref="AU15:AU43" si="31">IF(H15&lt;&gt;"",Z15,"")</f>
        <v>95.149777246402365</v>
      </c>
      <c r="AV15" s="372">
        <f t="shared" ref="AV15:AV43" si="32">IF(H15&lt;&gt;"",AB15,"")</f>
        <v>437.23588115608703</v>
      </c>
      <c r="AW15" s="372">
        <f t="shared" ref="AW15:AW43" si="33">IF(H15&lt;&gt;"",AD15,"")</f>
        <v>31.45309185038446</v>
      </c>
      <c r="AX15" s="372">
        <f t="shared" si="11"/>
        <v>505.38124543160569</v>
      </c>
      <c r="AY15" s="374">
        <f t="shared" ref="AY15:AY43" si="34">IF(I15&lt;&gt;"",AR15+AS15+AT15+AU15+AV15+AW15+AX15,"")</f>
        <v>6352.3935066821714</v>
      </c>
      <c r="AZ15" s="351"/>
      <c r="BA15" s="371">
        <f>IF(H15&lt;&gt;"",'Dados Gerais'!C$27,"")</f>
        <v>0.04</v>
      </c>
      <c r="BB15" s="372">
        <f t="shared" ref="BB15:BB43" ca="1" si="35">IF(H15&lt;&gt;"",BE15,"")</f>
        <v>6773.1362173525513</v>
      </c>
      <c r="BC15" s="372">
        <f t="shared" ref="BC15:BC43" ca="1" si="36">IF(H15&lt;&gt;"",BA15*BB15,"")</f>
        <v>270.92544869410204</v>
      </c>
      <c r="BD15" s="373">
        <f t="shared" ref="BD15:BD43" ca="1" si="37">IF(I15&gt;0,BE15/I15,"")</f>
        <v>0.31997053180992779</v>
      </c>
      <c r="BE15" s="372">
        <f ca="1">IF(H15&lt;&gt;"",(R15)*(1+'Dados Gerais'!A$106),"")</f>
        <v>6773.1362173525513</v>
      </c>
      <c r="BF15" s="372">
        <f ca="1">IF(H15&lt;&gt;"",IF('Dados Gerais'!B$11="S",0,BE15*(W15)),"")</f>
        <v>660.38078119187378</v>
      </c>
      <c r="BG15" s="374">
        <f t="shared" ref="BG15:BG43" ca="1" si="38">IF(H15&lt;&gt;"",BE15+BF15,"")</f>
        <v>7433.5169985444254</v>
      </c>
      <c r="BI15" s="371">
        <f t="shared" ref="BI15:BI43" si="39">IF(H15&lt;&gt;"",BQ$3,"")</f>
        <v>0.22</v>
      </c>
      <c r="BJ15" s="372">
        <f t="shared" ref="BJ15:BJ43" ca="1" si="40">IF(H15&lt;&gt;"",BM15,"")</f>
        <v>8807.4773449966797</v>
      </c>
      <c r="BK15" s="372">
        <f t="shared" ref="BK15:BK43" ca="1" si="41">IF(H15&lt;&gt;"",BI15*BJ15,"")</f>
        <v>1937.6450158992695</v>
      </c>
      <c r="BL15" s="373">
        <f t="shared" ref="BL15:BL43" ca="1" si="42">IF(H15&lt;&gt;"",IF(I15&gt;0,BM15/I15,0),"")</f>
        <v>0.41607508243559521</v>
      </c>
      <c r="BM15" s="372">
        <f ca="1">IF(H15&lt;&gt;"",BE15*(1+'Dados Gerais'!A$156),"")</f>
        <v>8807.4773449966797</v>
      </c>
      <c r="BN15" s="372">
        <f ca="1">IF(H15&lt;&gt;"",IF('Dados Gerais'!B$13="S",0,BM15*W15),"")</f>
        <v>858.7290411371763</v>
      </c>
      <c r="BO15" s="455" t="str">
        <f t="shared" ref="BO15:BO43" si="43">IF(H15&lt;&gt;"",IF(AE15&lt;&gt;"N",(1-BP$5)*(((1+AE15)*(1-BQ$3))/(1-BP$4)-1),"N"),"")</f>
        <v>N</v>
      </c>
      <c r="BP15" s="447" t="str">
        <f t="shared" ref="BP15:BP43" si="44">IF(H15&lt;&gt;"",IF(AE15&lt;&gt;"N",(BM15+BN15)*(1+BO15),"N"),"")</f>
        <v>N</v>
      </c>
      <c r="BQ15" s="447" t="str">
        <f t="shared" ref="BQ15:BQ43" si="45">IF(H15&lt;&gt;"",IF(AE15&lt;&gt;"N",BP15*BP$4-BK15,"N"),"")</f>
        <v>N</v>
      </c>
      <c r="BR15" s="374">
        <f t="shared" ref="BR15:BR43" ca="1" si="46">IF(H15&lt;&gt;"",IF(AE15&lt;&gt;"N",SUM(BM15+BN15+BQ15),BM15+BN15),"")</f>
        <v>9666.2063861338556</v>
      </c>
      <c r="BS15" s="238">
        <f ca="1">BS14+9*15%*6.2+1.8*6.2</f>
        <v>24.058694148155588</v>
      </c>
    </row>
    <row r="16" spans="1:71" ht="100.05" customHeight="1" thickBot="1">
      <c r="A16" s="375">
        <v>3</v>
      </c>
      <c r="B16" s="439">
        <v>132.30000000000001</v>
      </c>
      <c r="C16" s="439">
        <v>117.6</v>
      </c>
      <c r="D16" s="440">
        <v>0.05</v>
      </c>
      <c r="E16" s="494">
        <f t="shared" si="12"/>
        <v>0.05</v>
      </c>
      <c r="F16" s="494">
        <f t="shared" si="13"/>
        <v>5.3611139943846649E-2</v>
      </c>
      <c r="G16" s="494">
        <f t="shared" si="14"/>
        <v>2.7833316033692017</v>
      </c>
      <c r="H16" s="441" t="s">
        <v>381</v>
      </c>
      <c r="I16" s="442">
        <v>7056</v>
      </c>
      <c r="J16" s="484" t="s">
        <v>310</v>
      </c>
      <c r="K16" s="485" t="s">
        <v>399</v>
      </c>
      <c r="L16" s="443">
        <v>83040000</v>
      </c>
      <c r="M16" s="495">
        <f t="shared" si="15"/>
        <v>352.8</v>
      </c>
      <c r="N16" s="495">
        <f t="shared" si="16"/>
        <v>25.480203443781928</v>
      </c>
      <c r="O16" s="495">
        <f>(M16/$M$45)*('Dados Gerais'!$C$41)</f>
        <v>0</v>
      </c>
      <c r="P16" s="495">
        <f t="shared" si="17"/>
        <v>0</v>
      </c>
      <c r="Q16" s="495">
        <f t="shared" si="18"/>
        <v>378.28020344378194</v>
      </c>
      <c r="R16" s="495">
        <f t="shared" si="19"/>
        <v>1850.2441310842264</v>
      </c>
      <c r="S16" s="496">
        <v>0.14399999999999999</v>
      </c>
      <c r="T16" s="495">
        <f t="shared" si="20"/>
        <v>266.43515487612859</v>
      </c>
      <c r="U16" s="497">
        <f t="shared" si="21"/>
        <v>0.26222280769334272</v>
      </c>
      <c r="V16" s="495">
        <f t="shared" si="22"/>
        <v>1850.2441310842264</v>
      </c>
      <c r="W16" s="369">
        <v>9.7500000000000003E-2</v>
      </c>
      <c r="X16" s="495">
        <f t="shared" si="23"/>
        <v>206.37623038113463</v>
      </c>
      <c r="Y16" s="496">
        <v>2.1000000000000001E-2</v>
      </c>
      <c r="Z16" s="495">
        <f t="shared" si="24"/>
        <v>38.855126752768754</v>
      </c>
      <c r="AA16" s="496">
        <v>9.6500000000000002E-2</v>
      </c>
      <c r="AB16" s="498">
        <f t="shared" si="25"/>
        <v>178.54855864962786</v>
      </c>
      <c r="AC16" s="498">
        <f>(V16/V$45)*('Dados Gerais'!C$56+'Dados Gerais'!C$57+'Dados Gerais'!C$58+'Dados Gerais'!C$49)</f>
        <v>40.744329389698677</v>
      </c>
      <c r="AD16" s="498">
        <f>(V16/V$45)*('Dados Gerais'!C$72)</f>
        <v>12.84410648117807</v>
      </c>
      <c r="AE16" s="499" t="s">
        <v>367</v>
      </c>
      <c r="AF16" s="351">
        <v>5</v>
      </c>
      <c r="AG16" s="238">
        <f t="shared" ref="AG16:AG43" si="47">A16</f>
        <v>3</v>
      </c>
      <c r="AI16" s="351" t="str">
        <f t="shared" si="7"/>
        <v>BP00069</v>
      </c>
      <c r="AJ16" s="353">
        <f t="shared" si="8"/>
        <v>7056</v>
      </c>
      <c r="AK16" s="351" t="str">
        <f t="shared" si="9"/>
        <v>Un.</v>
      </c>
      <c r="AL16" s="459" t="str">
        <f t="shared" si="10"/>
        <v>KIT 1 COMPASSO/1 BORRACHA/1 APONTADOR/4 RÉGUAS)</v>
      </c>
      <c r="AM16" s="351"/>
      <c r="AN16" s="371">
        <f>IF(I16&lt;&gt;"",IF('Dados Gerais'!B$26="NA",'Dados Gerais'!C$25,0%),"")</f>
        <v>0</v>
      </c>
      <c r="AO16" s="372" t="str">
        <f>IF(I16&lt;&gt;"",'Dados Gerais'!C$64,"")</f>
        <v>DIFERIDO</v>
      </c>
      <c r="AP16" s="372">
        <f t="shared" si="26"/>
        <v>0</v>
      </c>
      <c r="AQ16" s="373">
        <f t="shared" si="27"/>
        <v>0.26222280769334272</v>
      </c>
      <c r="AR16" s="372">
        <f t="shared" si="28"/>
        <v>1850.2441310842262</v>
      </c>
      <c r="AS16" s="372">
        <f t="shared" si="29"/>
        <v>266.43515487612859</v>
      </c>
      <c r="AT16" s="372">
        <f t="shared" si="30"/>
        <v>40.744329389698677</v>
      </c>
      <c r="AU16" s="372">
        <f t="shared" si="31"/>
        <v>38.855126752768754</v>
      </c>
      <c r="AV16" s="372">
        <f t="shared" si="32"/>
        <v>178.54855864962786</v>
      </c>
      <c r="AW16" s="372">
        <f t="shared" si="33"/>
        <v>12.84410648117807</v>
      </c>
      <c r="AX16" s="372">
        <f t="shared" si="11"/>
        <v>206.37623038113463</v>
      </c>
      <c r="AY16" s="374">
        <f t="shared" si="34"/>
        <v>2594.0476376147626</v>
      </c>
      <c r="AZ16" s="351"/>
      <c r="BA16" s="371">
        <f>IF(H16&lt;&gt;"",'Dados Gerais'!C$27,"")</f>
        <v>0.04</v>
      </c>
      <c r="BB16" s="372">
        <f t="shared" ca="1" si="35"/>
        <v>2765.8610861220136</v>
      </c>
      <c r="BC16" s="372">
        <f t="shared" ca="1" si="36"/>
        <v>110.63444344488055</v>
      </c>
      <c r="BD16" s="373">
        <f t="shared" ca="1" si="37"/>
        <v>0.39198711538010395</v>
      </c>
      <c r="BE16" s="372">
        <f ca="1">IF(H16&lt;&gt;"",(R16)*(1+'Dados Gerais'!A$106),"")</f>
        <v>2765.8610861220136</v>
      </c>
      <c r="BF16" s="372">
        <f ca="1">IF(H16&lt;&gt;"",IF('Dados Gerais'!B$11="S",0,BE16*(W16)),"")</f>
        <v>269.67145589689636</v>
      </c>
      <c r="BG16" s="374">
        <f t="shared" ca="1" si="38"/>
        <v>3035.5325420189101</v>
      </c>
      <c r="BI16" s="371">
        <f t="shared" si="39"/>
        <v>0.22</v>
      </c>
      <c r="BJ16" s="372">
        <f t="shared" ca="1" si="40"/>
        <v>3596.5995771674229</v>
      </c>
      <c r="BK16" s="372">
        <f t="shared" ca="1" si="41"/>
        <v>791.25190697683308</v>
      </c>
      <c r="BL16" s="373">
        <f t="shared" ca="1" si="42"/>
        <v>0.50972216229697032</v>
      </c>
      <c r="BM16" s="372">
        <f ca="1">IF(H16&lt;&gt;"",BE16*(1+'Dados Gerais'!A$156),"")</f>
        <v>3596.5995771674229</v>
      </c>
      <c r="BN16" s="372">
        <f ca="1">IF(H16&lt;&gt;"",IF('Dados Gerais'!B$13="S",0,BM16*W16),"")</f>
        <v>350.66845877382377</v>
      </c>
      <c r="BO16" s="455" t="str">
        <f t="shared" si="43"/>
        <v>N</v>
      </c>
      <c r="BP16" s="447" t="str">
        <f t="shared" si="44"/>
        <v>N</v>
      </c>
      <c r="BQ16" s="447" t="str">
        <f t="shared" si="45"/>
        <v>N</v>
      </c>
      <c r="BR16" s="374">
        <f t="shared" ca="1" si="46"/>
        <v>3947.2680359412466</v>
      </c>
    </row>
    <row r="17" spans="1:70" ht="100.05" customHeight="1" thickBot="1">
      <c r="A17" s="375">
        <v>4</v>
      </c>
      <c r="B17" s="439">
        <v>589.04999999999995</v>
      </c>
      <c r="C17" s="439">
        <v>516.12</v>
      </c>
      <c r="D17" s="440">
        <v>0.11</v>
      </c>
      <c r="E17" s="494">
        <f t="shared" si="12"/>
        <v>0.11</v>
      </c>
      <c r="F17" s="494">
        <f t="shared" si="13"/>
        <v>0.11830562187084727</v>
      </c>
      <c r="G17" s="494">
        <f t="shared" si="14"/>
        <v>2.6528968207605059</v>
      </c>
      <c r="H17" s="441" t="s">
        <v>382</v>
      </c>
      <c r="I17" s="442">
        <v>13464</v>
      </c>
      <c r="J17" s="484" t="s">
        <v>310</v>
      </c>
      <c r="K17" s="485" t="s">
        <v>400</v>
      </c>
      <c r="L17" s="443">
        <v>83040000</v>
      </c>
      <c r="M17" s="495">
        <f t="shared" si="15"/>
        <v>1481.04</v>
      </c>
      <c r="N17" s="495">
        <f t="shared" si="16"/>
        <v>111.82689286908783</v>
      </c>
      <c r="O17" s="495">
        <f>(M17/$M$45)*('Dados Gerais'!$C$41)</f>
        <v>0</v>
      </c>
      <c r="P17" s="495">
        <f t="shared" si="17"/>
        <v>0</v>
      </c>
      <c r="Q17" s="495">
        <f t="shared" si="18"/>
        <v>1592.8668928690877</v>
      </c>
      <c r="R17" s="495">
        <f t="shared" si="19"/>
        <v>7791.0305464012827</v>
      </c>
      <c r="S17" s="496">
        <v>0.14399999999999999</v>
      </c>
      <c r="T17" s="495">
        <f t="shared" si="20"/>
        <v>1121.9083986817845</v>
      </c>
      <c r="U17" s="497">
        <f t="shared" si="21"/>
        <v>0.57865645769468821</v>
      </c>
      <c r="V17" s="495">
        <f t="shared" si="22"/>
        <v>7791.0305464012827</v>
      </c>
      <c r="W17" s="369">
        <v>9.7500000000000003E-2</v>
      </c>
      <c r="X17" s="495">
        <f t="shared" si="23"/>
        <v>869.01154714559914</v>
      </c>
      <c r="Y17" s="496">
        <v>2.1000000000000001E-2</v>
      </c>
      <c r="Z17" s="495">
        <f t="shared" si="24"/>
        <v>163.61164147442693</v>
      </c>
      <c r="AA17" s="496">
        <v>9.6500000000000002E-2</v>
      </c>
      <c r="AB17" s="498">
        <f t="shared" si="25"/>
        <v>751.83444772772384</v>
      </c>
      <c r="AC17" s="498">
        <f>(V17/V$45)*('Dados Gerais'!C$56+'Dados Gerais'!C$57+'Dados Gerais'!C$58+'Dados Gerais'!C$49)</f>
        <v>171.56671897224763</v>
      </c>
      <c r="AD17" s="498">
        <f>(V17/V$45)*('Dados Gerais'!C$72)</f>
        <v>54.084120173617094</v>
      </c>
      <c r="AE17" s="499" t="s">
        <v>367</v>
      </c>
      <c r="AF17" s="351">
        <v>2</v>
      </c>
      <c r="AG17" s="238">
        <f t="shared" si="47"/>
        <v>4</v>
      </c>
      <c r="AI17" s="351" t="str">
        <f t="shared" si="7"/>
        <v>BP00025</v>
      </c>
      <c r="AJ17" s="353">
        <f t="shared" si="8"/>
        <v>13464</v>
      </c>
      <c r="AK17" s="351" t="str">
        <f t="shared" si="9"/>
        <v>Un.</v>
      </c>
      <c r="AL17" s="459" t="str">
        <f t="shared" si="10"/>
        <v>APONTADOR  GUITARRA - 2 UNIDADES</v>
      </c>
      <c r="AM17" s="351"/>
      <c r="AN17" s="371">
        <f>IF(I17&lt;&gt;"",IF('Dados Gerais'!B$26="NA",'Dados Gerais'!C$25,0%),"")</f>
        <v>0</v>
      </c>
      <c r="AO17" s="372" t="str">
        <f>IF(I17&lt;&gt;"",'Dados Gerais'!C$64,"")</f>
        <v>DIFERIDO</v>
      </c>
      <c r="AP17" s="372">
        <f t="shared" si="26"/>
        <v>0</v>
      </c>
      <c r="AQ17" s="373">
        <f t="shared" si="27"/>
        <v>0.57865645769468821</v>
      </c>
      <c r="AR17" s="372">
        <f t="shared" si="28"/>
        <v>7791.0305464012818</v>
      </c>
      <c r="AS17" s="372">
        <f t="shared" si="29"/>
        <v>1121.9083986817845</v>
      </c>
      <c r="AT17" s="372">
        <f t="shared" si="30"/>
        <v>171.56671897224763</v>
      </c>
      <c r="AU17" s="372">
        <f t="shared" si="31"/>
        <v>163.61164147442693</v>
      </c>
      <c r="AV17" s="372">
        <f t="shared" si="32"/>
        <v>751.83444772772384</v>
      </c>
      <c r="AW17" s="372">
        <f t="shared" si="33"/>
        <v>54.084120173617094</v>
      </c>
      <c r="AX17" s="372">
        <f t="shared" si="11"/>
        <v>869.01154714559914</v>
      </c>
      <c r="AY17" s="374">
        <f t="shared" si="34"/>
        <v>10923.04742057668</v>
      </c>
      <c r="AZ17" s="351"/>
      <c r="BA17" s="371">
        <f>IF(H17&lt;&gt;"",'Dados Gerais'!C$27,"")</f>
        <v>0.04</v>
      </c>
      <c r="BB17" s="372">
        <f t="shared" ca="1" si="35"/>
        <v>11646.521584398579</v>
      </c>
      <c r="BC17" s="372">
        <f t="shared" ca="1" si="36"/>
        <v>465.86086337594315</v>
      </c>
      <c r="BD17" s="373">
        <f t="shared" ca="1" si="37"/>
        <v>0.8650120012179574</v>
      </c>
      <c r="BE17" s="372">
        <f ca="1">IF(H17&lt;&gt;"",(R17)*(1+'Dados Gerais'!A$106),"")</f>
        <v>11646.521584398579</v>
      </c>
      <c r="BF17" s="372">
        <f ca="1">IF(H17&lt;&gt;"",IF('Dados Gerais'!B$11="S",0,BE17*(W17)),"")</f>
        <v>1135.5358544788614</v>
      </c>
      <c r="BG17" s="374">
        <f t="shared" ca="1" si="38"/>
        <v>12782.05743887744</v>
      </c>
      <c r="BI17" s="371">
        <f t="shared" si="39"/>
        <v>0.22</v>
      </c>
      <c r="BJ17" s="372">
        <f t="shared" ca="1" si="40"/>
        <v>15144.605351330123</v>
      </c>
      <c r="BK17" s="372">
        <f t="shared" ca="1" si="41"/>
        <v>3331.8131772926272</v>
      </c>
      <c r="BL17" s="373">
        <f t="shared" ca="1" si="42"/>
        <v>1.1248221443352735</v>
      </c>
      <c r="BM17" s="372">
        <f ca="1">IF(H17&lt;&gt;"",BE17*(1+'Dados Gerais'!A$156),"")</f>
        <v>15144.605351330123</v>
      </c>
      <c r="BN17" s="372">
        <f ca="1">IF(H17&lt;&gt;"",IF('Dados Gerais'!B$13="S",0,BM17*W17),"")</f>
        <v>1476.5990217546871</v>
      </c>
      <c r="BO17" s="455" t="str">
        <f t="shared" si="43"/>
        <v>N</v>
      </c>
      <c r="BP17" s="447" t="str">
        <f t="shared" si="44"/>
        <v>N</v>
      </c>
      <c r="BQ17" s="447" t="str">
        <f t="shared" si="45"/>
        <v>N</v>
      </c>
      <c r="BR17" s="374">
        <f t="shared" ca="1" si="46"/>
        <v>16621.204373084809</v>
      </c>
    </row>
    <row r="18" spans="1:70" ht="100.05" customHeight="1" thickBot="1">
      <c r="A18" s="375">
        <v>5</v>
      </c>
      <c r="B18" s="439">
        <v>1516.4</v>
      </c>
      <c r="C18" s="439">
        <v>1326</v>
      </c>
      <c r="D18" s="440">
        <v>0.05</v>
      </c>
      <c r="E18" s="494">
        <f t="shared" si="12"/>
        <v>0.05</v>
      </c>
      <c r="F18" s="494">
        <f t="shared" si="13"/>
        <v>5.4401076806563101E-2</v>
      </c>
      <c r="G18" s="494">
        <f t="shared" si="14"/>
        <v>2.2448700649076629</v>
      </c>
      <c r="H18" s="441" t="s">
        <v>383</v>
      </c>
      <c r="I18" s="442">
        <v>65280</v>
      </c>
      <c r="J18" s="484" t="s">
        <v>310</v>
      </c>
      <c r="K18" s="485" t="s">
        <v>401</v>
      </c>
      <c r="L18" s="443">
        <v>83040000</v>
      </c>
      <c r="M18" s="495">
        <f t="shared" si="15"/>
        <v>3264</v>
      </c>
      <c r="N18" s="495">
        <f t="shared" si="16"/>
        <v>287.30229393243911</v>
      </c>
      <c r="O18" s="495">
        <f>(M18/$M$45)*('Dados Gerais'!$C$41)</f>
        <v>0</v>
      </c>
      <c r="P18" s="495">
        <f t="shared" si="17"/>
        <v>0</v>
      </c>
      <c r="Q18" s="495">
        <f t="shared" si="18"/>
        <v>3551.3022939324392</v>
      </c>
      <c r="R18" s="495">
        <f t="shared" si="19"/>
        <v>17370.129780082349</v>
      </c>
      <c r="S18" s="496">
        <v>0.14399999999999999</v>
      </c>
      <c r="T18" s="495">
        <f t="shared" si="20"/>
        <v>2501.2986883318581</v>
      </c>
      <c r="U18" s="497">
        <f t="shared" si="21"/>
        <v>0.26608654687626149</v>
      </c>
      <c r="V18" s="495">
        <f t="shared" si="22"/>
        <v>17370.129780082349</v>
      </c>
      <c r="W18" s="369">
        <v>9.7500000000000003E-2</v>
      </c>
      <c r="X18" s="495">
        <f t="shared" si="23"/>
        <v>1937.4642756703854</v>
      </c>
      <c r="Y18" s="496">
        <v>2.1000000000000001E-2</v>
      </c>
      <c r="Z18" s="495">
        <f t="shared" si="24"/>
        <v>364.77272538172934</v>
      </c>
      <c r="AA18" s="496">
        <v>9.6500000000000002E-2</v>
      </c>
      <c r="AB18" s="498">
        <f t="shared" si="25"/>
        <v>1676.2175237779468</v>
      </c>
      <c r="AC18" s="498">
        <f>(V18/V$45)*('Dados Gerais'!C$56+'Dados Gerais'!C$57+'Dados Gerais'!C$58+'Dados Gerais'!C$49)</f>
        <v>382.50859841223416</v>
      </c>
      <c r="AD18" s="498">
        <f>(V18/V$45)*('Dados Gerais'!C$72)</f>
        <v>120.58073458475077</v>
      </c>
      <c r="AE18" s="499" t="s">
        <v>367</v>
      </c>
      <c r="AF18" s="351">
        <v>3</v>
      </c>
      <c r="AG18" s="238">
        <f t="shared" si="47"/>
        <v>5</v>
      </c>
      <c r="AI18" s="351" t="str">
        <f t="shared" si="7"/>
        <v>BP00039</v>
      </c>
      <c r="AJ18" s="353">
        <f t="shared" si="8"/>
        <v>65280</v>
      </c>
      <c r="AK18" s="351" t="str">
        <f t="shared" si="9"/>
        <v>Un.</v>
      </c>
      <c r="AL18" s="459" t="str">
        <f t="shared" si="10"/>
        <v>KIT  BORRACHA + APONTADOR C/ DEPÓSITO</v>
      </c>
      <c r="AM18" s="351"/>
      <c r="AN18" s="371">
        <f>IF(I18&lt;&gt;"",IF('Dados Gerais'!B$26="NA",'Dados Gerais'!C$25,0%),"")</f>
        <v>0</v>
      </c>
      <c r="AO18" s="372" t="str">
        <f>IF(I18&lt;&gt;"",'Dados Gerais'!C$64,"")</f>
        <v>DIFERIDO</v>
      </c>
      <c r="AP18" s="372">
        <f t="shared" si="26"/>
        <v>0</v>
      </c>
      <c r="AQ18" s="373">
        <f t="shared" si="27"/>
        <v>0.26608654687626149</v>
      </c>
      <c r="AR18" s="372">
        <f t="shared" si="28"/>
        <v>17370.129780082349</v>
      </c>
      <c r="AS18" s="372">
        <f t="shared" si="29"/>
        <v>2501.2986883318581</v>
      </c>
      <c r="AT18" s="372">
        <f t="shared" si="30"/>
        <v>382.50859841223416</v>
      </c>
      <c r="AU18" s="372">
        <f t="shared" si="31"/>
        <v>364.77272538172934</v>
      </c>
      <c r="AV18" s="372">
        <f t="shared" si="32"/>
        <v>1676.2175237779468</v>
      </c>
      <c r="AW18" s="372">
        <f t="shared" si="33"/>
        <v>120.58073458475077</v>
      </c>
      <c r="AX18" s="372">
        <f t="shared" si="11"/>
        <v>1937.4642756703854</v>
      </c>
      <c r="AY18" s="374">
        <f t="shared" si="34"/>
        <v>24352.972326241255</v>
      </c>
      <c r="AZ18" s="351"/>
      <c r="BA18" s="371">
        <f>IF(H18&lt;&gt;"",'Dados Gerais'!C$27,"")</f>
        <v>0.04</v>
      </c>
      <c r="BB18" s="372">
        <f t="shared" ca="1" si="35"/>
        <v>25965.960498124063</v>
      </c>
      <c r="BC18" s="372">
        <f t="shared" ca="1" si="36"/>
        <v>1038.6384199249626</v>
      </c>
      <c r="BD18" s="373">
        <f t="shared" ca="1" si="37"/>
        <v>0.39776287527763576</v>
      </c>
      <c r="BE18" s="372">
        <f ca="1">IF(H18&lt;&gt;"",(R18)*(1+'Dados Gerais'!A$106),"")</f>
        <v>25965.960498124063</v>
      </c>
      <c r="BF18" s="372">
        <f ca="1">IF(H18&lt;&gt;"",IF('Dados Gerais'!B$11="S",0,BE18*(W18)),"")</f>
        <v>2531.681148567096</v>
      </c>
      <c r="BG18" s="374">
        <f t="shared" ca="1" si="38"/>
        <v>28497.641646691158</v>
      </c>
      <c r="BI18" s="371">
        <f t="shared" si="39"/>
        <v>0.22</v>
      </c>
      <c r="BJ18" s="372">
        <f t="shared" ca="1" si="40"/>
        <v>33764.950458607098</v>
      </c>
      <c r="BK18" s="372">
        <f t="shared" ca="1" si="41"/>
        <v>7428.2891008935612</v>
      </c>
      <c r="BL18" s="373">
        <f t="shared" ca="1" si="42"/>
        <v>0.51723269697621166</v>
      </c>
      <c r="BM18" s="372">
        <f ca="1">IF(H18&lt;&gt;"",BE18*(1+'Dados Gerais'!A$156),"")</f>
        <v>33764.950458607098</v>
      </c>
      <c r="BN18" s="372">
        <f ca="1">IF(H18&lt;&gt;"",IF('Dados Gerais'!B$13="S",0,BM18*W18),"")</f>
        <v>3292.082669714192</v>
      </c>
      <c r="BO18" s="455" t="str">
        <f t="shared" si="43"/>
        <v>N</v>
      </c>
      <c r="BP18" s="447" t="str">
        <f t="shared" si="44"/>
        <v>N</v>
      </c>
      <c r="BQ18" s="447" t="str">
        <f t="shared" si="45"/>
        <v>N</v>
      </c>
      <c r="BR18" s="374">
        <f t="shared" ca="1" si="46"/>
        <v>37057.033128321287</v>
      </c>
    </row>
    <row r="19" spans="1:70" ht="100.05" customHeight="1" thickBot="1">
      <c r="A19" s="375">
        <v>6</v>
      </c>
      <c r="B19" s="439">
        <v>420</v>
      </c>
      <c r="C19" s="439">
        <v>367.5</v>
      </c>
      <c r="D19" s="440">
        <v>0.04</v>
      </c>
      <c r="E19" s="494">
        <f t="shared" si="12"/>
        <v>4.0000000000000008E-2</v>
      </c>
      <c r="F19" s="494">
        <f t="shared" si="13"/>
        <v>4.2633122875721519E-2</v>
      </c>
      <c r="G19" s="494">
        <f t="shared" si="14"/>
        <v>3.0747601747977731</v>
      </c>
      <c r="H19" s="441" t="s">
        <v>384</v>
      </c>
      <c r="I19" s="442">
        <v>30240</v>
      </c>
      <c r="J19" s="484" t="s">
        <v>310</v>
      </c>
      <c r="K19" s="485" t="s">
        <v>402</v>
      </c>
      <c r="L19" s="443">
        <v>83040000</v>
      </c>
      <c r="M19" s="495">
        <f t="shared" si="15"/>
        <v>1209.6000000000001</v>
      </c>
      <c r="N19" s="495">
        <f t="shared" si="16"/>
        <v>79.625635761818529</v>
      </c>
      <c r="O19" s="495">
        <f>(M19/$M$45)*('Dados Gerais'!$C$41)</f>
        <v>0</v>
      </c>
      <c r="P19" s="495">
        <f t="shared" si="17"/>
        <v>0</v>
      </c>
      <c r="Q19" s="495">
        <f t="shared" si="18"/>
        <v>1289.2256357618187</v>
      </c>
      <c r="R19" s="495">
        <f t="shared" si="19"/>
        <v>6305.8604296382082</v>
      </c>
      <c r="S19" s="496">
        <v>0.14399999999999999</v>
      </c>
      <c r="T19" s="495">
        <f t="shared" si="20"/>
        <v>908.04390186790192</v>
      </c>
      <c r="U19" s="497">
        <f t="shared" si="21"/>
        <v>0.20852713060972911</v>
      </c>
      <c r="V19" s="495">
        <f t="shared" si="22"/>
        <v>6305.8604296382082</v>
      </c>
      <c r="W19" s="369">
        <v>0.13</v>
      </c>
      <c r="X19" s="495">
        <f t="shared" si="23"/>
        <v>937.80756309579431</v>
      </c>
      <c r="Y19" s="496">
        <v>2.1000000000000001E-2</v>
      </c>
      <c r="Z19" s="495">
        <f t="shared" si="24"/>
        <v>132.42306902240239</v>
      </c>
      <c r="AA19" s="496">
        <v>9.6500000000000002E-2</v>
      </c>
      <c r="AB19" s="498">
        <f t="shared" si="25"/>
        <v>608.51553146008712</v>
      </c>
      <c r="AC19" s="498">
        <f>(V19/V$45)*('Dados Gerais'!C$56+'Dados Gerais'!C$57+'Dados Gerais'!C$58+'Dados Gerais'!C$49)</f>
        <v>138.86170484977484</v>
      </c>
      <c r="AD19" s="498">
        <f>(V19/V$45)*('Dados Gerais'!C$72)</f>
        <v>43.774300619594015</v>
      </c>
      <c r="AE19" s="499" t="s">
        <v>367</v>
      </c>
      <c r="AF19" s="351">
        <v>2</v>
      </c>
      <c r="AG19" s="238">
        <f t="shared" si="47"/>
        <v>6</v>
      </c>
      <c r="AI19" s="351" t="str">
        <f t="shared" si="7"/>
        <v>BP00065</v>
      </c>
      <c r="AJ19" s="353">
        <f t="shared" si="8"/>
        <v>30240</v>
      </c>
      <c r="AK19" s="351" t="str">
        <f t="shared" si="9"/>
        <v>Un.</v>
      </c>
      <c r="AL19" s="459" t="str">
        <f t="shared" si="10"/>
        <v>APONTADOR CORAÇÃO C/ DEPÓSITO 1 UNIDADE</v>
      </c>
      <c r="AM19" s="351"/>
      <c r="AN19" s="371">
        <f>IF(I19&lt;&gt;"",IF('Dados Gerais'!B$26="NA",'Dados Gerais'!C$25,0%),"")</f>
        <v>0</v>
      </c>
      <c r="AO19" s="372" t="str">
        <f>IF(I19&lt;&gt;"",'Dados Gerais'!C$64,"")</f>
        <v>DIFERIDO</v>
      </c>
      <c r="AP19" s="372">
        <f t="shared" si="26"/>
        <v>0</v>
      </c>
      <c r="AQ19" s="373">
        <f t="shared" si="27"/>
        <v>0.20852713060972911</v>
      </c>
      <c r="AR19" s="372">
        <f t="shared" si="28"/>
        <v>6305.8604296382082</v>
      </c>
      <c r="AS19" s="372">
        <f t="shared" si="29"/>
        <v>908.04390186790192</v>
      </c>
      <c r="AT19" s="372">
        <f t="shared" si="30"/>
        <v>138.86170484977484</v>
      </c>
      <c r="AU19" s="372">
        <f t="shared" si="31"/>
        <v>132.42306902240239</v>
      </c>
      <c r="AV19" s="372">
        <f t="shared" si="32"/>
        <v>608.51553146008712</v>
      </c>
      <c r="AW19" s="372">
        <f t="shared" si="33"/>
        <v>43.774300619594015</v>
      </c>
      <c r="AX19" s="372">
        <f t="shared" si="11"/>
        <v>937.80756309579431</v>
      </c>
      <c r="AY19" s="374">
        <f t="shared" si="34"/>
        <v>9075.2865005537624</v>
      </c>
      <c r="AZ19" s="351"/>
      <c r="BA19" s="371">
        <f>IF(H19&lt;&gt;"",'Dados Gerais'!C$27,"")</f>
        <v>0.04</v>
      </c>
      <c r="BB19" s="372">
        <f t="shared" ca="1" si="35"/>
        <v>9426.3960543588455</v>
      </c>
      <c r="BC19" s="372">
        <f t="shared" ca="1" si="36"/>
        <v>377.05584217435381</v>
      </c>
      <c r="BD19" s="373">
        <f t="shared" ca="1" si="37"/>
        <v>0.3117194462420253</v>
      </c>
      <c r="BE19" s="372">
        <f ca="1">IF(H19&lt;&gt;"",(R19)*(1+'Dados Gerais'!A$106),"")</f>
        <v>9426.3960543588455</v>
      </c>
      <c r="BF19" s="372">
        <f ca="1">IF(H19&lt;&gt;"",IF('Dados Gerais'!B$11="S",0,BE19*(W19)),"")</f>
        <v>1225.4314870666499</v>
      </c>
      <c r="BG19" s="374">
        <f t="shared" ca="1" si="38"/>
        <v>10651.827541425495</v>
      </c>
      <c r="BI19" s="371">
        <f t="shared" si="39"/>
        <v>0.22</v>
      </c>
      <c r="BJ19" s="372">
        <f t="shared" ca="1" si="40"/>
        <v>12257.655394709178</v>
      </c>
      <c r="BK19" s="372">
        <f t="shared" ca="1" si="41"/>
        <v>2696.6841868360193</v>
      </c>
      <c r="BL19" s="373">
        <f t="shared" ca="1" si="42"/>
        <v>0.40534574717953631</v>
      </c>
      <c r="BM19" s="372">
        <f ca="1">IF(H19&lt;&gt;"",BE19*(1+'Dados Gerais'!A$156),"")</f>
        <v>12257.655394709178</v>
      </c>
      <c r="BN19" s="372">
        <f ca="1">IF(H19&lt;&gt;"",IF('Dados Gerais'!B$13="S",0,BM19*W19),"")</f>
        <v>1593.4952013121931</v>
      </c>
      <c r="BO19" s="455" t="str">
        <f t="shared" si="43"/>
        <v>N</v>
      </c>
      <c r="BP19" s="447" t="str">
        <f t="shared" si="44"/>
        <v>N</v>
      </c>
      <c r="BQ19" s="447" t="str">
        <f t="shared" si="45"/>
        <v>N</v>
      </c>
      <c r="BR19" s="374">
        <f t="shared" ca="1" si="46"/>
        <v>13851.150596021371</v>
      </c>
    </row>
    <row r="20" spans="1:70" ht="100.05" customHeight="1" thickBot="1">
      <c r="A20" s="501">
        <v>7</v>
      </c>
      <c r="B20" s="439">
        <v>564.29999999999995</v>
      </c>
      <c r="C20" s="439">
        <v>494.19</v>
      </c>
      <c r="D20" s="440">
        <v>0.06</v>
      </c>
      <c r="E20" s="494">
        <f t="shared" si="12"/>
        <v>6.0000000000000005E-2</v>
      </c>
      <c r="F20" s="494">
        <f t="shared" si="13"/>
        <v>6.4348414349048672E-2</v>
      </c>
      <c r="G20" s="494">
        <f t="shared" si="14"/>
        <v>2.7729509805318311</v>
      </c>
      <c r="H20" s="508" t="s">
        <v>385</v>
      </c>
      <c r="I20" s="442">
        <v>24624</v>
      </c>
      <c r="J20" s="484" t="s">
        <v>310</v>
      </c>
      <c r="K20" s="485" t="s">
        <v>403</v>
      </c>
      <c r="L20" s="443">
        <v>83040000</v>
      </c>
      <c r="M20" s="495">
        <f t="shared" si="15"/>
        <v>1477.44</v>
      </c>
      <c r="N20" s="495">
        <f t="shared" si="16"/>
        <v>107.07535493097443</v>
      </c>
      <c r="O20" s="495">
        <f>(M20/$M$45)*('Dados Gerais'!$C$41)</f>
        <v>0</v>
      </c>
      <c r="P20" s="495">
        <f t="shared" si="17"/>
        <v>0</v>
      </c>
      <c r="Q20" s="495">
        <f t="shared" si="18"/>
        <v>1584.5153549309746</v>
      </c>
      <c r="R20" s="495">
        <f t="shared" si="19"/>
        <v>7750.1815040383835</v>
      </c>
      <c r="S20" s="496">
        <v>0.14399999999999999</v>
      </c>
      <c r="T20" s="495">
        <f t="shared" si="20"/>
        <v>1116.0261365815272</v>
      </c>
      <c r="U20" s="497">
        <f t="shared" si="21"/>
        <v>0.31474096426406689</v>
      </c>
      <c r="V20" s="495">
        <f t="shared" si="22"/>
        <v>7750.1815040383835</v>
      </c>
      <c r="W20" s="369">
        <v>9.7500000000000003E-2</v>
      </c>
      <c r="X20" s="495">
        <f t="shared" si="23"/>
        <v>864.45524496044129</v>
      </c>
      <c r="Y20" s="496">
        <v>2.1000000000000001E-2</v>
      </c>
      <c r="Z20" s="495">
        <f t="shared" si="24"/>
        <v>162.75381158480607</v>
      </c>
      <c r="AA20" s="496">
        <v>9.6500000000000002E-2</v>
      </c>
      <c r="AB20" s="498">
        <f t="shared" si="25"/>
        <v>747.89251513970407</v>
      </c>
      <c r="AC20" s="498">
        <f>(V20/V$45)*('Dados Gerais'!C$56+'Dados Gerais'!C$57+'Dados Gerais'!C$58+'Dados Gerais'!C$49)</f>
        <v>170.66717992800679</v>
      </c>
      <c r="AD20" s="498">
        <f>(V20/V$45)*('Dados Gerais'!C$72)</f>
        <v>53.800552486008336</v>
      </c>
      <c r="AE20" s="499" t="s">
        <v>367</v>
      </c>
      <c r="AF20" s="351">
        <v>2</v>
      </c>
      <c r="AG20" s="238">
        <f t="shared" si="47"/>
        <v>7</v>
      </c>
      <c r="AI20" s="351" t="str">
        <f t="shared" si="7"/>
        <v>BP00066</v>
      </c>
      <c r="AJ20" s="353">
        <f t="shared" si="8"/>
        <v>24624</v>
      </c>
      <c r="AK20" s="351" t="str">
        <f t="shared" si="9"/>
        <v>Un.</v>
      </c>
      <c r="AL20" s="459" t="str">
        <f t="shared" si="10"/>
        <v>APONTADOR C/ DEPÓSITO - 1 UNIDADE</v>
      </c>
      <c r="AM20" s="351"/>
      <c r="AN20" s="371">
        <f>IF(I20&lt;&gt;"",IF('Dados Gerais'!B$26="NA",'Dados Gerais'!C$25,0%),"")</f>
        <v>0</v>
      </c>
      <c r="AO20" s="372" t="str">
        <f>IF(I20&lt;&gt;"",'Dados Gerais'!C$64,"")</f>
        <v>DIFERIDO</v>
      </c>
      <c r="AP20" s="372">
        <f t="shared" si="26"/>
        <v>0</v>
      </c>
      <c r="AQ20" s="373">
        <f t="shared" si="27"/>
        <v>0.31474096426406689</v>
      </c>
      <c r="AR20" s="372">
        <f t="shared" si="28"/>
        <v>7750.1815040383835</v>
      </c>
      <c r="AS20" s="372">
        <f t="shared" si="29"/>
        <v>1116.0261365815272</v>
      </c>
      <c r="AT20" s="372">
        <f t="shared" si="30"/>
        <v>170.66717992800679</v>
      </c>
      <c r="AU20" s="372">
        <f t="shared" si="31"/>
        <v>162.75381158480607</v>
      </c>
      <c r="AV20" s="372">
        <f t="shared" si="32"/>
        <v>747.89251513970407</v>
      </c>
      <c r="AW20" s="372">
        <f t="shared" si="33"/>
        <v>53.800552486008336</v>
      </c>
      <c r="AX20" s="372">
        <f t="shared" si="11"/>
        <v>864.45524496044129</v>
      </c>
      <c r="AY20" s="374">
        <f t="shared" si="34"/>
        <v>10865.776944718877</v>
      </c>
      <c r="AZ20" s="351"/>
      <c r="BA20" s="371">
        <f>IF(H20&lt;&gt;"",'Dados Gerais'!C$27,"")</f>
        <v>0.04</v>
      </c>
      <c r="BB20" s="372">
        <f t="shared" ca="1" si="35"/>
        <v>11585.457871357272</v>
      </c>
      <c r="BC20" s="372">
        <f t="shared" ca="1" si="36"/>
        <v>463.41831485429088</v>
      </c>
      <c r="BD20" s="373">
        <f t="shared" ca="1" si="37"/>
        <v>0.47049455293036352</v>
      </c>
      <c r="BE20" s="372">
        <f ca="1">IF(H20&lt;&gt;"",(R20)*(1+'Dados Gerais'!A$106),"")</f>
        <v>11585.457871357272</v>
      </c>
      <c r="BF20" s="372">
        <f ca="1">IF(H20&lt;&gt;"",IF('Dados Gerais'!B$11="S",0,BE20*(W20)),"")</f>
        <v>1129.5821424573342</v>
      </c>
      <c r="BG20" s="374">
        <f t="shared" ca="1" si="38"/>
        <v>12715.040013814607</v>
      </c>
      <c r="BI20" s="371">
        <f t="shared" si="39"/>
        <v>0.22</v>
      </c>
      <c r="BJ20" s="372">
        <f t="shared" ca="1" si="40"/>
        <v>15065.20088463199</v>
      </c>
      <c r="BK20" s="372">
        <f t="shared" ca="1" si="41"/>
        <v>3314.3441946190378</v>
      </c>
      <c r="BL20" s="373">
        <f t="shared" ca="1" si="42"/>
        <v>0.6118096525597787</v>
      </c>
      <c r="BM20" s="372">
        <f ca="1">IF(H20&lt;&gt;"",BE20*(1+'Dados Gerais'!A$156),"")</f>
        <v>15065.20088463199</v>
      </c>
      <c r="BN20" s="372">
        <f ca="1">IF(H20&lt;&gt;"",IF('Dados Gerais'!B$13="S",0,BM20*W20),"")</f>
        <v>1468.857086251619</v>
      </c>
      <c r="BO20" s="455" t="str">
        <f t="shared" si="43"/>
        <v>N</v>
      </c>
      <c r="BP20" s="447" t="str">
        <f t="shared" si="44"/>
        <v>N</v>
      </c>
      <c r="BQ20" s="447" t="str">
        <f t="shared" si="45"/>
        <v>N</v>
      </c>
      <c r="BR20" s="374">
        <f t="shared" ca="1" si="46"/>
        <v>16534.057970883609</v>
      </c>
    </row>
    <row r="21" spans="1:70" ht="100.05" customHeight="1" thickBot="1">
      <c r="A21" s="366">
        <v>8</v>
      </c>
      <c r="B21" s="439">
        <v>366.3</v>
      </c>
      <c r="C21" s="439">
        <v>320.79000000000002</v>
      </c>
      <c r="D21" s="440">
        <v>0.06</v>
      </c>
      <c r="E21" s="494">
        <f t="shared" ref="E21:E32" si="48">IF(I21&gt;0,IF(M$11="CFR",(M21-N21)/I21,(M21)/I21),"")</f>
        <v>0.06</v>
      </c>
      <c r="F21" s="494">
        <f t="shared" ref="F21:F32" si="49">IF(I21&gt;0,IF(M$11="CIF",(M21)/I21,IF(M$11="CFR",(M21+P21)/I21,(M21+N21+P21)/I21)),"")</f>
        <v>6.4348414349048658E-2</v>
      </c>
      <c r="G21" s="494">
        <f t="shared" ref="G21:G32" si="50">IF(C21&gt;0,IF(M18="FOB",M21/C21,(M21-N21)/C21),"")</f>
        <v>2.7729509805318306</v>
      </c>
      <c r="H21" s="508" t="s">
        <v>386</v>
      </c>
      <c r="I21" s="442">
        <v>15984</v>
      </c>
      <c r="J21" s="484" t="s">
        <v>310</v>
      </c>
      <c r="K21" s="485" t="s">
        <v>404</v>
      </c>
      <c r="L21" s="443">
        <v>83040000</v>
      </c>
      <c r="M21" s="495">
        <f t="shared" ref="M21:M32" si="51">D21*I21</f>
        <v>959.04</v>
      </c>
      <c r="N21" s="495">
        <f t="shared" ref="N21:N32" si="52">D$3*(C21/D$9)</f>
        <v>69.505054955193927</v>
      </c>
      <c r="O21" s="495">
        <f>(M21/$M$45)*('Dados Gerais'!$C$41)</f>
        <v>0</v>
      </c>
      <c r="P21" s="495">
        <f t="shared" ref="P21:P32" si="53">D$5*(M21/D$2)</f>
        <v>0</v>
      </c>
      <c r="Q21" s="495">
        <f t="shared" ref="Q21:Q32" si="54">IF(M$11="FOB",M21+N21+O21+P21,IF(M$11="CFR",M21+O21+P21,M21+O21))</f>
        <v>1028.5450549551938</v>
      </c>
      <c r="R21" s="495">
        <f t="shared" ref="R21:R32" si="55">Q21*I$6</f>
        <v>5030.8195727968441</v>
      </c>
      <c r="S21" s="496">
        <v>0.14399999999999999</v>
      </c>
      <c r="T21" s="495">
        <f t="shared" ref="T21:T32" si="56">R21*S21</f>
        <v>724.43801848274552</v>
      </c>
      <c r="U21" s="497">
        <f t="shared" ref="U21:U32" si="57">IF(I21&gt;0,R21/I21,"")</f>
        <v>0.31474096426406684</v>
      </c>
      <c r="V21" s="495">
        <f t="shared" ref="V21:V32" si="58">R21</f>
        <v>5030.8195727968441</v>
      </c>
      <c r="W21" s="369">
        <v>9.7500000000000003E-2</v>
      </c>
      <c r="X21" s="495">
        <f t="shared" ref="X21:X32" si="59">W21*(T21+V21)</f>
        <v>561.13761514975999</v>
      </c>
      <c r="Y21" s="496">
        <v>2.1000000000000001E-2</v>
      </c>
      <c r="Z21" s="495">
        <f t="shared" ref="Z21:Z32" si="60">Y21*R21</f>
        <v>105.64721102873374</v>
      </c>
      <c r="AA21" s="496">
        <v>9.6500000000000002E-2</v>
      </c>
      <c r="AB21" s="498">
        <f t="shared" ref="AB21:AB32" si="61">AA21*R21</f>
        <v>485.47408877489545</v>
      </c>
      <c r="AC21" s="498">
        <f>(V21/V$45)*('Dados Gerais'!C$56+'Dados Gerais'!C$57+'Dados Gerais'!C$58+'Dados Gerais'!C$49)</f>
        <v>110.78395890063595</v>
      </c>
      <c r="AD21" s="498">
        <f>(V21/V$45)*('Dados Gerais'!C$72)</f>
        <v>34.923165648812422</v>
      </c>
      <c r="AE21" s="499" t="s">
        <v>367</v>
      </c>
      <c r="AF21" s="351">
        <v>2</v>
      </c>
      <c r="AG21" s="238">
        <f t="shared" si="47"/>
        <v>8</v>
      </c>
      <c r="AI21" s="351" t="str">
        <f t="shared" si="7"/>
        <v>BP00067</v>
      </c>
      <c r="AJ21" s="353">
        <f t="shared" si="8"/>
        <v>15984</v>
      </c>
      <c r="AK21" s="351" t="str">
        <f t="shared" si="9"/>
        <v>Un.</v>
      </c>
      <c r="AL21" s="459" t="str">
        <f t="shared" si="10"/>
        <v>APONTADOR DUPLO SEM DEPÓSITO - 1 UNIDADE</v>
      </c>
      <c r="AM21" s="351"/>
      <c r="AN21" s="371">
        <f>IF(I21&lt;&gt;"",IF('Dados Gerais'!B$26="NA",'Dados Gerais'!C$25,0%),"")</f>
        <v>0</v>
      </c>
      <c r="AO21" s="372" t="str">
        <f>IF(I21&lt;&gt;"",'Dados Gerais'!C$64,"")</f>
        <v>DIFERIDO</v>
      </c>
      <c r="AP21" s="372">
        <f t="shared" si="26"/>
        <v>0</v>
      </c>
      <c r="AQ21" s="373">
        <f t="shared" si="27"/>
        <v>0.31474096426406684</v>
      </c>
      <c r="AR21" s="372">
        <f t="shared" si="28"/>
        <v>5030.8195727968441</v>
      </c>
      <c r="AS21" s="372">
        <f t="shared" si="29"/>
        <v>724.43801848274552</v>
      </c>
      <c r="AT21" s="372">
        <f t="shared" si="30"/>
        <v>110.78395890063595</v>
      </c>
      <c r="AU21" s="372">
        <f t="shared" si="31"/>
        <v>105.64721102873374</v>
      </c>
      <c r="AV21" s="372">
        <f t="shared" si="32"/>
        <v>485.47408877489545</v>
      </c>
      <c r="AW21" s="372">
        <f t="shared" si="33"/>
        <v>34.923165648812422</v>
      </c>
      <c r="AX21" s="372">
        <f t="shared" si="11"/>
        <v>561.13761514975999</v>
      </c>
      <c r="AY21" s="374">
        <f t="shared" si="34"/>
        <v>7053.2236307824278</v>
      </c>
      <c r="AZ21" s="351"/>
      <c r="BA21" s="371">
        <f>IF(H21&lt;&gt;"",'Dados Gerais'!C$27,"")</f>
        <v>0.04</v>
      </c>
      <c r="BB21" s="372">
        <f t="shared" ca="1" si="35"/>
        <v>7520.3849340389279</v>
      </c>
      <c r="BC21" s="372">
        <f t="shared" ca="1" si="36"/>
        <v>300.81539736155713</v>
      </c>
      <c r="BD21" s="373">
        <f t="shared" ca="1" si="37"/>
        <v>0.47049455293036335</v>
      </c>
      <c r="BE21" s="372">
        <f ca="1">IF(H21&lt;&gt;"",(R21)*(1+'Dados Gerais'!A$106),"")</f>
        <v>7520.3849340389279</v>
      </c>
      <c r="BF21" s="372">
        <f ca="1">IF(H21&lt;&gt;"",IF('Dados Gerais'!B$11="S",0,BE21*(W21)),"")</f>
        <v>733.23753106879553</v>
      </c>
      <c r="BG21" s="374">
        <f t="shared" ca="1" si="38"/>
        <v>8253.6224651077227</v>
      </c>
      <c r="BI21" s="371">
        <f t="shared" si="39"/>
        <v>0.22</v>
      </c>
      <c r="BJ21" s="372">
        <f t="shared" ca="1" si="40"/>
        <v>9779.1654865154978</v>
      </c>
      <c r="BK21" s="372">
        <f t="shared" ca="1" si="41"/>
        <v>2151.4164070334095</v>
      </c>
      <c r="BL21" s="373">
        <f t="shared" ca="1" si="42"/>
        <v>0.61180965255977837</v>
      </c>
      <c r="BM21" s="372">
        <f ca="1">IF(H21&lt;&gt;"",BE21*(1+'Dados Gerais'!A$156),"")</f>
        <v>9779.1654865154978</v>
      </c>
      <c r="BN21" s="372">
        <f ca="1">IF(H21&lt;&gt;"",IF('Dados Gerais'!B$13="S",0,BM21*W21),"")</f>
        <v>953.46863493526109</v>
      </c>
      <c r="BO21" s="455" t="str">
        <f t="shared" si="43"/>
        <v>N</v>
      </c>
      <c r="BP21" s="447" t="str">
        <f t="shared" si="44"/>
        <v>N</v>
      </c>
      <c r="BQ21" s="447" t="str">
        <f t="shared" si="45"/>
        <v>N</v>
      </c>
      <c r="BR21" s="374">
        <f t="shared" ca="1" si="46"/>
        <v>10732.634121450759</v>
      </c>
    </row>
    <row r="22" spans="1:70" ht="100.05" customHeight="1" thickBot="1">
      <c r="A22" s="375">
        <v>9</v>
      </c>
      <c r="B22" s="439">
        <v>941.6</v>
      </c>
      <c r="C22" s="439">
        <v>826.04</v>
      </c>
      <c r="D22" s="440">
        <v>0.43</v>
      </c>
      <c r="E22" s="494">
        <f t="shared" si="48"/>
        <v>0.43</v>
      </c>
      <c r="F22" s="494">
        <f t="shared" si="49"/>
        <v>0.46484750045812018</v>
      </c>
      <c r="G22" s="494">
        <f t="shared" si="50"/>
        <v>2.4569067329028802</v>
      </c>
      <c r="H22" s="508" t="s">
        <v>387</v>
      </c>
      <c r="I22" s="442">
        <v>5136</v>
      </c>
      <c r="J22" s="484" t="s">
        <v>310</v>
      </c>
      <c r="K22" s="485" t="s">
        <v>405</v>
      </c>
      <c r="L22" s="443">
        <v>83040000</v>
      </c>
      <c r="M22" s="495">
        <f t="shared" si="51"/>
        <v>2208.48</v>
      </c>
      <c r="N22" s="495">
        <f t="shared" si="52"/>
        <v>178.97676235290498</v>
      </c>
      <c r="O22" s="495">
        <f>(M22/$M$45)*('Dados Gerais'!$C$41)</f>
        <v>0</v>
      </c>
      <c r="P22" s="495">
        <f t="shared" si="53"/>
        <v>0</v>
      </c>
      <c r="Q22" s="495">
        <f t="shared" si="54"/>
        <v>2387.4567623529051</v>
      </c>
      <c r="R22" s="495">
        <f t="shared" si="55"/>
        <v>11677.528516020531</v>
      </c>
      <c r="S22" s="496">
        <v>0.14399999999999999</v>
      </c>
      <c r="T22" s="495">
        <f t="shared" si="56"/>
        <v>1681.5641063069563</v>
      </c>
      <c r="U22" s="497">
        <f t="shared" si="57"/>
        <v>2.2736620942407577</v>
      </c>
      <c r="V22" s="495">
        <f t="shared" si="58"/>
        <v>11677.528516020531</v>
      </c>
      <c r="W22" s="369">
        <v>9.7500000000000003E-2</v>
      </c>
      <c r="X22" s="495">
        <f t="shared" si="59"/>
        <v>1302.5115306769301</v>
      </c>
      <c r="Y22" s="496">
        <v>2.1000000000000001E-2</v>
      </c>
      <c r="Z22" s="495">
        <f t="shared" si="60"/>
        <v>245.22809883643117</v>
      </c>
      <c r="AA22" s="496">
        <v>9.6500000000000002E-2</v>
      </c>
      <c r="AB22" s="498">
        <f t="shared" si="61"/>
        <v>1126.8815017959812</v>
      </c>
      <c r="AC22" s="498">
        <f>(V22/V$45)*('Dados Gerais'!C$56+'Dados Gerais'!C$57+'Dados Gerais'!C$58+'Dados Gerais'!C$49)</f>
        <v>257.15150791237983</v>
      </c>
      <c r="AD22" s="498">
        <f>(V22/V$45)*('Dados Gerais'!C$72)</f>
        <v>81.063583543902269</v>
      </c>
      <c r="AE22" s="499" t="s">
        <v>367</v>
      </c>
      <c r="AF22" s="351">
        <v>2</v>
      </c>
      <c r="AG22" s="238">
        <f t="shared" si="47"/>
        <v>9</v>
      </c>
      <c r="AI22" s="351" t="str">
        <f t="shared" si="7"/>
        <v>BP00119</v>
      </c>
      <c r="AJ22" s="353">
        <f t="shared" si="8"/>
        <v>5136</v>
      </c>
      <c r="AK22" s="351" t="str">
        <f t="shared" si="9"/>
        <v>Un.</v>
      </c>
      <c r="AL22" s="459" t="str">
        <f t="shared" si="10"/>
        <v>COLA BASTÃO 9 gr</v>
      </c>
      <c r="AM22" s="351"/>
      <c r="AN22" s="371">
        <f>IF(I22&lt;&gt;"",IF('Dados Gerais'!B$26="NA",'Dados Gerais'!C$25,0%),"")</f>
        <v>0</v>
      </c>
      <c r="AO22" s="372" t="str">
        <f>IF(I22&lt;&gt;"",'Dados Gerais'!C$64,"")</f>
        <v>DIFERIDO</v>
      </c>
      <c r="AP22" s="372">
        <f t="shared" si="26"/>
        <v>0</v>
      </c>
      <c r="AQ22" s="373">
        <f t="shared" si="27"/>
        <v>2.2736620942407577</v>
      </c>
      <c r="AR22" s="372">
        <f t="shared" si="28"/>
        <v>11677.528516020531</v>
      </c>
      <c r="AS22" s="372">
        <f t="shared" si="29"/>
        <v>1681.5641063069563</v>
      </c>
      <c r="AT22" s="372">
        <f t="shared" si="30"/>
        <v>257.15150791237983</v>
      </c>
      <c r="AU22" s="372">
        <f t="shared" si="31"/>
        <v>245.22809883643117</v>
      </c>
      <c r="AV22" s="372">
        <f t="shared" si="32"/>
        <v>1126.8815017959812</v>
      </c>
      <c r="AW22" s="372">
        <f t="shared" si="33"/>
        <v>81.063583543902269</v>
      </c>
      <c r="AX22" s="372">
        <f t="shared" si="11"/>
        <v>1302.5115306769301</v>
      </c>
      <c r="AY22" s="374">
        <f t="shared" si="34"/>
        <v>16371.928845093111</v>
      </c>
      <c r="AZ22" s="351"/>
      <c r="BA22" s="371">
        <f>IF(H22&lt;&gt;"",'Dados Gerais'!C$27,"")</f>
        <v>0.04</v>
      </c>
      <c r="BB22" s="372">
        <f t="shared" ca="1" si="35"/>
        <v>17456.302745094912</v>
      </c>
      <c r="BC22" s="372">
        <f t="shared" ca="1" si="36"/>
        <v>698.25210980379654</v>
      </c>
      <c r="BD22" s="373">
        <f t="shared" ca="1" si="37"/>
        <v>3.398812839777047</v>
      </c>
      <c r="BE22" s="372">
        <f ca="1">IF(H22&lt;&gt;"",(R22)*(1+'Dados Gerais'!A$106),"")</f>
        <v>17456.302745094912</v>
      </c>
      <c r="BF22" s="372">
        <f ca="1">IF(H22&lt;&gt;"",IF('Dados Gerais'!B$11="S",0,BE22*(W22)),"")</f>
        <v>1701.9895176467539</v>
      </c>
      <c r="BG22" s="374">
        <f t="shared" ca="1" si="38"/>
        <v>19158.292262741666</v>
      </c>
      <c r="BI22" s="371">
        <f t="shared" si="39"/>
        <v>0.22</v>
      </c>
      <c r="BJ22" s="372">
        <f t="shared" ca="1" si="40"/>
        <v>22699.379729132663</v>
      </c>
      <c r="BK22" s="372">
        <f t="shared" ca="1" si="41"/>
        <v>4993.8635404091856</v>
      </c>
      <c r="BL22" s="373">
        <f t="shared" ca="1" si="42"/>
        <v>4.4196611622143038</v>
      </c>
      <c r="BM22" s="372">
        <f ca="1">IF(H22&lt;&gt;"",BE22*(1+'Dados Gerais'!A$156),"")</f>
        <v>22699.379729132663</v>
      </c>
      <c r="BN22" s="372">
        <f ca="1">IF(H22&lt;&gt;"",IF('Dados Gerais'!B$13="S",0,BM22*W22),"")</f>
        <v>2213.1895235904349</v>
      </c>
      <c r="BO22" s="455" t="str">
        <f t="shared" si="43"/>
        <v>N</v>
      </c>
      <c r="BP22" s="447" t="str">
        <f t="shared" si="44"/>
        <v>N</v>
      </c>
      <c r="BQ22" s="447" t="str">
        <f t="shared" si="45"/>
        <v>N</v>
      </c>
      <c r="BR22" s="374">
        <f t="shared" ca="1" si="46"/>
        <v>24912.569252723097</v>
      </c>
    </row>
    <row r="23" spans="1:70" ht="100.05" customHeight="1" thickBot="1">
      <c r="A23" s="375">
        <v>10</v>
      </c>
      <c r="B23" s="439">
        <v>247.8</v>
      </c>
      <c r="C23" s="439">
        <v>217.12</v>
      </c>
      <c r="D23" s="440">
        <v>0.05</v>
      </c>
      <c r="E23" s="494">
        <f t="shared" si="48"/>
        <v>4.9999999999999996E-2</v>
      </c>
      <c r="F23" s="494">
        <f t="shared" si="49"/>
        <v>5.4152810935423637E-2</v>
      </c>
      <c r="G23" s="494">
        <f t="shared" si="50"/>
        <v>2.3920272555431144</v>
      </c>
      <c r="H23" s="508" t="s">
        <v>388</v>
      </c>
      <c r="I23" s="442">
        <v>11328</v>
      </c>
      <c r="J23" s="484" t="s">
        <v>310</v>
      </c>
      <c r="K23" s="485" t="s">
        <v>406</v>
      </c>
      <c r="L23" s="443">
        <v>83040000</v>
      </c>
      <c r="M23" s="495">
        <f t="shared" si="51"/>
        <v>566.4</v>
      </c>
      <c r="N23" s="495">
        <f t="shared" si="52"/>
        <v>47.043042276479021</v>
      </c>
      <c r="O23" s="495">
        <f>(M23/$M$45)*('Dados Gerais'!$C$41)</f>
        <v>0</v>
      </c>
      <c r="P23" s="495">
        <f t="shared" si="53"/>
        <v>0</v>
      </c>
      <c r="Q23" s="495">
        <f t="shared" si="54"/>
        <v>613.44304227647899</v>
      </c>
      <c r="R23" s="495">
        <f t="shared" si="55"/>
        <v>3000.4726083827145</v>
      </c>
      <c r="S23" s="496">
        <v>0.14399999999999999</v>
      </c>
      <c r="T23" s="495">
        <f t="shared" si="56"/>
        <v>432.06805560711086</v>
      </c>
      <c r="U23" s="497">
        <f t="shared" si="57"/>
        <v>0.26487222884734413</v>
      </c>
      <c r="V23" s="495">
        <f t="shared" si="58"/>
        <v>3000.4726083827145</v>
      </c>
      <c r="W23" s="369">
        <v>9.7500000000000003E-2</v>
      </c>
      <c r="X23" s="495">
        <f t="shared" si="59"/>
        <v>334.67271473900803</v>
      </c>
      <c r="Y23" s="496">
        <v>2.1000000000000001E-2</v>
      </c>
      <c r="Z23" s="495">
        <f t="shared" si="60"/>
        <v>63.00992477603701</v>
      </c>
      <c r="AA23" s="496">
        <v>9.6500000000000002E-2</v>
      </c>
      <c r="AB23" s="498">
        <f t="shared" si="61"/>
        <v>289.54560670893198</v>
      </c>
      <c r="AC23" s="498">
        <f>(V23/V$45)*('Dados Gerais'!C$56+'Dados Gerais'!C$57+'Dados Gerais'!C$58+'Dados Gerais'!C$49)</f>
        <v>66.073574955254671</v>
      </c>
      <c r="AD23" s="498">
        <f>(V23/V$45)*('Dados Gerais'!C$72)</f>
        <v>20.828813359533555</v>
      </c>
      <c r="AE23" s="499" t="s">
        <v>367</v>
      </c>
      <c r="AF23" s="351">
        <v>4</v>
      </c>
      <c r="AG23" s="238">
        <f t="shared" si="47"/>
        <v>10</v>
      </c>
      <c r="AI23" s="351" t="str">
        <f t="shared" si="7"/>
        <v xml:space="preserve"> BP00015 </v>
      </c>
      <c r="AJ23" s="353">
        <f t="shared" si="8"/>
        <v>11328</v>
      </c>
      <c r="AK23" s="351" t="str">
        <f t="shared" si="9"/>
        <v>Un.</v>
      </c>
      <c r="AL23" s="459" t="str">
        <f t="shared" si="10"/>
        <v>COLA BASTÃO 9 gr 3 UND</v>
      </c>
      <c r="AM23" s="351"/>
      <c r="AN23" s="371">
        <f>IF(I23&lt;&gt;"",IF('Dados Gerais'!B$26="NA",'Dados Gerais'!C$25,0%),"")</f>
        <v>0</v>
      </c>
      <c r="AO23" s="372" t="str">
        <f>IF(I23&lt;&gt;"",'Dados Gerais'!C$64,"")</f>
        <v>DIFERIDO</v>
      </c>
      <c r="AP23" s="372">
        <f t="shared" si="26"/>
        <v>0</v>
      </c>
      <c r="AQ23" s="373">
        <f t="shared" si="27"/>
        <v>0.26487222884734413</v>
      </c>
      <c r="AR23" s="372">
        <f t="shared" si="28"/>
        <v>3000.472608382714</v>
      </c>
      <c r="AS23" s="372">
        <f t="shared" si="29"/>
        <v>432.06805560711086</v>
      </c>
      <c r="AT23" s="372">
        <f t="shared" si="30"/>
        <v>66.073574955254671</v>
      </c>
      <c r="AU23" s="372">
        <f t="shared" si="31"/>
        <v>63.00992477603701</v>
      </c>
      <c r="AV23" s="372">
        <f t="shared" si="32"/>
        <v>289.54560670893198</v>
      </c>
      <c r="AW23" s="372">
        <f t="shared" si="33"/>
        <v>20.828813359533555</v>
      </c>
      <c r="AX23" s="372">
        <f t="shared" si="11"/>
        <v>334.67271473900803</v>
      </c>
      <c r="AY23" s="374">
        <f t="shared" si="34"/>
        <v>4206.6712985285903</v>
      </c>
      <c r="AZ23" s="351"/>
      <c r="BA23" s="371">
        <f>IF(H23&lt;&gt;"",'Dados Gerais'!C$27,"")</f>
        <v>0.04</v>
      </c>
      <c r="BB23" s="372">
        <f t="shared" ca="1" si="35"/>
        <v>4485.2948257361531</v>
      </c>
      <c r="BC23" s="372">
        <f t="shared" ca="1" si="36"/>
        <v>179.41179302944613</v>
      </c>
      <c r="BD23" s="373">
        <f t="shared" ca="1" si="37"/>
        <v>0.39594763645269715</v>
      </c>
      <c r="BE23" s="372">
        <f ca="1">IF(H23&lt;&gt;"",(R23)*(1+'Dados Gerais'!A$106),"")</f>
        <v>4485.2948257361531</v>
      </c>
      <c r="BF23" s="372">
        <f ca="1">IF(H23&lt;&gt;"",IF('Dados Gerais'!B$11="S",0,BE23*(W23)),"")</f>
        <v>437.31624550927495</v>
      </c>
      <c r="BG23" s="374">
        <f t="shared" ca="1" si="38"/>
        <v>4922.6110712454283</v>
      </c>
      <c r="BI23" s="371">
        <f t="shared" si="39"/>
        <v>0.22</v>
      </c>
      <c r="BJ23" s="372">
        <f t="shared" ca="1" si="40"/>
        <v>5832.4727711947853</v>
      </c>
      <c r="BK23" s="372">
        <f t="shared" ca="1" si="41"/>
        <v>1283.1440096628528</v>
      </c>
      <c r="BL23" s="373">
        <f t="shared" ca="1" si="42"/>
        <v>0.51487224321987868</v>
      </c>
      <c r="BM23" s="372">
        <f ca="1">IF(H23&lt;&gt;"",BE23*(1+'Dados Gerais'!A$156),"")</f>
        <v>5832.4727711947853</v>
      </c>
      <c r="BN23" s="372">
        <f ca="1">IF(H23&lt;&gt;"",IF('Dados Gerais'!B$13="S",0,BM23*W23),"")</f>
        <v>568.66609519149154</v>
      </c>
      <c r="BO23" s="455" t="str">
        <f t="shared" si="43"/>
        <v>N</v>
      </c>
      <c r="BP23" s="447" t="str">
        <f t="shared" si="44"/>
        <v>N</v>
      </c>
      <c r="BQ23" s="447" t="str">
        <f t="shared" si="45"/>
        <v>N</v>
      </c>
      <c r="BR23" s="374">
        <f t="shared" ca="1" si="46"/>
        <v>6401.1388663862772</v>
      </c>
    </row>
    <row r="24" spans="1:70" ht="100.05" customHeight="1" thickBot="1">
      <c r="A24" s="375">
        <v>11</v>
      </c>
      <c r="B24" s="439">
        <v>1544.25</v>
      </c>
      <c r="C24" s="439">
        <v>1352.55</v>
      </c>
      <c r="D24" s="440">
        <v>0.1</v>
      </c>
      <c r="E24" s="494">
        <f t="shared" si="48"/>
        <v>0.1</v>
      </c>
      <c r="F24" s="494">
        <f t="shared" si="49"/>
        <v>0.10955447443476092</v>
      </c>
      <c r="G24" s="494">
        <f t="shared" si="50"/>
        <v>2.0510481388022725</v>
      </c>
      <c r="H24" s="508" t="s">
        <v>389</v>
      </c>
      <c r="I24" s="442">
        <v>30672</v>
      </c>
      <c r="J24" s="484" t="s">
        <v>310</v>
      </c>
      <c r="K24" s="485" t="s">
        <v>407</v>
      </c>
      <c r="L24" s="443">
        <v>83040000</v>
      </c>
      <c r="M24" s="495">
        <f t="shared" si="51"/>
        <v>3067.2000000000003</v>
      </c>
      <c r="N24" s="495">
        <f t="shared" si="52"/>
        <v>293.0548398629868</v>
      </c>
      <c r="O24" s="495">
        <f>(M24/$M$45)*('Dados Gerais'!$C$41)</f>
        <v>0</v>
      </c>
      <c r="P24" s="495">
        <f t="shared" si="53"/>
        <v>0</v>
      </c>
      <c r="Q24" s="495">
        <f t="shared" si="54"/>
        <v>3360.254839862987</v>
      </c>
      <c r="R24" s="495">
        <f t="shared" si="55"/>
        <v>16435.678472737844</v>
      </c>
      <c r="S24" s="496">
        <v>0.14399999999999999</v>
      </c>
      <c r="T24" s="495">
        <f t="shared" si="56"/>
        <v>2366.7377000742495</v>
      </c>
      <c r="U24" s="497">
        <f t="shared" si="57"/>
        <v>0.53585284535530264</v>
      </c>
      <c r="V24" s="495">
        <f t="shared" si="58"/>
        <v>16435.678472737844</v>
      </c>
      <c r="W24" s="369">
        <v>6.5000000000000002E-2</v>
      </c>
      <c r="X24" s="495">
        <f t="shared" si="59"/>
        <v>1222.157051232786</v>
      </c>
      <c r="Y24" s="496">
        <v>2.1000000000000001E-2</v>
      </c>
      <c r="Z24" s="495">
        <f t="shared" si="60"/>
        <v>345.14924792749474</v>
      </c>
      <c r="AA24" s="496">
        <v>9.6500000000000002E-2</v>
      </c>
      <c r="AB24" s="498">
        <f t="shared" si="61"/>
        <v>1586.0429726192019</v>
      </c>
      <c r="AC24" s="498">
        <f>(V24/V$45)*('Dados Gerais'!C$56+'Dados Gerais'!C$57+'Dados Gerais'!C$58+'Dados Gerais'!C$49)</f>
        <v>361.93099396239961</v>
      </c>
      <c r="AD24" s="498">
        <f>(V24/V$45)*('Dados Gerais'!C$72)</f>
        <v>114.09391920110964</v>
      </c>
      <c r="AE24" s="499" t="s">
        <v>367</v>
      </c>
      <c r="AF24" s="351">
        <v>4</v>
      </c>
      <c r="AG24" s="238">
        <f t="shared" si="47"/>
        <v>11</v>
      </c>
      <c r="AI24" s="351" t="str">
        <f t="shared" si="7"/>
        <v>BP00011</v>
      </c>
      <c r="AJ24" s="353">
        <f t="shared" si="8"/>
        <v>30672</v>
      </c>
      <c r="AK24" s="351" t="str">
        <f t="shared" si="9"/>
        <v>Un.</v>
      </c>
      <c r="AL24" s="459" t="str">
        <f t="shared" si="10"/>
        <v>COLA BASTÃO 21 gr 1 UND</v>
      </c>
      <c r="AM24" s="351"/>
      <c r="AN24" s="371">
        <f>IF(I24&lt;&gt;"",IF('Dados Gerais'!B$26="NA",'Dados Gerais'!C$25,0%),"")</f>
        <v>0</v>
      </c>
      <c r="AO24" s="372" t="str">
        <f>IF(I24&lt;&gt;"",'Dados Gerais'!C$64,"")</f>
        <v>DIFERIDO</v>
      </c>
      <c r="AP24" s="372">
        <f t="shared" si="26"/>
        <v>0</v>
      </c>
      <c r="AQ24" s="373">
        <f t="shared" si="27"/>
        <v>0.53585284535530264</v>
      </c>
      <c r="AR24" s="372">
        <f t="shared" si="28"/>
        <v>16435.678472737844</v>
      </c>
      <c r="AS24" s="372">
        <f t="shared" si="29"/>
        <v>2366.7377000742495</v>
      </c>
      <c r="AT24" s="372">
        <f t="shared" si="30"/>
        <v>361.93099396239961</v>
      </c>
      <c r="AU24" s="372">
        <f t="shared" si="31"/>
        <v>345.14924792749474</v>
      </c>
      <c r="AV24" s="372">
        <f t="shared" si="32"/>
        <v>1586.0429726192019</v>
      </c>
      <c r="AW24" s="372">
        <f t="shared" si="33"/>
        <v>114.09391920110964</v>
      </c>
      <c r="AX24" s="372">
        <f t="shared" si="11"/>
        <v>1222.157051232786</v>
      </c>
      <c r="AY24" s="374">
        <f t="shared" si="34"/>
        <v>22431.790357755082</v>
      </c>
      <c r="AZ24" s="351"/>
      <c r="BA24" s="371">
        <f>IF(H24&lt;&gt;"",'Dados Gerais'!C$27,"")</f>
        <v>0.04</v>
      </c>
      <c r="BB24" s="372">
        <f t="shared" ca="1" si="35"/>
        <v>24569.084018723755</v>
      </c>
      <c r="BC24" s="372">
        <f t="shared" ca="1" si="36"/>
        <v>982.76336074895028</v>
      </c>
      <c r="BD24" s="373">
        <f t="shared" ca="1" si="37"/>
        <v>0.80102647426720641</v>
      </c>
      <c r="BE24" s="372">
        <f ca="1">IF(H24&lt;&gt;"",(R24)*(1+'Dados Gerais'!A$106),"")</f>
        <v>24569.084018723755</v>
      </c>
      <c r="BF24" s="372">
        <f ca="1">IF(H24&lt;&gt;"",IF('Dados Gerais'!B$11="S",0,BE24*(W24)),"")</f>
        <v>1596.9904612170442</v>
      </c>
      <c r="BG24" s="374">
        <f t="shared" ca="1" si="38"/>
        <v>26166.074479940798</v>
      </c>
      <c r="BI24" s="371">
        <f t="shared" si="39"/>
        <v>0.22</v>
      </c>
      <c r="BJ24" s="372">
        <f t="shared" ca="1" si="40"/>
        <v>31948.516010624619</v>
      </c>
      <c r="BK24" s="372">
        <f t="shared" ca="1" si="41"/>
        <v>7028.6735223374162</v>
      </c>
      <c r="BL24" s="373">
        <f t="shared" ca="1" si="42"/>
        <v>1.0416182841231292</v>
      </c>
      <c r="BM24" s="372">
        <f ca="1">IF(H24&lt;&gt;"",BE24*(1+'Dados Gerais'!A$156),"")</f>
        <v>31948.516010624619</v>
      </c>
      <c r="BN24" s="372">
        <f ca="1">IF(H24&lt;&gt;"",IF('Dados Gerais'!B$13="S",0,BM24*W24),"")</f>
        <v>2076.6535406906005</v>
      </c>
      <c r="BO24" s="455" t="str">
        <f t="shared" si="43"/>
        <v>N</v>
      </c>
      <c r="BP24" s="447" t="str">
        <f t="shared" si="44"/>
        <v>N</v>
      </c>
      <c r="BQ24" s="447" t="str">
        <f t="shared" si="45"/>
        <v>N</v>
      </c>
      <c r="BR24" s="374">
        <f t="shared" ca="1" si="46"/>
        <v>34025.169551315223</v>
      </c>
    </row>
    <row r="25" spans="1:70" ht="100.05" customHeight="1" thickBot="1">
      <c r="A25" s="375">
        <v>12</v>
      </c>
      <c r="B25" s="439">
        <v>273</v>
      </c>
      <c r="C25" s="439">
        <v>239.4</v>
      </c>
      <c r="D25" s="440">
        <v>0.05</v>
      </c>
      <c r="E25" s="494">
        <f t="shared" si="48"/>
        <v>0.05</v>
      </c>
      <c r="F25" s="494">
        <f t="shared" si="49"/>
        <v>5.5145874419981471E-2</v>
      </c>
      <c r="G25" s="494">
        <f t="shared" si="50"/>
        <v>1.888594761263938</v>
      </c>
      <c r="H25" s="508" t="s">
        <v>390</v>
      </c>
      <c r="I25" s="442">
        <v>10080</v>
      </c>
      <c r="J25" s="484" t="s">
        <v>310</v>
      </c>
      <c r="K25" s="485" t="s">
        <v>408</v>
      </c>
      <c r="L25" s="443">
        <v>83040000</v>
      </c>
      <c r="M25" s="495">
        <f t="shared" si="51"/>
        <v>504</v>
      </c>
      <c r="N25" s="495">
        <f t="shared" si="52"/>
        <v>51.870414153413208</v>
      </c>
      <c r="O25" s="495">
        <f>(M25/$M$45)*('Dados Gerais'!$C$41)</f>
        <v>0</v>
      </c>
      <c r="P25" s="495">
        <f t="shared" si="53"/>
        <v>0</v>
      </c>
      <c r="Q25" s="495">
        <f t="shared" si="54"/>
        <v>555.87041415341321</v>
      </c>
      <c r="R25" s="495">
        <f t="shared" si="55"/>
        <v>2718.8733697071748</v>
      </c>
      <c r="S25" s="496">
        <v>0.14399999999999999</v>
      </c>
      <c r="T25" s="495">
        <f t="shared" si="56"/>
        <v>391.51776523783315</v>
      </c>
      <c r="U25" s="497">
        <f t="shared" si="57"/>
        <v>0.26972950096301335</v>
      </c>
      <c r="V25" s="495">
        <f t="shared" si="58"/>
        <v>2718.8733697071748</v>
      </c>
      <c r="W25" s="369">
        <v>6.5000000000000002E-2</v>
      </c>
      <c r="X25" s="495">
        <f t="shared" si="59"/>
        <v>202.17542377142553</v>
      </c>
      <c r="Y25" s="496">
        <v>2.1000000000000001E-2</v>
      </c>
      <c r="Z25" s="495">
        <f t="shared" si="60"/>
        <v>57.096340763850677</v>
      </c>
      <c r="AA25" s="496">
        <v>9.6500000000000002E-2</v>
      </c>
      <c r="AB25" s="498">
        <f t="shared" si="61"/>
        <v>262.37128017674235</v>
      </c>
      <c r="AC25" s="498">
        <f>(V25/V$45)*('Dados Gerais'!C$56+'Dados Gerais'!C$57+'Dados Gerais'!C$58+'Dados Gerais'!C$49)</f>
        <v>59.872462386525086</v>
      </c>
      <c r="AD25" s="498">
        <f>(V25/V$45)*('Dados Gerais'!C$72)</f>
        <v>18.873995319144562</v>
      </c>
      <c r="AE25" s="499" t="s">
        <v>367</v>
      </c>
      <c r="AF25" s="351">
        <v>4</v>
      </c>
      <c r="AG25" s="238">
        <f t="shared" si="47"/>
        <v>12</v>
      </c>
      <c r="AI25" s="351" t="str">
        <f t="shared" si="7"/>
        <v>BP00013</v>
      </c>
      <c r="AJ25" s="353">
        <f t="shared" si="8"/>
        <v>10080</v>
      </c>
      <c r="AK25" s="351" t="str">
        <f t="shared" si="9"/>
        <v>Un.</v>
      </c>
      <c r="AL25" s="459" t="e">
        <f>#REF!</f>
        <v>#REF!</v>
      </c>
      <c r="AM25" s="351"/>
      <c r="AN25" s="371">
        <f>IF(I25&lt;&gt;"",IF('Dados Gerais'!B$26="NA",'Dados Gerais'!C$25,0%),"")</f>
        <v>0</v>
      </c>
      <c r="AO25" s="372" t="str">
        <f>IF(I25&lt;&gt;"",'Dados Gerais'!C$64,"")</f>
        <v>DIFERIDO</v>
      </c>
      <c r="AP25" s="372">
        <f t="shared" si="26"/>
        <v>0</v>
      </c>
      <c r="AQ25" s="373">
        <f t="shared" si="27"/>
        <v>0.26972950096301335</v>
      </c>
      <c r="AR25" s="372">
        <f t="shared" si="28"/>
        <v>2718.8733697071743</v>
      </c>
      <c r="AS25" s="372">
        <f t="shared" si="29"/>
        <v>391.51776523783315</v>
      </c>
      <c r="AT25" s="372">
        <f t="shared" si="30"/>
        <v>59.872462386525086</v>
      </c>
      <c r="AU25" s="372">
        <f t="shared" si="31"/>
        <v>57.096340763850677</v>
      </c>
      <c r="AV25" s="372">
        <f t="shared" si="32"/>
        <v>262.37128017674235</v>
      </c>
      <c r="AW25" s="372">
        <f t="shared" si="33"/>
        <v>18.873995319144562</v>
      </c>
      <c r="AX25" s="372">
        <f t="shared" si="11"/>
        <v>202.17542377142553</v>
      </c>
      <c r="AY25" s="374">
        <f t="shared" si="34"/>
        <v>3710.780637362695</v>
      </c>
      <c r="AZ25" s="351"/>
      <c r="BA25" s="371">
        <f>IF(H25&lt;&gt;"",'Dados Gerais'!C$27,"")</f>
        <v>0.04</v>
      </c>
      <c r="BB25" s="372">
        <f t="shared" ca="1" si="35"/>
        <v>4064.3426048647093</v>
      </c>
      <c r="BC25" s="372">
        <f t="shared" ca="1" si="36"/>
        <v>162.57370419458837</v>
      </c>
      <c r="BD25" s="373">
        <f t="shared" ca="1" si="37"/>
        <v>0.40320859175245133</v>
      </c>
      <c r="BE25" s="372">
        <f ca="1">IF(H25&lt;&gt;"",(R25)*(1+'Dados Gerais'!A$106),"")</f>
        <v>4064.3426048647093</v>
      </c>
      <c r="BF25" s="372">
        <f ca="1">IF(H25&lt;&gt;"",IF('Dados Gerais'!B$11="S",0,BE25*(W25)),"")</f>
        <v>264.18226931620609</v>
      </c>
      <c r="BG25" s="374">
        <f t="shared" ca="1" si="38"/>
        <v>4328.5248741809155</v>
      </c>
      <c r="BI25" s="371">
        <f t="shared" si="39"/>
        <v>0.22</v>
      </c>
      <c r="BJ25" s="372">
        <f t="shared" ca="1" si="40"/>
        <v>5285.0857071117216</v>
      </c>
      <c r="BK25" s="372">
        <f t="shared" ca="1" si="41"/>
        <v>1162.7188555645787</v>
      </c>
      <c r="BL25" s="373">
        <f t="shared" ca="1" si="42"/>
        <v>0.52431405824521049</v>
      </c>
      <c r="BM25" s="372">
        <f ca="1">IF(H25&lt;&gt;"",BE25*(1+'Dados Gerais'!A$156),"")</f>
        <v>5285.0857071117216</v>
      </c>
      <c r="BN25" s="372">
        <f ca="1">IF(H25&lt;&gt;"",IF('Dados Gerais'!B$13="S",0,BM25*W25),"")</f>
        <v>343.53057096226189</v>
      </c>
      <c r="BO25" s="455" t="str">
        <f t="shared" si="43"/>
        <v>N</v>
      </c>
      <c r="BP25" s="447" t="str">
        <f t="shared" si="44"/>
        <v>N</v>
      </c>
      <c r="BQ25" s="447" t="str">
        <f t="shared" si="45"/>
        <v>N</v>
      </c>
      <c r="BR25" s="374">
        <f t="shared" ca="1" si="46"/>
        <v>5628.6162780739833</v>
      </c>
    </row>
    <row r="26" spans="1:70" ht="100.05" customHeight="1" thickBot="1">
      <c r="A26" s="375">
        <v>13</v>
      </c>
      <c r="B26" s="439">
        <v>534.52</v>
      </c>
      <c r="C26" s="439">
        <v>468.51</v>
      </c>
      <c r="D26" s="440">
        <v>7.0000000000000007E-2</v>
      </c>
      <c r="E26" s="494">
        <f t="shared" si="48"/>
        <v>7.0000000000000007E-2</v>
      </c>
      <c r="F26" s="494">
        <f t="shared" si="49"/>
        <v>7.6567760772871085E-2</v>
      </c>
      <c r="G26" s="494">
        <f t="shared" si="50"/>
        <v>2.0926099538846654</v>
      </c>
      <c r="H26" s="508" t="s">
        <v>391</v>
      </c>
      <c r="I26" s="442">
        <v>15456</v>
      </c>
      <c r="J26" s="484" t="s">
        <v>310</v>
      </c>
      <c r="K26" s="485" t="s">
        <v>409</v>
      </c>
      <c r="L26" s="443">
        <v>83040000</v>
      </c>
      <c r="M26" s="495">
        <f t="shared" si="51"/>
        <v>1081.92</v>
      </c>
      <c r="N26" s="495">
        <f t="shared" si="52"/>
        <v>101.5113105054955</v>
      </c>
      <c r="O26" s="495">
        <f>(M26/$M$45)*('Dados Gerais'!$C$41)</f>
        <v>0</v>
      </c>
      <c r="P26" s="495">
        <f t="shared" si="53"/>
        <v>0</v>
      </c>
      <c r="Q26" s="495">
        <f t="shared" si="54"/>
        <v>1183.4313105054955</v>
      </c>
      <c r="R26" s="495">
        <f t="shared" si="55"/>
        <v>5788.3992259444803</v>
      </c>
      <c r="S26" s="496">
        <v>0.14399999999999999</v>
      </c>
      <c r="T26" s="495">
        <f t="shared" si="56"/>
        <v>833.52948853600515</v>
      </c>
      <c r="U26" s="497">
        <f t="shared" si="57"/>
        <v>0.37450823149226709</v>
      </c>
      <c r="V26" s="495">
        <f t="shared" si="58"/>
        <v>5788.3992259444803</v>
      </c>
      <c r="W26" s="369">
        <v>6.5000000000000002E-2</v>
      </c>
      <c r="X26" s="495">
        <f t="shared" si="59"/>
        <v>430.42536644123157</v>
      </c>
      <c r="Y26" s="496">
        <v>2.1000000000000001E-2</v>
      </c>
      <c r="Z26" s="495">
        <f t="shared" si="60"/>
        <v>121.55638374483409</v>
      </c>
      <c r="AA26" s="496">
        <v>9.6500000000000002E-2</v>
      </c>
      <c r="AB26" s="498">
        <f t="shared" si="61"/>
        <v>558.58052530364239</v>
      </c>
      <c r="AC26" s="498">
        <f>(V26/V$45)*('Dados Gerais'!C$56+'Dados Gerais'!C$57+'Dados Gerais'!C$58+'Dados Gerais'!C$49)</f>
        <v>127.46666277101285</v>
      </c>
      <c r="AD26" s="498">
        <f>(V26/V$45)*('Dados Gerais'!C$72)</f>
        <v>40.182165566461258</v>
      </c>
      <c r="AE26" s="499" t="s">
        <v>367</v>
      </c>
      <c r="AF26" s="351">
        <v>4</v>
      </c>
      <c r="AG26" s="238">
        <f t="shared" si="47"/>
        <v>13</v>
      </c>
      <c r="AI26" s="351" t="str">
        <f t="shared" si="7"/>
        <v>BP00016</v>
      </c>
      <c r="AJ26" s="353">
        <f t="shared" si="8"/>
        <v>15456</v>
      </c>
      <c r="AK26" s="351" t="str">
        <f t="shared" si="9"/>
        <v>Un.</v>
      </c>
      <c r="AL26" s="459" t="e">
        <f>#REF!</f>
        <v>#REF!</v>
      </c>
      <c r="AM26" s="351"/>
      <c r="AN26" s="371">
        <f>IF(I26&lt;&gt;"",IF('Dados Gerais'!B$26="NA",'Dados Gerais'!C$25,0%),"")</f>
        <v>0</v>
      </c>
      <c r="AO26" s="372" t="str">
        <f>IF(I26&lt;&gt;"",'Dados Gerais'!C$64,"")</f>
        <v>DIFERIDO</v>
      </c>
      <c r="AP26" s="372">
        <f t="shared" si="26"/>
        <v>0</v>
      </c>
      <c r="AQ26" s="373">
        <f t="shared" si="27"/>
        <v>0.37450823149226709</v>
      </c>
      <c r="AR26" s="372">
        <f t="shared" si="28"/>
        <v>5788.3992259444803</v>
      </c>
      <c r="AS26" s="372">
        <f t="shared" si="29"/>
        <v>833.52948853600515</v>
      </c>
      <c r="AT26" s="372">
        <f t="shared" si="30"/>
        <v>127.46666277101285</v>
      </c>
      <c r="AU26" s="372">
        <f t="shared" si="31"/>
        <v>121.55638374483409</v>
      </c>
      <c r="AV26" s="372">
        <f t="shared" si="32"/>
        <v>558.58052530364239</v>
      </c>
      <c r="AW26" s="372">
        <f t="shared" si="33"/>
        <v>40.182165566461258</v>
      </c>
      <c r="AX26" s="372">
        <f t="shared" si="11"/>
        <v>430.42536644123157</v>
      </c>
      <c r="AY26" s="374">
        <f t="shared" si="34"/>
        <v>7900.139818307669</v>
      </c>
      <c r="AZ26" s="351"/>
      <c r="BA26" s="371">
        <f>IF(H26&lt;&gt;"",'Dados Gerais'!C$27,"")</f>
        <v>0.04</v>
      </c>
      <c r="BB26" s="372">
        <f t="shared" ca="1" si="35"/>
        <v>8652.8625606810929</v>
      </c>
      <c r="BC26" s="372">
        <f t="shared" ca="1" si="36"/>
        <v>346.11450242724374</v>
      </c>
      <c r="BD26" s="373">
        <f t="shared" ca="1" si="37"/>
        <v>0.5598384161931349</v>
      </c>
      <c r="BE26" s="372">
        <f ca="1">IF(H26&lt;&gt;"",(R26)*(1+'Dados Gerais'!A$106),"")</f>
        <v>8652.8625606810929</v>
      </c>
      <c r="BF26" s="372">
        <f ca="1">IF(H26&lt;&gt;"",IF('Dados Gerais'!B$11="S",0,BE26*(W26)),"")</f>
        <v>562.43606644427109</v>
      </c>
      <c r="BG26" s="374">
        <f t="shared" ca="1" si="38"/>
        <v>9215.2986271253649</v>
      </c>
      <c r="BI26" s="371">
        <f t="shared" si="39"/>
        <v>0.22</v>
      </c>
      <c r="BJ26" s="372">
        <f t="shared" ca="1" si="40"/>
        <v>11251.787728308411</v>
      </c>
      <c r="BK26" s="372">
        <f t="shared" ca="1" si="41"/>
        <v>2475.3933002278504</v>
      </c>
      <c r="BL26" s="373">
        <f t="shared" ca="1" si="42"/>
        <v>0.72798833645887751</v>
      </c>
      <c r="BM26" s="372">
        <f ca="1">IF(H26&lt;&gt;"",BE26*(1+'Dados Gerais'!A$156),"")</f>
        <v>11251.787728308411</v>
      </c>
      <c r="BN26" s="372">
        <f ca="1">IF(H26&lt;&gt;"",IF('Dados Gerais'!B$13="S",0,BM26*W26),"")</f>
        <v>731.3662023400467</v>
      </c>
      <c r="BO26" s="455" t="str">
        <f t="shared" si="43"/>
        <v>N</v>
      </c>
      <c r="BP26" s="447" t="str">
        <f t="shared" si="44"/>
        <v>N</v>
      </c>
      <c r="BQ26" s="447" t="str">
        <f t="shared" si="45"/>
        <v>N</v>
      </c>
      <c r="BR26" s="374">
        <f t="shared" ca="1" si="46"/>
        <v>11983.153930648457</v>
      </c>
    </row>
    <row r="27" spans="1:70" ht="100.05" customHeight="1" thickBot="1">
      <c r="A27" s="501">
        <v>14</v>
      </c>
      <c r="B27" s="439">
        <v>217</v>
      </c>
      <c r="C27" s="439">
        <v>190.4</v>
      </c>
      <c r="D27" s="440">
        <v>0.1</v>
      </c>
      <c r="E27" s="494">
        <f t="shared" si="48"/>
        <v>0.1</v>
      </c>
      <c r="F27" s="494">
        <f t="shared" si="49"/>
        <v>0.10818525053938573</v>
      </c>
      <c r="G27" s="494">
        <f t="shared" si="50"/>
        <v>2.430390426898613</v>
      </c>
      <c r="H27" s="508" t="s">
        <v>392</v>
      </c>
      <c r="I27" s="442">
        <v>5040</v>
      </c>
      <c r="J27" s="484" t="s">
        <v>310</v>
      </c>
      <c r="K27" s="485" t="s">
        <v>410</v>
      </c>
      <c r="L27" s="443">
        <v>83040000</v>
      </c>
      <c r="M27" s="495">
        <f t="shared" si="51"/>
        <v>504</v>
      </c>
      <c r="N27" s="495">
        <f t="shared" si="52"/>
        <v>41.253662718504081</v>
      </c>
      <c r="O27" s="495">
        <f>(M27/$M$45)*('Dados Gerais'!$C$41)</f>
        <v>0</v>
      </c>
      <c r="P27" s="495">
        <f t="shared" si="53"/>
        <v>0</v>
      </c>
      <c r="Q27" s="495">
        <f t="shared" si="54"/>
        <v>545.25366271850407</v>
      </c>
      <c r="R27" s="495">
        <f t="shared" si="55"/>
        <v>2666.9447150887472</v>
      </c>
      <c r="S27" s="496">
        <v>0.14399999999999999</v>
      </c>
      <c r="T27" s="495">
        <f t="shared" si="56"/>
        <v>384.0400389727796</v>
      </c>
      <c r="U27" s="497">
        <f t="shared" si="57"/>
        <v>0.52915569743824353</v>
      </c>
      <c r="V27" s="495">
        <f t="shared" si="58"/>
        <v>2666.9447150887472</v>
      </c>
      <c r="W27" s="369">
        <v>6.5000000000000002E-2</v>
      </c>
      <c r="X27" s="495">
        <f t="shared" si="59"/>
        <v>198.31400901399925</v>
      </c>
      <c r="Y27" s="496">
        <v>2.1000000000000001E-2</v>
      </c>
      <c r="Z27" s="495">
        <f t="shared" si="60"/>
        <v>56.005839016863696</v>
      </c>
      <c r="AA27" s="496">
        <v>9.6500000000000002E-2</v>
      </c>
      <c r="AB27" s="498">
        <f t="shared" si="61"/>
        <v>257.36016500606411</v>
      </c>
      <c r="AC27" s="498">
        <f>(V27/V$45)*('Dados Gerais'!C$56+'Dados Gerais'!C$57+'Dados Gerais'!C$58+'Dados Gerais'!C$49)</f>
        <v>58.728938581751663</v>
      </c>
      <c r="AD27" s="498">
        <f>(V27/V$45)*('Dados Gerais'!C$72)</f>
        <v>18.513514689514047</v>
      </c>
      <c r="AE27" s="499" t="s">
        <v>367</v>
      </c>
      <c r="AF27" s="351">
        <v>4</v>
      </c>
      <c r="AG27" s="238">
        <f t="shared" si="47"/>
        <v>14</v>
      </c>
      <c r="AI27" s="351" t="str">
        <f t="shared" si="7"/>
        <v>BP00017</v>
      </c>
      <c r="AJ27" s="353">
        <f t="shared" si="8"/>
        <v>5040</v>
      </c>
      <c r="AK27" s="351" t="str">
        <f t="shared" si="9"/>
        <v>Un.</v>
      </c>
      <c r="AL27" s="459" t="e">
        <f>#REF!</f>
        <v>#REF!</v>
      </c>
      <c r="AM27" s="351"/>
      <c r="AN27" s="371">
        <f>IF(I27&lt;&gt;"",IF('Dados Gerais'!B$26="NA",'Dados Gerais'!C$25,0%),"")</f>
        <v>0</v>
      </c>
      <c r="AO27" s="372" t="str">
        <f>IF(I27&lt;&gt;"",'Dados Gerais'!C$64,"")</f>
        <v>DIFERIDO</v>
      </c>
      <c r="AP27" s="372">
        <f t="shared" si="26"/>
        <v>0</v>
      </c>
      <c r="AQ27" s="373">
        <f t="shared" si="27"/>
        <v>0.52915569743824353</v>
      </c>
      <c r="AR27" s="372">
        <f t="shared" si="28"/>
        <v>2666.9447150887472</v>
      </c>
      <c r="AS27" s="372">
        <f t="shared" si="29"/>
        <v>384.0400389727796</v>
      </c>
      <c r="AT27" s="372">
        <f t="shared" si="30"/>
        <v>58.728938581751663</v>
      </c>
      <c r="AU27" s="372">
        <f t="shared" si="31"/>
        <v>56.005839016863696</v>
      </c>
      <c r="AV27" s="372">
        <f t="shared" si="32"/>
        <v>257.36016500606411</v>
      </c>
      <c r="AW27" s="372">
        <f t="shared" si="33"/>
        <v>18.513514689514047</v>
      </c>
      <c r="AX27" s="372">
        <f t="shared" si="11"/>
        <v>198.31400901399925</v>
      </c>
      <c r="AY27" s="374">
        <f t="shared" si="34"/>
        <v>3639.9072203697197</v>
      </c>
      <c r="AZ27" s="351"/>
      <c r="BA27" s="371">
        <f>IF(H27&lt;&gt;"",'Dados Gerais'!C$27,"")</f>
        <v>0.04</v>
      </c>
      <c r="BB27" s="372">
        <f t="shared" ca="1" si="35"/>
        <v>3986.7163918418828</v>
      </c>
      <c r="BC27" s="372">
        <f t="shared" ca="1" si="36"/>
        <v>159.46865567367533</v>
      </c>
      <c r="BD27" s="373">
        <f t="shared" ca="1" si="37"/>
        <v>0.79101515711148473</v>
      </c>
      <c r="BE27" s="372">
        <f ca="1">IF(H27&lt;&gt;"",(R27)*(1+'Dados Gerais'!A$106),"")</f>
        <v>3986.7163918418828</v>
      </c>
      <c r="BF27" s="372">
        <f ca="1">IF(H27&lt;&gt;"",IF('Dados Gerais'!B$11="S",0,BE27*(W27)),"")</f>
        <v>259.13656546972237</v>
      </c>
      <c r="BG27" s="374">
        <f t="shared" ca="1" si="38"/>
        <v>4245.8529573116048</v>
      </c>
      <c r="BI27" s="371">
        <f t="shared" si="39"/>
        <v>0.22</v>
      </c>
      <c r="BJ27" s="372">
        <f t="shared" ca="1" si="40"/>
        <v>5184.1441210227194</v>
      </c>
      <c r="BK27" s="372">
        <f t="shared" ca="1" si="41"/>
        <v>1140.5117066249984</v>
      </c>
      <c r="BL27" s="373">
        <f t="shared" ca="1" si="42"/>
        <v>1.0286000240124444</v>
      </c>
      <c r="BM27" s="372">
        <f ca="1">IF(H27&lt;&gt;"",BE27*(1+'Dados Gerais'!A$156),"")</f>
        <v>5184.1441210227194</v>
      </c>
      <c r="BN27" s="372">
        <f ca="1">IF(H27&lt;&gt;"",IF('Dados Gerais'!B$13="S",0,BM27*W27),"")</f>
        <v>336.96936786647677</v>
      </c>
      <c r="BO27" s="455" t="str">
        <f t="shared" si="43"/>
        <v>N</v>
      </c>
      <c r="BP27" s="447" t="str">
        <f t="shared" si="44"/>
        <v>N</v>
      </c>
      <c r="BQ27" s="447" t="str">
        <f t="shared" si="45"/>
        <v>N</v>
      </c>
      <c r="BR27" s="374">
        <f t="shared" ca="1" si="46"/>
        <v>5521.1134888891966</v>
      </c>
    </row>
    <row r="28" spans="1:70" ht="100.05" customHeight="1" thickBot="1">
      <c r="A28" s="366">
        <v>15</v>
      </c>
      <c r="B28" s="439">
        <v>692.08</v>
      </c>
      <c r="C28" s="439">
        <v>607.67999999999995</v>
      </c>
      <c r="D28" s="440">
        <v>0.04</v>
      </c>
      <c r="E28" s="494">
        <f t="shared" si="48"/>
        <v>0.04</v>
      </c>
      <c r="F28" s="494">
        <f t="shared" si="49"/>
        <v>4.4333367932615976E-2</v>
      </c>
      <c r="G28" s="494">
        <f t="shared" si="50"/>
        <v>1.7833316033692015</v>
      </c>
      <c r="H28" s="508" t="s">
        <v>393</v>
      </c>
      <c r="I28" s="442">
        <v>30384</v>
      </c>
      <c r="J28" s="484" t="s">
        <v>310</v>
      </c>
      <c r="K28" s="485" t="s">
        <v>411</v>
      </c>
      <c r="L28" s="443">
        <v>83040000</v>
      </c>
      <c r="M28" s="495">
        <f t="shared" si="51"/>
        <v>1215.3600000000001</v>
      </c>
      <c r="N28" s="495">
        <f t="shared" si="52"/>
        <v>131.66505126460376</v>
      </c>
      <c r="O28" s="495">
        <f>(M28/$M$45)*('Dados Gerais'!$C$41)</f>
        <v>0</v>
      </c>
      <c r="P28" s="495">
        <f t="shared" si="53"/>
        <v>0</v>
      </c>
      <c r="Q28" s="495">
        <f t="shared" si="54"/>
        <v>1347.0250512646039</v>
      </c>
      <c r="R28" s="495">
        <f t="shared" si="55"/>
        <v>6588.5689307454313</v>
      </c>
      <c r="S28" s="496">
        <v>0.128</v>
      </c>
      <c r="T28" s="495">
        <f t="shared" si="56"/>
        <v>843.33682313541522</v>
      </c>
      <c r="U28" s="497">
        <f t="shared" si="57"/>
        <v>0.21684336923201131</v>
      </c>
      <c r="V28" s="495">
        <f t="shared" si="58"/>
        <v>6588.5689307454313</v>
      </c>
      <c r="W28" s="369">
        <v>6.5000000000000002E-2</v>
      </c>
      <c r="X28" s="495">
        <f t="shared" si="59"/>
        <v>483.07387400225502</v>
      </c>
      <c r="Y28" s="496">
        <v>2.1000000000000001E-2</v>
      </c>
      <c r="Z28" s="495">
        <f t="shared" si="60"/>
        <v>138.35994754565408</v>
      </c>
      <c r="AA28" s="496">
        <v>9.6500000000000002E-2</v>
      </c>
      <c r="AB28" s="498">
        <f t="shared" si="61"/>
        <v>635.79690181693411</v>
      </c>
      <c r="AC28" s="498">
        <f>(V28/V$45)*('Dados Gerais'!C$56+'Dados Gerais'!C$57+'Dados Gerais'!C$58+'Dados Gerais'!C$49)</f>
        <v>145.08724454849062</v>
      </c>
      <c r="AD28" s="498">
        <f>(V28/V$45)*('Dados Gerais'!C$72)</f>
        <v>45.736818986955413</v>
      </c>
      <c r="AE28" s="499" t="s">
        <v>367</v>
      </c>
      <c r="AF28" s="351">
        <v>1</v>
      </c>
      <c r="AG28" s="238">
        <f t="shared" si="47"/>
        <v>15</v>
      </c>
      <c r="AI28" s="351" t="str">
        <f t="shared" si="7"/>
        <v>BP00035</v>
      </c>
      <c r="AJ28" s="353">
        <f t="shared" si="8"/>
        <v>30384</v>
      </c>
      <c r="AK28" s="351" t="str">
        <f t="shared" si="9"/>
        <v>Un.</v>
      </c>
      <c r="AL28" s="459" t="e">
        <f>#REF!</f>
        <v>#REF!</v>
      </c>
      <c r="AM28" s="351"/>
      <c r="AN28" s="371">
        <f>IF(I28&lt;&gt;"",IF('Dados Gerais'!B$26="NA",'Dados Gerais'!C$25,0%),"")</f>
        <v>0</v>
      </c>
      <c r="AO28" s="372" t="str">
        <f>IF(I28&lt;&gt;"",'Dados Gerais'!C$64,"")</f>
        <v>DIFERIDO</v>
      </c>
      <c r="AP28" s="372">
        <f t="shared" si="26"/>
        <v>0</v>
      </c>
      <c r="AQ28" s="373">
        <f t="shared" si="27"/>
        <v>0.21684336923201131</v>
      </c>
      <c r="AR28" s="372">
        <f t="shared" si="28"/>
        <v>6588.5689307454313</v>
      </c>
      <c r="AS28" s="372">
        <f t="shared" si="29"/>
        <v>843.33682313541522</v>
      </c>
      <c r="AT28" s="372">
        <f t="shared" si="30"/>
        <v>145.08724454849062</v>
      </c>
      <c r="AU28" s="372">
        <f t="shared" si="31"/>
        <v>138.35994754565408</v>
      </c>
      <c r="AV28" s="372">
        <f t="shared" si="32"/>
        <v>635.79690181693411</v>
      </c>
      <c r="AW28" s="372">
        <f t="shared" si="33"/>
        <v>45.736818986955413</v>
      </c>
      <c r="AX28" s="372">
        <f t="shared" si="11"/>
        <v>483.07387400225502</v>
      </c>
      <c r="AY28" s="374">
        <f t="shared" si="34"/>
        <v>8879.9605407811359</v>
      </c>
      <c r="AZ28" s="351"/>
      <c r="BA28" s="371">
        <f>IF(H28&lt;&gt;"",'Dados Gerais'!C$27,"")</f>
        <v>0.04</v>
      </c>
      <c r="BB28" s="372">
        <f t="shared" ca="1" si="35"/>
        <v>9849.0064703530552</v>
      </c>
      <c r="BC28" s="372">
        <f t="shared" ca="1" si="36"/>
        <v>393.9602588141222</v>
      </c>
      <c r="BD28" s="373">
        <f t="shared" ca="1" si="37"/>
        <v>0.32415108183099839</v>
      </c>
      <c r="BE28" s="372">
        <f ca="1">IF(H28&lt;&gt;"",(R28)*(1+'Dados Gerais'!A$106),"")</f>
        <v>9849.0064703530552</v>
      </c>
      <c r="BF28" s="372">
        <f ca="1">IF(H28&lt;&gt;"",IF('Dados Gerais'!B$11="S",0,BE28*(W28)),"")</f>
        <v>640.1854205729486</v>
      </c>
      <c r="BG28" s="374">
        <f t="shared" ca="1" si="38"/>
        <v>10489.191890926004</v>
      </c>
      <c r="BI28" s="371">
        <f t="shared" si="39"/>
        <v>0.22</v>
      </c>
      <c r="BJ28" s="372">
        <f t="shared" ca="1" si="40"/>
        <v>12807.198700082639</v>
      </c>
      <c r="BK28" s="372">
        <f t="shared" ca="1" si="41"/>
        <v>2817.5837140181807</v>
      </c>
      <c r="BL28" s="373">
        <f t="shared" ca="1" si="42"/>
        <v>0.42151127896533175</v>
      </c>
      <c r="BM28" s="372">
        <f ca="1">IF(H28&lt;&gt;"",BE28*(1+'Dados Gerais'!A$156),"")</f>
        <v>12807.198700082639</v>
      </c>
      <c r="BN28" s="372">
        <f ca="1">IF(H28&lt;&gt;"",IF('Dados Gerais'!B$13="S",0,BM28*W28),"")</f>
        <v>832.46791550537159</v>
      </c>
      <c r="BO28" s="455" t="str">
        <f t="shared" si="43"/>
        <v>N</v>
      </c>
      <c r="BP28" s="447" t="str">
        <f t="shared" si="44"/>
        <v>N</v>
      </c>
      <c r="BQ28" s="447" t="str">
        <f t="shared" si="45"/>
        <v>N</v>
      </c>
      <c r="BR28" s="374">
        <f t="shared" ca="1" si="46"/>
        <v>13639.66661558801</v>
      </c>
    </row>
    <row r="29" spans="1:70" ht="100.05" customHeight="1" thickBot="1">
      <c r="A29" s="375">
        <v>16</v>
      </c>
      <c r="B29" s="439">
        <v>1925</v>
      </c>
      <c r="C29" s="439">
        <v>1688.75</v>
      </c>
      <c r="D29" s="440">
        <v>0.14000000000000001</v>
      </c>
      <c r="E29" s="494">
        <f t="shared" si="48"/>
        <v>0.14000000000000001</v>
      </c>
      <c r="F29" s="494">
        <f t="shared" si="49"/>
        <v>0.15451979185755008</v>
      </c>
      <c r="G29" s="494">
        <f t="shared" si="50"/>
        <v>1.8724507743536576</v>
      </c>
      <c r="H29" s="508" t="s">
        <v>394</v>
      </c>
      <c r="I29" s="442">
        <v>25200</v>
      </c>
      <c r="J29" s="484" t="s">
        <v>310</v>
      </c>
      <c r="K29" s="485" t="s">
        <v>412</v>
      </c>
      <c r="L29" s="443">
        <v>83040000</v>
      </c>
      <c r="M29" s="495">
        <f t="shared" si="51"/>
        <v>3528.0000000000005</v>
      </c>
      <c r="N29" s="495">
        <f t="shared" si="52"/>
        <v>365.89875481026138</v>
      </c>
      <c r="O29" s="495">
        <f>(M29/$M$45)*('Dados Gerais'!$C$41)</f>
        <v>0</v>
      </c>
      <c r="P29" s="495">
        <f t="shared" si="53"/>
        <v>0</v>
      </c>
      <c r="Q29" s="495">
        <f t="shared" si="54"/>
        <v>3893.8987548102618</v>
      </c>
      <c r="R29" s="495">
        <f t="shared" si="55"/>
        <v>19045.837589527953</v>
      </c>
      <c r="S29" s="496">
        <v>0.128</v>
      </c>
      <c r="T29" s="495">
        <f t="shared" si="56"/>
        <v>2437.8672114595779</v>
      </c>
      <c r="U29" s="497">
        <f t="shared" si="57"/>
        <v>0.7557872059336489</v>
      </c>
      <c r="V29" s="495">
        <f t="shared" si="58"/>
        <v>19045.837589527953</v>
      </c>
      <c r="W29" s="369">
        <v>0</v>
      </c>
      <c r="X29" s="495">
        <f t="shared" si="59"/>
        <v>0</v>
      </c>
      <c r="Y29" s="496">
        <v>2.1000000000000001E-2</v>
      </c>
      <c r="Z29" s="495">
        <f t="shared" si="60"/>
        <v>399.96258938008702</v>
      </c>
      <c r="AA29" s="496">
        <v>9.6500000000000002E-2</v>
      </c>
      <c r="AB29" s="498">
        <f t="shared" si="61"/>
        <v>1837.9233273894474</v>
      </c>
      <c r="AC29" s="498">
        <f>(V29/V$45)*('Dados Gerais'!C$56+'Dados Gerais'!C$57+'Dados Gerais'!C$58+'Dados Gerais'!C$49)</f>
        <v>419.40945371122291</v>
      </c>
      <c r="AD29" s="498">
        <f>(V29/V$45)*('Dados Gerais'!C$72)</f>
        <v>132.21323711470001</v>
      </c>
      <c r="AE29" s="499" t="s">
        <v>367</v>
      </c>
      <c r="AF29" s="351">
        <v>1</v>
      </c>
      <c r="AG29" s="238">
        <f t="shared" si="47"/>
        <v>16</v>
      </c>
      <c r="AI29" s="351" t="str">
        <f t="shared" si="7"/>
        <v>BP00036</v>
      </c>
      <c r="AJ29" s="353">
        <f t="shared" si="8"/>
        <v>25200</v>
      </c>
      <c r="AK29" s="351" t="str">
        <f t="shared" si="9"/>
        <v>Un.</v>
      </c>
      <c r="AL29" s="459" t="e">
        <f>#REF!</f>
        <v>#REF!</v>
      </c>
      <c r="AM29" s="351"/>
      <c r="AN29" s="371">
        <f>IF(I29&lt;&gt;"",IF('Dados Gerais'!B$26="NA",'Dados Gerais'!C$25,0%),"")</f>
        <v>0</v>
      </c>
      <c r="AO29" s="372" t="str">
        <f>IF(I29&lt;&gt;"",'Dados Gerais'!C$64,"")</f>
        <v>DIFERIDO</v>
      </c>
      <c r="AP29" s="372">
        <f t="shared" si="26"/>
        <v>0</v>
      </c>
      <c r="AQ29" s="373">
        <f t="shared" si="27"/>
        <v>0.7557872059336489</v>
      </c>
      <c r="AR29" s="372">
        <f t="shared" si="28"/>
        <v>19045.837589527953</v>
      </c>
      <c r="AS29" s="372">
        <f t="shared" si="29"/>
        <v>2437.8672114595779</v>
      </c>
      <c r="AT29" s="372">
        <f t="shared" si="30"/>
        <v>419.40945371122291</v>
      </c>
      <c r="AU29" s="372">
        <f t="shared" si="31"/>
        <v>399.96258938008702</v>
      </c>
      <c r="AV29" s="372">
        <f t="shared" si="32"/>
        <v>1837.9233273894474</v>
      </c>
      <c r="AW29" s="372">
        <f t="shared" si="33"/>
        <v>132.21323711470001</v>
      </c>
      <c r="AX29" s="372">
        <f t="shared" si="11"/>
        <v>0</v>
      </c>
      <c r="AY29" s="374">
        <f t="shared" si="34"/>
        <v>24273.213408582989</v>
      </c>
      <c r="AZ29" s="351"/>
      <c r="BA29" s="371">
        <f>IF(H29&lt;&gt;"",'Dados Gerais'!C$27,"")</f>
        <v>0.04</v>
      </c>
      <c r="BB29" s="372">
        <f t="shared" ca="1" si="35"/>
        <v>28470.913733209003</v>
      </c>
      <c r="BC29" s="372">
        <f t="shared" ca="1" si="36"/>
        <v>1138.8365493283602</v>
      </c>
      <c r="BD29" s="373">
        <f t="shared" ca="1" si="37"/>
        <v>1.1297981640162302</v>
      </c>
      <c r="BE29" s="372">
        <f ca="1">IF(H29&lt;&gt;"",(R29)*(1+'Dados Gerais'!A$106),"")</f>
        <v>28470.913733209003</v>
      </c>
      <c r="BF29" s="372">
        <f ca="1">IF(H29&lt;&gt;"",IF('Dados Gerais'!B$11="S",0,BE29*(W29)),"")</f>
        <v>0</v>
      </c>
      <c r="BG29" s="374">
        <f t="shared" ca="1" si="38"/>
        <v>28470.913733209003</v>
      </c>
      <c r="BI29" s="371">
        <f t="shared" si="39"/>
        <v>0.22</v>
      </c>
      <c r="BJ29" s="372">
        <f t="shared" ca="1" si="40"/>
        <v>37022.277368962721</v>
      </c>
      <c r="BK29" s="372">
        <f t="shared" ca="1" si="41"/>
        <v>8144.9010211717987</v>
      </c>
      <c r="BL29" s="373">
        <f t="shared" ca="1" si="42"/>
        <v>1.469137990831854</v>
      </c>
      <c r="BM29" s="372">
        <f ca="1">IF(H29&lt;&gt;"",BE29*(1+'Dados Gerais'!A$156),"")</f>
        <v>37022.277368962721</v>
      </c>
      <c r="BN29" s="372">
        <f ca="1">IF(H29&lt;&gt;"",IF('Dados Gerais'!B$13="S",0,BM29*W29),"")</f>
        <v>0</v>
      </c>
      <c r="BO29" s="455" t="str">
        <f t="shared" si="43"/>
        <v>N</v>
      </c>
      <c r="BP29" s="447" t="str">
        <f t="shared" si="44"/>
        <v>N</v>
      </c>
      <c r="BQ29" s="447" t="str">
        <f t="shared" si="45"/>
        <v>N</v>
      </c>
      <c r="BR29" s="374">
        <f t="shared" ca="1" si="46"/>
        <v>37022.277368962721</v>
      </c>
    </row>
    <row r="30" spans="1:70" ht="100.05" customHeight="1" thickBot="1">
      <c r="A30" s="375">
        <v>17</v>
      </c>
      <c r="B30" s="439">
        <v>2588.25</v>
      </c>
      <c r="C30" s="439">
        <v>2270.6999999999998</v>
      </c>
      <c r="D30" s="440">
        <v>7.0000000000000007E-2</v>
      </c>
      <c r="E30" s="494">
        <f t="shared" si="48"/>
        <v>7.0000000000000007E-2</v>
      </c>
      <c r="F30" s="494">
        <f t="shared" si="49"/>
        <v>7.7854229377866457E-2</v>
      </c>
      <c r="G30" s="494">
        <f t="shared" si="50"/>
        <v>1.7143660861278223</v>
      </c>
      <c r="H30" s="508" t="s">
        <v>395</v>
      </c>
      <c r="I30" s="442">
        <v>62640</v>
      </c>
      <c r="J30" s="484" t="s">
        <v>310</v>
      </c>
      <c r="K30" s="485" t="s">
        <v>413</v>
      </c>
      <c r="L30" s="443">
        <v>83040000</v>
      </c>
      <c r="M30" s="495">
        <f t="shared" si="51"/>
        <v>4384.8</v>
      </c>
      <c r="N30" s="495">
        <f t="shared" si="52"/>
        <v>491.98892822955457</v>
      </c>
      <c r="O30" s="495">
        <f>(M30/$M$45)*('Dados Gerais'!$C$41)</f>
        <v>0</v>
      </c>
      <c r="P30" s="495">
        <f t="shared" si="53"/>
        <v>0</v>
      </c>
      <c r="Q30" s="495">
        <f t="shared" si="54"/>
        <v>4876.7889282295546</v>
      </c>
      <c r="R30" s="495">
        <f t="shared" si="55"/>
        <v>23853.350005756398</v>
      </c>
      <c r="S30" s="496">
        <v>0.128</v>
      </c>
      <c r="T30" s="495">
        <f t="shared" si="56"/>
        <v>3053.2288007368188</v>
      </c>
      <c r="U30" s="497">
        <f t="shared" si="57"/>
        <v>0.38080060673302041</v>
      </c>
      <c r="V30" s="495">
        <f t="shared" si="58"/>
        <v>23853.350005756398</v>
      </c>
      <c r="W30" s="369">
        <v>0</v>
      </c>
      <c r="X30" s="495">
        <f t="shared" si="59"/>
        <v>0</v>
      </c>
      <c r="Y30" s="496">
        <v>2.1000000000000001E-2</v>
      </c>
      <c r="Z30" s="495">
        <f t="shared" si="60"/>
        <v>500.92035012088439</v>
      </c>
      <c r="AA30" s="496">
        <v>9.6500000000000002E-2</v>
      </c>
      <c r="AB30" s="498">
        <f t="shared" si="61"/>
        <v>2301.8482755554924</v>
      </c>
      <c r="AC30" s="498">
        <f>(V30/V$45)*('Dados Gerais'!C$56+'Dados Gerais'!C$57+'Dados Gerais'!C$58+'Dados Gerais'!C$49)</f>
        <v>525.27595324017682</v>
      </c>
      <c r="AD30" s="498">
        <f>(V30/V$45)*('Dados Gerais'!C$72)</f>
        <v>165.5862392749284</v>
      </c>
      <c r="AE30" s="499" t="s">
        <v>367</v>
      </c>
      <c r="AF30" s="351">
        <v>1</v>
      </c>
      <c r="AG30" s="238">
        <f t="shared" si="47"/>
        <v>17</v>
      </c>
      <c r="AI30" s="351" t="str">
        <f t="shared" ref="AI30:AK43" si="62">H30</f>
        <v>BP00037</v>
      </c>
      <c r="AJ30" s="353">
        <f t="shared" si="62"/>
        <v>62640</v>
      </c>
      <c r="AK30" s="351" t="str">
        <f t="shared" si="62"/>
        <v>Un.</v>
      </c>
      <c r="AL30" s="459" t="e">
        <f>#REF!</f>
        <v>#REF!</v>
      </c>
      <c r="AM30" s="351"/>
      <c r="AN30" s="371">
        <f>IF(I30&lt;&gt;"",IF('Dados Gerais'!B$26="NA",'Dados Gerais'!C$25,0%),"")</f>
        <v>0</v>
      </c>
      <c r="AO30" s="372" t="str">
        <f>IF(I30&lt;&gt;"",'Dados Gerais'!C$64,"")</f>
        <v>DIFERIDO</v>
      </c>
      <c r="AP30" s="372">
        <f t="shared" si="26"/>
        <v>0</v>
      </c>
      <c r="AQ30" s="373">
        <f t="shared" si="27"/>
        <v>0.38080060673302041</v>
      </c>
      <c r="AR30" s="372">
        <f t="shared" si="28"/>
        <v>23853.350005756398</v>
      </c>
      <c r="AS30" s="372">
        <f t="shared" si="29"/>
        <v>3053.2288007368188</v>
      </c>
      <c r="AT30" s="372">
        <f t="shared" si="30"/>
        <v>525.27595324017682</v>
      </c>
      <c r="AU30" s="372">
        <f t="shared" si="31"/>
        <v>500.92035012088439</v>
      </c>
      <c r="AV30" s="372">
        <f t="shared" si="32"/>
        <v>2301.8482755554924</v>
      </c>
      <c r="AW30" s="372">
        <f t="shared" si="33"/>
        <v>165.5862392749284</v>
      </c>
      <c r="AX30" s="372">
        <f t="shared" si="11"/>
        <v>0</v>
      </c>
      <c r="AY30" s="374">
        <f t="shared" si="34"/>
        <v>30400.209624684696</v>
      </c>
      <c r="AZ30" s="351"/>
      <c r="BA30" s="371">
        <f>IF(H30&lt;&gt;"",'Dados Gerais'!C$27,"")</f>
        <v>0.04</v>
      </c>
      <c r="BB30" s="372">
        <f t="shared" ca="1" si="35"/>
        <v>35657.485110307658</v>
      </c>
      <c r="BC30" s="372">
        <f t="shared" ca="1" si="36"/>
        <v>1426.2994044123063</v>
      </c>
      <c r="BD30" s="373">
        <f t="shared" ca="1" si="37"/>
        <v>0.56924465374054367</v>
      </c>
      <c r="BE30" s="372">
        <f ca="1">IF(H30&lt;&gt;"",(R30)*(1+'Dados Gerais'!A$106),"")</f>
        <v>35657.485110307658</v>
      </c>
      <c r="BF30" s="372">
        <f ca="1">IF(H30&lt;&gt;"",IF('Dados Gerais'!B$11="S",0,BE30*(W30)),"")</f>
        <v>0</v>
      </c>
      <c r="BG30" s="374">
        <f t="shared" ca="1" si="38"/>
        <v>35657.485110307658</v>
      </c>
      <c r="BI30" s="371">
        <f t="shared" si="39"/>
        <v>0.22</v>
      </c>
      <c r="BJ30" s="372">
        <f t="shared" ca="1" si="40"/>
        <v>46367.366934685146</v>
      </c>
      <c r="BK30" s="372">
        <f t="shared" ca="1" si="41"/>
        <v>10200.820725630732</v>
      </c>
      <c r="BL30" s="373">
        <f t="shared" ca="1" si="42"/>
        <v>0.74021977865078459</v>
      </c>
      <c r="BM30" s="372">
        <f ca="1">IF(H30&lt;&gt;"",BE30*(1+'Dados Gerais'!A$156),"")</f>
        <v>46367.366934685146</v>
      </c>
      <c r="BN30" s="372">
        <f ca="1">IF(H30&lt;&gt;"",IF('Dados Gerais'!B$13="S",0,BM30*W30),"")</f>
        <v>0</v>
      </c>
      <c r="BO30" s="455" t="str">
        <f t="shared" si="43"/>
        <v>N</v>
      </c>
      <c r="BP30" s="447" t="str">
        <f t="shared" si="44"/>
        <v>N</v>
      </c>
      <c r="BQ30" s="447" t="str">
        <f t="shared" si="45"/>
        <v>N</v>
      </c>
      <c r="BR30" s="374">
        <f t="shared" ca="1" si="46"/>
        <v>46367.366934685146</v>
      </c>
    </row>
    <row r="31" spans="1:70" ht="100.05" customHeight="1" thickBot="1">
      <c r="A31" s="375">
        <v>18</v>
      </c>
      <c r="B31" s="439">
        <v>1143.9000000000001</v>
      </c>
      <c r="C31" s="439">
        <v>1008.6</v>
      </c>
      <c r="D31" s="440">
        <v>0.18</v>
      </c>
      <c r="E31" s="494">
        <f t="shared" si="48"/>
        <v>0.18</v>
      </c>
      <c r="F31" s="494">
        <f t="shared" si="49"/>
        <v>0.20467612294961873</v>
      </c>
      <c r="G31" s="494">
        <f t="shared" si="50"/>
        <v>1.3638194082472499</v>
      </c>
      <c r="H31" s="508" t="s">
        <v>396</v>
      </c>
      <c r="I31" s="442">
        <v>8856</v>
      </c>
      <c r="J31" s="484" t="s">
        <v>310</v>
      </c>
      <c r="K31" s="485" t="s">
        <v>414</v>
      </c>
      <c r="L31" s="443">
        <v>83040000</v>
      </c>
      <c r="M31" s="495">
        <f t="shared" si="51"/>
        <v>1594.08</v>
      </c>
      <c r="N31" s="495">
        <f t="shared" si="52"/>
        <v>218.53174484182361</v>
      </c>
      <c r="O31" s="495">
        <f>(M31/$M$45)*('Dados Gerais'!$C$41)</f>
        <v>0</v>
      </c>
      <c r="P31" s="495">
        <f t="shared" si="53"/>
        <v>0</v>
      </c>
      <c r="Q31" s="495">
        <f t="shared" si="54"/>
        <v>1812.6117448418236</v>
      </c>
      <c r="R31" s="495">
        <f t="shared" si="55"/>
        <v>8865.8465663703282</v>
      </c>
      <c r="S31" s="496">
        <v>0.128</v>
      </c>
      <c r="T31" s="495">
        <f t="shared" si="56"/>
        <v>1134.828360495402</v>
      </c>
      <c r="U31" s="497">
        <f t="shared" si="57"/>
        <v>1.0011118525711753</v>
      </c>
      <c r="V31" s="495">
        <f t="shared" si="58"/>
        <v>8865.8465663703282</v>
      </c>
      <c r="W31" s="369">
        <v>0</v>
      </c>
      <c r="X31" s="495">
        <f t="shared" si="59"/>
        <v>0</v>
      </c>
      <c r="Y31" s="496">
        <v>2.1000000000000001E-2</v>
      </c>
      <c r="Z31" s="495">
        <f t="shared" si="60"/>
        <v>186.18277789377692</v>
      </c>
      <c r="AA31" s="496">
        <v>9.6500000000000002E-2</v>
      </c>
      <c r="AB31" s="498">
        <f t="shared" si="61"/>
        <v>855.55419365473665</v>
      </c>
      <c r="AC31" s="498">
        <f>(V31/V$45)*('Dados Gerais'!C$56+'Dados Gerais'!C$57+'Dados Gerais'!C$58+'Dados Gerais'!C$49)</f>
        <v>195.23530260141533</v>
      </c>
      <c r="AD31" s="498">
        <f>(V31/V$45)*('Dados Gerais'!C$72)</f>
        <v>61.54532552281001</v>
      </c>
      <c r="AE31" s="499" t="s">
        <v>367</v>
      </c>
      <c r="AF31" s="351">
        <v>6</v>
      </c>
      <c r="AG31" s="238">
        <f t="shared" si="47"/>
        <v>18</v>
      </c>
      <c r="AI31" s="351" t="str">
        <f t="shared" si="62"/>
        <v>BP00053</v>
      </c>
      <c r="AJ31" s="353">
        <f t="shared" si="62"/>
        <v>8856</v>
      </c>
      <c r="AK31" s="351" t="str">
        <f t="shared" si="62"/>
        <v>Un.</v>
      </c>
      <c r="AL31" s="459" t="e">
        <f>#REF!</f>
        <v>#REF!</v>
      </c>
      <c r="AM31" s="351"/>
      <c r="AN31" s="371">
        <f>IF(I31&lt;&gt;"",IF('Dados Gerais'!B$26="NA",'Dados Gerais'!C$25,0%),"")</f>
        <v>0</v>
      </c>
      <c r="AO31" s="372" t="str">
        <f>IF(I31&lt;&gt;"",'Dados Gerais'!C$64,"")</f>
        <v>DIFERIDO</v>
      </c>
      <c r="AP31" s="372">
        <f t="shared" si="26"/>
        <v>0</v>
      </c>
      <c r="AQ31" s="373">
        <f t="shared" si="27"/>
        <v>1.0011118525711753</v>
      </c>
      <c r="AR31" s="372">
        <f t="shared" si="28"/>
        <v>8865.8465663703282</v>
      </c>
      <c r="AS31" s="372">
        <f t="shared" si="29"/>
        <v>1134.828360495402</v>
      </c>
      <c r="AT31" s="372">
        <f t="shared" si="30"/>
        <v>195.23530260141533</v>
      </c>
      <c r="AU31" s="372">
        <f t="shared" si="31"/>
        <v>186.18277789377692</v>
      </c>
      <c r="AV31" s="372">
        <f t="shared" si="32"/>
        <v>855.55419365473665</v>
      </c>
      <c r="AW31" s="372">
        <f t="shared" si="33"/>
        <v>61.54532552281001</v>
      </c>
      <c r="AX31" s="372">
        <f t="shared" si="11"/>
        <v>0</v>
      </c>
      <c r="AY31" s="374">
        <f t="shared" si="34"/>
        <v>11299.192526538467</v>
      </c>
      <c r="AZ31" s="351"/>
      <c r="BA31" s="371">
        <f>IF(H31&lt;&gt;"",'Dados Gerais'!C$27,"")</f>
        <v>0.04</v>
      </c>
      <c r="BB31" s="372">
        <f t="shared" ca="1" si="35"/>
        <v>13253.224048376074</v>
      </c>
      <c r="BC31" s="372">
        <f t="shared" ca="1" si="36"/>
        <v>530.12896193504298</v>
      </c>
      <c r="BD31" s="373">
        <f t="shared" ca="1" si="37"/>
        <v>1.4965248473776056</v>
      </c>
      <c r="BE31" s="372">
        <f ca="1">IF(H31&lt;&gt;"",(R31)*(1+'Dados Gerais'!A$106),"")</f>
        <v>13253.224048376074</v>
      </c>
      <c r="BF31" s="372">
        <f ca="1">IF(H31&lt;&gt;"",IF('Dados Gerais'!B$11="S",0,BE31*(W31)),"")</f>
        <v>0</v>
      </c>
      <c r="BG31" s="374">
        <f t="shared" ca="1" si="38"/>
        <v>13253.224048376074</v>
      </c>
      <c r="BI31" s="371">
        <f t="shared" si="39"/>
        <v>0.22</v>
      </c>
      <c r="BJ31" s="372">
        <f t="shared" ca="1" si="40"/>
        <v>17233.88793734659</v>
      </c>
      <c r="BK31" s="372">
        <f t="shared" ca="1" si="41"/>
        <v>3791.4553462162498</v>
      </c>
      <c r="BL31" s="373">
        <f t="shared" ca="1" si="42"/>
        <v>1.9460126397184496</v>
      </c>
      <c r="BM31" s="372">
        <f ca="1">IF(H31&lt;&gt;"",BE31*(1+'Dados Gerais'!A$156),"")</f>
        <v>17233.88793734659</v>
      </c>
      <c r="BN31" s="372">
        <f ca="1">IF(H31&lt;&gt;"",IF('Dados Gerais'!B$13="S",0,BM31*W31),"")</f>
        <v>0</v>
      </c>
      <c r="BO31" s="455" t="str">
        <f t="shared" si="43"/>
        <v>N</v>
      </c>
      <c r="BP31" s="447" t="str">
        <f t="shared" si="44"/>
        <v>N</v>
      </c>
      <c r="BQ31" s="447" t="str">
        <f t="shared" si="45"/>
        <v>N</v>
      </c>
      <c r="BR31" s="374">
        <f t="shared" ca="1" si="46"/>
        <v>17233.88793734659</v>
      </c>
    </row>
    <row r="32" spans="1:70" ht="100.05" customHeight="1">
      <c r="A32" s="375">
        <v>19</v>
      </c>
      <c r="B32" s="439">
        <v>376</v>
      </c>
      <c r="C32" s="439">
        <v>329</v>
      </c>
      <c r="D32" s="440">
        <v>0.09</v>
      </c>
      <c r="E32" s="494">
        <f t="shared" si="48"/>
        <v>0.09</v>
      </c>
      <c r="F32" s="494">
        <f t="shared" si="49"/>
        <v>0.10053249150288605</v>
      </c>
      <c r="G32" s="494">
        <f t="shared" si="50"/>
        <v>1.6347601747977727</v>
      </c>
      <c r="H32" s="508" t="s">
        <v>397</v>
      </c>
      <c r="I32" s="442">
        <v>6768</v>
      </c>
      <c r="J32" s="484" t="s">
        <v>310</v>
      </c>
      <c r="K32" s="485" t="s">
        <v>415</v>
      </c>
      <c r="L32" s="443">
        <v>83040000</v>
      </c>
      <c r="M32" s="495">
        <f t="shared" si="51"/>
        <v>609.12</v>
      </c>
      <c r="N32" s="495">
        <f t="shared" si="52"/>
        <v>71.283902491532771</v>
      </c>
      <c r="O32" s="495">
        <f>(M32/$M$45)*('Dados Gerais'!$C$41)</f>
        <v>0</v>
      </c>
      <c r="P32" s="495">
        <f t="shared" si="53"/>
        <v>0</v>
      </c>
      <c r="Q32" s="495">
        <f t="shared" si="54"/>
        <v>680.40390249153279</v>
      </c>
      <c r="R32" s="495">
        <f t="shared" si="55"/>
        <v>3327.9915678665857</v>
      </c>
      <c r="S32" s="496">
        <v>0.128</v>
      </c>
      <c r="T32" s="495">
        <f t="shared" si="56"/>
        <v>425.98292068692297</v>
      </c>
      <c r="U32" s="497">
        <f t="shared" si="57"/>
        <v>0.49172452243891634</v>
      </c>
      <c r="V32" s="495">
        <f t="shared" si="58"/>
        <v>3327.9915678665857</v>
      </c>
      <c r="W32" s="369">
        <v>6.5000000000000002E-2</v>
      </c>
      <c r="X32" s="495">
        <f t="shared" si="59"/>
        <v>244.00834175597808</v>
      </c>
      <c r="Y32" s="496">
        <v>2.1000000000000001E-2</v>
      </c>
      <c r="Z32" s="495">
        <f t="shared" si="60"/>
        <v>69.887822925198307</v>
      </c>
      <c r="AA32" s="496">
        <v>9.6500000000000002E-2</v>
      </c>
      <c r="AB32" s="498">
        <f t="shared" si="61"/>
        <v>321.15118629912553</v>
      </c>
      <c r="AC32" s="498">
        <f>(V32/V$45)*('Dados Gerais'!C$56+'Dados Gerais'!C$57+'Dados Gerais'!C$58+'Dados Gerais'!C$49)</f>
        <v>73.28588826158709</v>
      </c>
      <c r="AD32" s="498">
        <f>(V32/V$45)*('Dados Gerais'!C$72)</f>
        <v>23.102398947263758</v>
      </c>
      <c r="AE32" s="499" t="s">
        <v>367</v>
      </c>
      <c r="AF32" s="351">
        <v>7</v>
      </c>
      <c r="AG32" s="238">
        <f t="shared" si="47"/>
        <v>19</v>
      </c>
      <c r="AI32" s="351" t="str">
        <f t="shared" si="62"/>
        <v xml:space="preserve"> BP00073 </v>
      </c>
      <c r="AJ32" s="353">
        <f t="shared" si="62"/>
        <v>6768</v>
      </c>
      <c r="AK32" s="351" t="str">
        <f t="shared" si="62"/>
        <v>Un.</v>
      </c>
      <c r="AL32" s="459" t="e">
        <f>#REF!</f>
        <v>#REF!</v>
      </c>
      <c r="AM32" s="351"/>
      <c r="AN32" s="371">
        <f>IF(I32&lt;&gt;"",IF('Dados Gerais'!B$26="NA",'Dados Gerais'!C$25,0%),"")</f>
        <v>0</v>
      </c>
      <c r="AO32" s="372" t="str">
        <f>IF(I32&lt;&gt;"",'Dados Gerais'!C$64,"")</f>
        <v>DIFERIDO</v>
      </c>
      <c r="AP32" s="372">
        <f t="shared" si="26"/>
        <v>0</v>
      </c>
      <c r="AQ32" s="373">
        <f t="shared" si="27"/>
        <v>0.49172452243891634</v>
      </c>
      <c r="AR32" s="372">
        <f t="shared" si="28"/>
        <v>3327.9915678665857</v>
      </c>
      <c r="AS32" s="372">
        <f t="shared" si="29"/>
        <v>425.98292068692297</v>
      </c>
      <c r="AT32" s="372">
        <f t="shared" si="30"/>
        <v>73.28588826158709</v>
      </c>
      <c r="AU32" s="372">
        <f t="shared" si="31"/>
        <v>69.887822925198307</v>
      </c>
      <c r="AV32" s="372">
        <f t="shared" si="32"/>
        <v>321.15118629912553</v>
      </c>
      <c r="AW32" s="372">
        <f t="shared" si="33"/>
        <v>23.102398947263758</v>
      </c>
      <c r="AX32" s="372">
        <f t="shared" si="11"/>
        <v>244.00834175597808</v>
      </c>
      <c r="AY32" s="374">
        <f t="shared" si="34"/>
        <v>4485.4101267426613</v>
      </c>
      <c r="AZ32" s="351"/>
      <c r="BA32" s="371">
        <f>IF(H32&lt;&gt;"",'Dados Gerais'!C$27,"")</f>
        <v>0.04</v>
      </c>
      <c r="BB32" s="372">
        <f t="shared" ca="1" si="35"/>
        <v>4974.8907281281145</v>
      </c>
      <c r="BC32" s="372">
        <f t="shared" ca="1" si="36"/>
        <v>198.99562912512459</v>
      </c>
      <c r="BD32" s="373">
        <f t="shared" ca="1" si="37"/>
        <v>0.73506068678015879</v>
      </c>
      <c r="BE32" s="372">
        <f ca="1">IF(H32&lt;&gt;"",(R32)*(1+'Dados Gerais'!A$106),"")</f>
        <v>4974.8907281281145</v>
      </c>
      <c r="BF32" s="372">
        <f ca="1">IF(H32&lt;&gt;"",IF('Dados Gerais'!B$11="S",0,BE32*(W32)),"")</f>
        <v>323.36789732832744</v>
      </c>
      <c r="BG32" s="374">
        <f t="shared" ca="1" si="38"/>
        <v>5298.2586254564421</v>
      </c>
      <c r="BI32" s="371">
        <f t="shared" si="39"/>
        <v>0.22</v>
      </c>
      <c r="BJ32" s="372">
        <f t="shared" ca="1" si="40"/>
        <v>6469.1209471864231</v>
      </c>
      <c r="BK32" s="372">
        <f t="shared" ca="1" si="41"/>
        <v>1423.206608381013</v>
      </c>
      <c r="BL32" s="373">
        <f t="shared" ca="1" si="42"/>
        <v>0.95583938344953057</v>
      </c>
      <c r="BM32" s="372">
        <f ca="1">IF(H32&lt;&gt;"",BE32*(1+'Dados Gerais'!A$156),"")</f>
        <v>6469.1209471864231</v>
      </c>
      <c r="BN32" s="372">
        <f ca="1">IF(H32&lt;&gt;"",IF('Dados Gerais'!B$13="S",0,BM32*W32),"")</f>
        <v>420.49286156711753</v>
      </c>
      <c r="BO32" s="455" t="str">
        <f t="shared" si="43"/>
        <v>N</v>
      </c>
      <c r="BP32" s="447" t="str">
        <f t="shared" si="44"/>
        <v>N</v>
      </c>
      <c r="BQ32" s="447" t="str">
        <f t="shared" si="45"/>
        <v>N</v>
      </c>
      <c r="BR32" s="374">
        <f t="shared" ca="1" si="46"/>
        <v>6889.613808753541</v>
      </c>
    </row>
    <row r="33" spans="1:70" ht="100.05" customHeight="1">
      <c r="A33" s="375">
        <v>20</v>
      </c>
      <c r="B33" s="439"/>
      <c r="C33" s="439"/>
      <c r="D33" s="440"/>
      <c r="E33" s="376" t="str">
        <f t="shared" ref="E33:E43" si="63">IF(I33&gt;0,IF(M$11="CFR",(M33-N33)/I33,(M33)/I33),"")</f>
        <v/>
      </c>
      <c r="F33" s="376" t="str">
        <f t="shared" ref="F33:F43" si="64">IF(I33&gt;0,IF(M$11="CIF",(M33)/I33,IF(M$11="CFR",(M33+P33)/I33,(M33+N33+P33)/I33)),"")</f>
        <v/>
      </c>
      <c r="G33" s="376" t="str">
        <f t="shared" si="1"/>
        <v/>
      </c>
      <c r="H33" s="441"/>
      <c r="I33" s="442"/>
      <c r="J33" s="377"/>
      <c r="K33" s="456"/>
      <c r="L33" s="443"/>
      <c r="M33" s="372">
        <f t="shared" ref="M33:M43" si="65">D33*I33</f>
        <v>0</v>
      </c>
      <c r="N33" s="372">
        <f t="shared" si="2"/>
        <v>0</v>
      </c>
      <c r="O33" s="486">
        <v>0</v>
      </c>
      <c r="P33" s="372">
        <f t="shared" si="3"/>
        <v>0</v>
      </c>
      <c r="Q33" s="372">
        <f t="shared" ref="Q33:Q43" si="66">IF(M$11="FOB",M33+N33+O33+P33,IF(M$11="CFR",M33+O33+P33,M33+O33))</f>
        <v>0</v>
      </c>
      <c r="R33" s="372">
        <f t="shared" si="4"/>
        <v>0</v>
      </c>
      <c r="S33" s="444">
        <v>0.128</v>
      </c>
      <c r="T33" s="372">
        <f t="shared" ref="T33:T43" si="67">R33*S33</f>
        <v>0</v>
      </c>
      <c r="U33" s="373" t="str">
        <f t="shared" ref="U33:U43" si="68">IF(I33&gt;0,R33/I33,"")</f>
        <v/>
      </c>
      <c r="V33" s="372">
        <f t="shared" ref="V33:V43" si="69">R33</f>
        <v>0</v>
      </c>
      <c r="W33" s="444">
        <v>6.5000000000000002E-2</v>
      </c>
      <c r="X33" s="372">
        <f t="shared" ref="X33:X43" si="70">W33*(T33+V33)</f>
        <v>0</v>
      </c>
      <c r="Y33" s="444"/>
      <c r="Z33" s="372">
        <f t="shared" si="5"/>
        <v>0</v>
      </c>
      <c r="AA33" s="444"/>
      <c r="AB33" s="447">
        <f t="shared" si="6"/>
        <v>0</v>
      </c>
      <c r="AC33" s="447">
        <f>(V33/V$45)*('Dados Gerais'!C$56+'Dados Gerais'!C$57+'Dados Gerais'!C$58+'Dados Gerais'!C$49)</f>
        <v>0</v>
      </c>
      <c r="AD33" s="447">
        <f>(V33/V$45)*('Dados Gerais'!C$72)</f>
        <v>0</v>
      </c>
      <c r="AE33" s="454" t="s">
        <v>339</v>
      </c>
      <c r="AF33" s="351"/>
      <c r="AG33" s="238">
        <f t="shared" si="47"/>
        <v>20</v>
      </c>
      <c r="AI33" s="351">
        <f t="shared" si="62"/>
        <v>0</v>
      </c>
      <c r="AJ33" s="353">
        <f t="shared" si="62"/>
        <v>0</v>
      </c>
      <c r="AK33" s="351">
        <f t="shared" si="62"/>
        <v>0</v>
      </c>
      <c r="AL33" s="459" t="e">
        <f>#REF!</f>
        <v>#REF!</v>
      </c>
      <c r="AM33" s="351"/>
      <c r="AN33" s="371" t="str">
        <f>IF(I33&lt;&gt;"",IF('Dados Gerais'!B$26="NA",'Dados Gerais'!C$25,0%),"")</f>
        <v/>
      </c>
      <c r="AO33" s="372" t="str">
        <f>IF(I33&lt;&gt;"",'Dados Gerais'!C$64,"")</f>
        <v/>
      </c>
      <c r="AP33" s="372" t="str">
        <f t="shared" si="26"/>
        <v/>
      </c>
      <c r="AQ33" s="373" t="str">
        <f t="shared" si="27"/>
        <v/>
      </c>
      <c r="AR33" s="372" t="str">
        <f t="shared" si="28"/>
        <v/>
      </c>
      <c r="AS33" s="372" t="str">
        <f t="shared" si="29"/>
        <v/>
      </c>
      <c r="AT33" s="372" t="str">
        <f t="shared" si="30"/>
        <v/>
      </c>
      <c r="AU33" s="372" t="str">
        <f t="shared" si="31"/>
        <v/>
      </c>
      <c r="AV33" s="372" t="str">
        <f t="shared" si="32"/>
        <v/>
      </c>
      <c r="AW33" s="372" t="str">
        <f t="shared" si="33"/>
        <v/>
      </c>
      <c r="AX33" s="372" t="str">
        <f t="shared" si="11"/>
        <v/>
      </c>
      <c r="AY33" s="374" t="str">
        <f t="shared" si="34"/>
        <v/>
      </c>
      <c r="AZ33" s="351"/>
      <c r="BA33" s="371" t="str">
        <f>IF(H33&lt;&gt;"",'Dados Gerais'!C$27,"")</f>
        <v/>
      </c>
      <c r="BB33" s="372" t="str">
        <f t="shared" si="35"/>
        <v/>
      </c>
      <c r="BC33" s="372" t="str">
        <f t="shared" si="36"/>
        <v/>
      </c>
      <c r="BD33" s="373" t="str">
        <f t="shared" si="37"/>
        <v/>
      </c>
      <c r="BE33" s="372" t="str">
        <f>IF(H33&lt;&gt;"",(R33)*(1+'Dados Gerais'!A$106),"")</f>
        <v/>
      </c>
      <c r="BF33" s="372" t="str">
        <f>IF(H33&lt;&gt;"",IF('Dados Gerais'!B$11="S",0,BE33*(W33)),"")</f>
        <v/>
      </c>
      <c r="BG33" s="374" t="str">
        <f t="shared" si="38"/>
        <v/>
      </c>
      <c r="BI33" s="371" t="str">
        <f t="shared" si="39"/>
        <v/>
      </c>
      <c r="BJ33" s="372" t="str">
        <f t="shared" si="40"/>
        <v/>
      </c>
      <c r="BK33" s="372" t="str">
        <f t="shared" si="41"/>
        <v/>
      </c>
      <c r="BL33" s="373" t="str">
        <f t="shared" si="42"/>
        <v/>
      </c>
      <c r="BM33" s="372" t="str">
        <f>IF(H33&lt;&gt;"",BE33*(1+'Dados Gerais'!A$156),"")</f>
        <v/>
      </c>
      <c r="BN33" s="372" t="str">
        <f>IF(H33&lt;&gt;"",IF('Dados Gerais'!B$13="S",0,BM33*W33),"")</f>
        <v/>
      </c>
      <c r="BO33" s="455" t="str">
        <f t="shared" si="43"/>
        <v/>
      </c>
      <c r="BP33" s="447" t="str">
        <f t="shared" si="44"/>
        <v/>
      </c>
      <c r="BQ33" s="447" t="str">
        <f t="shared" si="45"/>
        <v/>
      </c>
      <c r="BR33" s="374" t="str">
        <f t="shared" si="46"/>
        <v/>
      </c>
    </row>
    <row r="34" spans="1:70" ht="100.05" customHeight="1">
      <c r="A34" s="375">
        <v>21</v>
      </c>
      <c r="B34" s="439"/>
      <c r="C34" s="439"/>
      <c r="D34" s="440"/>
      <c r="E34" s="376" t="str">
        <f t="shared" si="63"/>
        <v/>
      </c>
      <c r="F34" s="376" t="str">
        <f t="shared" si="64"/>
        <v/>
      </c>
      <c r="G34" s="376" t="str">
        <f t="shared" si="1"/>
        <v/>
      </c>
      <c r="H34" s="441"/>
      <c r="I34" s="442"/>
      <c r="J34" s="377"/>
      <c r="K34" s="456"/>
      <c r="L34" s="443"/>
      <c r="M34" s="372">
        <f t="shared" si="65"/>
        <v>0</v>
      </c>
      <c r="N34" s="372">
        <f t="shared" si="2"/>
        <v>0</v>
      </c>
      <c r="O34" s="486">
        <v>0</v>
      </c>
      <c r="P34" s="372">
        <f t="shared" si="3"/>
        <v>0</v>
      </c>
      <c r="Q34" s="372">
        <f t="shared" si="66"/>
        <v>0</v>
      </c>
      <c r="R34" s="372">
        <f t="shared" si="4"/>
        <v>0</v>
      </c>
      <c r="S34" s="444"/>
      <c r="T34" s="372">
        <f t="shared" si="67"/>
        <v>0</v>
      </c>
      <c r="U34" s="373" t="str">
        <f t="shared" si="68"/>
        <v/>
      </c>
      <c r="V34" s="372">
        <f t="shared" si="69"/>
        <v>0</v>
      </c>
      <c r="W34" s="444"/>
      <c r="X34" s="372">
        <f t="shared" si="70"/>
        <v>0</v>
      </c>
      <c r="Y34" s="444"/>
      <c r="Z34" s="372">
        <f t="shared" si="5"/>
        <v>0</v>
      </c>
      <c r="AA34" s="444"/>
      <c r="AB34" s="447">
        <f t="shared" si="6"/>
        <v>0</v>
      </c>
      <c r="AC34" s="447">
        <f>(V34/V$45)*('Dados Gerais'!C$56+'Dados Gerais'!C$57+'Dados Gerais'!C$58+'Dados Gerais'!C$49)</f>
        <v>0</v>
      </c>
      <c r="AD34" s="447">
        <f>(V34/V$45)*('Dados Gerais'!C$72)</f>
        <v>0</v>
      </c>
      <c r="AE34" s="454" t="s">
        <v>339</v>
      </c>
      <c r="AF34" s="351"/>
      <c r="AG34" s="238">
        <f t="shared" si="47"/>
        <v>21</v>
      </c>
      <c r="AI34" s="351">
        <f t="shared" si="62"/>
        <v>0</v>
      </c>
      <c r="AJ34" s="353">
        <f t="shared" si="62"/>
        <v>0</v>
      </c>
      <c r="AK34" s="351">
        <f t="shared" si="62"/>
        <v>0</v>
      </c>
      <c r="AL34" s="459" t="e">
        <f>#REF!</f>
        <v>#REF!</v>
      </c>
      <c r="AM34" s="351"/>
      <c r="AN34" s="371" t="str">
        <f>IF(I34&lt;&gt;"",IF('Dados Gerais'!B$26="NA",'Dados Gerais'!C$25,0%),"")</f>
        <v/>
      </c>
      <c r="AO34" s="372" t="str">
        <f>IF(I34&lt;&gt;"",'Dados Gerais'!C$64,"")</f>
        <v/>
      </c>
      <c r="AP34" s="372" t="str">
        <f t="shared" si="26"/>
        <v/>
      </c>
      <c r="AQ34" s="373" t="str">
        <f t="shared" si="27"/>
        <v/>
      </c>
      <c r="AR34" s="372" t="str">
        <f t="shared" si="28"/>
        <v/>
      </c>
      <c r="AS34" s="372" t="str">
        <f t="shared" si="29"/>
        <v/>
      </c>
      <c r="AT34" s="372" t="str">
        <f t="shared" si="30"/>
        <v/>
      </c>
      <c r="AU34" s="372" t="str">
        <f t="shared" si="31"/>
        <v/>
      </c>
      <c r="AV34" s="372" t="str">
        <f t="shared" si="32"/>
        <v/>
      </c>
      <c r="AW34" s="372" t="str">
        <f t="shared" si="33"/>
        <v/>
      </c>
      <c r="AX34" s="372" t="str">
        <f t="shared" si="11"/>
        <v/>
      </c>
      <c r="AY34" s="374" t="str">
        <f t="shared" si="34"/>
        <v/>
      </c>
      <c r="AZ34" s="351"/>
      <c r="BA34" s="371" t="str">
        <f>IF(H34&lt;&gt;"",'Dados Gerais'!C$27,"")</f>
        <v/>
      </c>
      <c r="BB34" s="372" t="str">
        <f t="shared" si="35"/>
        <v/>
      </c>
      <c r="BC34" s="372" t="str">
        <f t="shared" si="36"/>
        <v/>
      </c>
      <c r="BD34" s="373" t="str">
        <f t="shared" si="37"/>
        <v/>
      </c>
      <c r="BE34" s="372" t="str">
        <f>IF(H34&lt;&gt;"",(R34)*(1+'Dados Gerais'!A$106),"")</f>
        <v/>
      </c>
      <c r="BF34" s="372" t="str">
        <f>IF(H34&lt;&gt;"",IF('Dados Gerais'!B$11="S",0,BE34*(W34)),"")</f>
        <v/>
      </c>
      <c r="BG34" s="374" t="str">
        <f t="shared" si="38"/>
        <v/>
      </c>
      <c r="BI34" s="371" t="str">
        <f t="shared" si="39"/>
        <v/>
      </c>
      <c r="BJ34" s="372" t="str">
        <f t="shared" si="40"/>
        <v/>
      </c>
      <c r="BK34" s="372" t="str">
        <f t="shared" si="41"/>
        <v/>
      </c>
      <c r="BL34" s="373" t="str">
        <f t="shared" si="42"/>
        <v/>
      </c>
      <c r="BM34" s="372" t="str">
        <f>IF(H34&lt;&gt;"",BE34*(1+'Dados Gerais'!A$156),"")</f>
        <v/>
      </c>
      <c r="BN34" s="372" t="str">
        <f>IF(H34&lt;&gt;"",IF('Dados Gerais'!B$13="S",0,BM34*W34),"")</f>
        <v/>
      </c>
      <c r="BO34" s="455" t="str">
        <f t="shared" si="43"/>
        <v/>
      </c>
      <c r="BP34" s="447" t="str">
        <f t="shared" si="44"/>
        <v/>
      </c>
      <c r="BQ34" s="447" t="str">
        <f t="shared" si="45"/>
        <v/>
      </c>
      <c r="BR34" s="374" t="str">
        <f t="shared" si="46"/>
        <v/>
      </c>
    </row>
    <row r="35" spans="1:70" ht="100.05" customHeight="1" thickBot="1">
      <c r="A35" s="375">
        <v>22</v>
      </c>
      <c r="B35" s="439"/>
      <c r="C35" s="439"/>
      <c r="D35" s="440"/>
      <c r="E35" s="483" t="str">
        <f t="shared" si="63"/>
        <v/>
      </c>
      <c r="F35" s="483" t="str">
        <f t="shared" si="64"/>
        <v/>
      </c>
      <c r="G35" s="483" t="str">
        <f t="shared" si="1"/>
        <v/>
      </c>
      <c r="H35" s="441"/>
      <c r="I35" s="442"/>
      <c r="J35" s="484"/>
      <c r="K35" s="456"/>
      <c r="L35" s="443"/>
      <c r="M35" s="486">
        <f t="shared" si="65"/>
        <v>0</v>
      </c>
      <c r="N35" s="486">
        <f t="shared" si="2"/>
        <v>0</v>
      </c>
      <c r="O35" s="486">
        <v>0</v>
      </c>
      <c r="P35" s="486">
        <f t="shared" si="3"/>
        <v>0</v>
      </c>
      <c r="Q35" s="486">
        <f t="shared" si="66"/>
        <v>0</v>
      </c>
      <c r="R35" s="486">
        <f t="shared" si="4"/>
        <v>0</v>
      </c>
      <c r="S35" s="444"/>
      <c r="T35" s="486">
        <f t="shared" si="67"/>
        <v>0</v>
      </c>
      <c r="U35" s="487" t="str">
        <f t="shared" si="68"/>
        <v/>
      </c>
      <c r="V35" s="486">
        <f t="shared" si="69"/>
        <v>0</v>
      </c>
      <c r="W35" s="444"/>
      <c r="X35" s="486">
        <f t="shared" si="70"/>
        <v>0</v>
      </c>
      <c r="Y35" s="444"/>
      <c r="Z35" s="486">
        <f t="shared" si="5"/>
        <v>0</v>
      </c>
      <c r="AA35" s="444"/>
      <c r="AB35" s="500">
        <f t="shared" si="6"/>
        <v>0</v>
      </c>
      <c r="AC35" s="500">
        <f>(V35/V$45)*('Dados Gerais'!C$56+'Dados Gerais'!C$57+'Dados Gerais'!C$58+'Dados Gerais'!C$49)</f>
        <v>0</v>
      </c>
      <c r="AD35" s="500">
        <f>(V35/V$45)*('Dados Gerais'!C$72)</f>
        <v>0</v>
      </c>
      <c r="AE35" s="454" t="s">
        <v>339</v>
      </c>
      <c r="AF35" s="351"/>
      <c r="AG35" s="238">
        <f t="shared" si="47"/>
        <v>22</v>
      </c>
      <c r="AI35" s="351">
        <f t="shared" si="62"/>
        <v>0</v>
      </c>
      <c r="AJ35" s="353">
        <f t="shared" si="62"/>
        <v>0</v>
      </c>
      <c r="AK35" s="351">
        <f t="shared" si="62"/>
        <v>0</v>
      </c>
      <c r="AL35" s="459" t="str">
        <f t="shared" ref="AL35:AL42" si="71">K31</f>
        <v>GRAMPO 5000 UNIDADES</v>
      </c>
      <c r="AM35" s="351"/>
      <c r="AN35" s="371" t="str">
        <f>IF(I35&lt;&gt;"",IF('Dados Gerais'!B$26="NA",'Dados Gerais'!C$25,0%),"")</f>
        <v/>
      </c>
      <c r="AO35" s="372" t="str">
        <f>IF(I35&lt;&gt;"",'Dados Gerais'!C$64,"")</f>
        <v/>
      </c>
      <c r="AP35" s="372" t="str">
        <f t="shared" si="26"/>
        <v/>
      </c>
      <c r="AQ35" s="373" t="str">
        <f t="shared" si="27"/>
        <v/>
      </c>
      <c r="AR35" s="372" t="str">
        <f t="shared" si="28"/>
        <v/>
      </c>
      <c r="AS35" s="372" t="str">
        <f t="shared" si="29"/>
        <v/>
      </c>
      <c r="AT35" s="372" t="str">
        <f t="shared" si="30"/>
        <v/>
      </c>
      <c r="AU35" s="372" t="str">
        <f t="shared" si="31"/>
        <v/>
      </c>
      <c r="AV35" s="372" t="str">
        <f t="shared" si="32"/>
        <v/>
      </c>
      <c r="AW35" s="372" t="str">
        <f t="shared" si="33"/>
        <v/>
      </c>
      <c r="AX35" s="372" t="str">
        <f t="shared" si="11"/>
        <v/>
      </c>
      <c r="AY35" s="374" t="str">
        <f t="shared" si="34"/>
        <v/>
      </c>
      <c r="AZ35" s="351"/>
      <c r="BA35" s="371" t="str">
        <f>IF(H35&lt;&gt;"",'Dados Gerais'!C$27,"")</f>
        <v/>
      </c>
      <c r="BB35" s="372" t="str">
        <f t="shared" si="35"/>
        <v/>
      </c>
      <c r="BC35" s="372" t="str">
        <f t="shared" si="36"/>
        <v/>
      </c>
      <c r="BD35" s="373" t="str">
        <f t="shared" si="37"/>
        <v/>
      </c>
      <c r="BE35" s="372" t="str">
        <f>IF(H35&lt;&gt;"",(R35)*(1+'Dados Gerais'!A$106),"")</f>
        <v/>
      </c>
      <c r="BF35" s="372" t="str">
        <f>IF(H35&lt;&gt;"",IF('Dados Gerais'!B$11="S",0,BE35*(W35)),"")</f>
        <v/>
      </c>
      <c r="BG35" s="374" t="str">
        <f t="shared" si="38"/>
        <v/>
      </c>
      <c r="BI35" s="371" t="str">
        <f t="shared" si="39"/>
        <v/>
      </c>
      <c r="BJ35" s="372" t="str">
        <f t="shared" si="40"/>
        <v/>
      </c>
      <c r="BK35" s="372" t="str">
        <f t="shared" si="41"/>
        <v/>
      </c>
      <c r="BL35" s="373" t="str">
        <f t="shared" si="42"/>
        <v/>
      </c>
      <c r="BM35" s="372" t="str">
        <f>IF(H35&lt;&gt;"",BE35*(1+'Dados Gerais'!A$156),"")</f>
        <v/>
      </c>
      <c r="BN35" s="372" t="str">
        <f>IF(H35&lt;&gt;"",IF('Dados Gerais'!B$13="S",0,BM35*W35),"")</f>
        <v/>
      </c>
      <c r="BO35" s="455" t="str">
        <f t="shared" si="43"/>
        <v/>
      </c>
      <c r="BP35" s="447" t="str">
        <f t="shared" si="44"/>
        <v/>
      </c>
      <c r="BQ35" s="447" t="str">
        <f t="shared" si="45"/>
        <v/>
      </c>
      <c r="BR35" s="374" t="str">
        <f t="shared" si="46"/>
        <v/>
      </c>
    </row>
    <row r="36" spans="1:70" ht="100.05" customHeight="1">
      <c r="A36" s="375">
        <v>23</v>
      </c>
      <c r="B36" s="488"/>
      <c r="C36" s="488"/>
      <c r="D36" s="489"/>
      <c r="E36" s="367" t="str">
        <f t="shared" si="63"/>
        <v/>
      </c>
      <c r="F36" s="367" t="str">
        <f t="shared" si="64"/>
        <v/>
      </c>
      <c r="G36" s="367" t="str">
        <f t="shared" si="1"/>
        <v/>
      </c>
      <c r="H36" s="490"/>
      <c r="I36" s="491"/>
      <c r="J36" s="492"/>
      <c r="K36" s="502"/>
      <c r="L36" s="493"/>
      <c r="M36" s="368">
        <f t="shared" si="65"/>
        <v>0</v>
      </c>
      <c r="N36" s="368">
        <f t="shared" si="2"/>
        <v>0</v>
      </c>
      <c r="O36" s="368">
        <f t="shared" ref="O36:O43" si="72">D$4*(M36/D$2)</f>
        <v>0</v>
      </c>
      <c r="P36" s="368">
        <f t="shared" si="3"/>
        <v>0</v>
      </c>
      <c r="Q36" s="368">
        <f t="shared" si="66"/>
        <v>0</v>
      </c>
      <c r="R36" s="368">
        <f t="shared" si="4"/>
        <v>0</v>
      </c>
      <c r="S36" s="369"/>
      <c r="T36" s="368">
        <f t="shared" si="67"/>
        <v>0</v>
      </c>
      <c r="U36" s="370" t="str">
        <f t="shared" si="68"/>
        <v/>
      </c>
      <c r="V36" s="368">
        <f t="shared" si="69"/>
        <v>0</v>
      </c>
      <c r="W36" s="369"/>
      <c r="X36" s="368">
        <f t="shared" si="70"/>
        <v>0</v>
      </c>
      <c r="Y36" s="369"/>
      <c r="Z36" s="368">
        <f t="shared" si="5"/>
        <v>0</v>
      </c>
      <c r="AA36" s="369"/>
      <c r="AB36" s="449">
        <f t="shared" si="6"/>
        <v>0</v>
      </c>
      <c r="AC36" s="449">
        <f>(V36/V$45)*('Dados Gerais'!C$56+'Dados Gerais'!C$57+'Dados Gerais'!C$58+'Dados Gerais'!C$49)</f>
        <v>0</v>
      </c>
      <c r="AD36" s="449">
        <f>(V36/V$45)*('Dados Gerais'!C$72)</f>
        <v>0</v>
      </c>
      <c r="AE36" s="453" t="s">
        <v>339</v>
      </c>
      <c r="AF36" s="351"/>
      <c r="AG36" s="238">
        <f t="shared" si="47"/>
        <v>23</v>
      </c>
      <c r="AI36" s="351">
        <f t="shared" si="62"/>
        <v>0</v>
      </c>
      <c r="AJ36" s="353">
        <f t="shared" si="62"/>
        <v>0</v>
      </c>
      <c r="AK36" s="351">
        <f t="shared" si="62"/>
        <v>0</v>
      </c>
      <c r="AL36" s="459" t="str">
        <f t="shared" si="71"/>
        <v>CLIPS  PEQUENO - 100 UND</v>
      </c>
      <c r="AM36" s="351"/>
      <c r="AN36" s="371" t="str">
        <f>IF(I36&lt;&gt;"",IF('Dados Gerais'!B$26="NA",'Dados Gerais'!C$25,0%),"")</f>
        <v/>
      </c>
      <c r="AO36" s="372" t="str">
        <f>IF(I36&lt;&gt;"",'Dados Gerais'!C$64,"")</f>
        <v/>
      </c>
      <c r="AP36" s="372" t="str">
        <f t="shared" si="26"/>
        <v/>
      </c>
      <c r="AQ36" s="373" t="str">
        <f t="shared" si="27"/>
        <v/>
      </c>
      <c r="AR36" s="372" t="str">
        <f t="shared" si="28"/>
        <v/>
      </c>
      <c r="AS36" s="372" t="str">
        <f t="shared" si="29"/>
        <v/>
      </c>
      <c r="AT36" s="372" t="str">
        <f t="shared" si="30"/>
        <v/>
      </c>
      <c r="AU36" s="372" t="str">
        <f t="shared" si="31"/>
        <v/>
      </c>
      <c r="AV36" s="372" t="str">
        <f t="shared" si="32"/>
        <v/>
      </c>
      <c r="AW36" s="372" t="str">
        <f t="shared" si="33"/>
        <v/>
      </c>
      <c r="AX36" s="372" t="str">
        <f t="shared" si="11"/>
        <v/>
      </c>
      <c r="AY36" s="374" t="str">
        <f t="shared" si="34"/>
        <v/>
      </c>
      <c r="AZ36" s="351"/>
      <c r="BA36" s="371" t="str">
        <f>IF(H36&lt;&gt;"",'Dados Gerais'!C$27,"")</f>
        <v/>
      </c>
      <c r="BB36" s="372" t="str">
        <f t="shared" si="35"/>
        <v/>
      </c>
      <c r="BC36" s="372" t="str">
        <f t="shared" si="36"/>
        <v/>
      </c>
      <c r="BD36" s="373" t="str">
        <f t="shared" si="37"/>
        <v/>
      </c>
      <c r="BE36" s="372" t="str">
        <f>IF(H36&lt;&gt;"",(R36)*(1+'Dados Gerais'!A$106),"")</f>
        <v/>
      </c>
      <c r="BF36" s="372" t="str">
        <f>IF(H36&lt;&gt;"",IF('Dados Gerais'!B$11="S",0,BE36*(W36)),"")</f>
        <v/>
      </c>
      <c r="BG36" s="374" t="str">
        <f t="shared" si="38"/>
        <v/>
      </c>
      <c r="BI36" s="371" t="str">
        <f t="shared" si="39"/>
        <v/>
      </c>
      <c r="BJ36" s="372" t="str">
        <f t="shared" si="40"/>
        <v/>
      </c>
      <c r="BK36" s="372" t="str">
        <f t="shared" si="41"/>
        <v/>
      </c>
      <c r="BL36" s="373" t="str">
        <f t="shared" si="42"/>
        <v/>
      </c>
      <c r="BM36" s="372" t="str">
        <f>IF(H36&lt;&gt;"",BE36*(1+'Dados Gerais'!A$156),"")</f>
        <v/>
      </c>
      <c r="BN36" s="372" t="str">
        <f>IF(H36&lt;&gt;"",IF('Dados Gerais'!B$13="S",0,BM36*W36),"")</f>
        <v/>
      </c>
      <c r="BO36" s="455" t="str">
        <f t="shared" si="43"/>
        <v/>
      </c>
      <c r="BP36" s="447" t="str">
        <f t="shared" si="44"/>
        <v/>
      </c>
      <c r="BQ36" s="447" t="str">
        <f t="shared" si="45"/>
        <v/>
      </c>
      <c r="BR36" s="374" t="str">
        <f t="shared" si="46"/>
        <v/>
      </c>
    </row>
    <row r="37" spans="1:70" ht="100.05" customHeight="1">
      <c r="A37" s="375">
        <v>24</v>
      </c>
      <c r="B37" s="439"/>
      <c r="C37" s="439"/>
      <c r="D37" s="440"/>
      <c r="E37" s="376" t="str">
        <f t="shared" si="63"/>
        <v/>
      </c>
      <c r="F37" s="376" t="str">
        <f t="shared" si="64"/>
        <v/>
      </c>
      <c r="G37" s="376" t="str">
        <f t="shared" si="1"/>
        <v/>
      </c>
      <c r="H37" s="441"/>
      <c r="I37" s="442"/>
      <c r="J37" s="377"/>
      <c r="K37" s="456"/>
      <c r="L37" s="443"/>
      <c r="M37" s="372">
        <f t="shared" si="65"/>
        <v>0</v>
      </c>
      <c r="N37" s="372">
        <f t="shared" si="2"/>
        <v>0</v>
      </c>
      <c r="O37" s="372">
        <f t="shared" si="72"/>
        <v>0</v>
      </c>
      <c r="P37" s="372">
        <f t="shared" si="3"/>
        <v>0</v>
      </c>
      <c r="Q37" s="372">
        <f t="shared" si="66"/>
        <v>0</v>
      </c>
      <c r="R37" s="372">
        <f t="shared" si="4"/>
        <v>0</v>
      </c>
      <c r="S37" s="444"/>
      <c r="T37" s="372">
        <f t="shared" si="67"/>
        <v>0</v>
      </c>
      <c r="U37" s="373" t="str">
        <f t="shared" si="68"/>
        <v/>
      </c>
      <c r="V37" s="372">
        <f t="shared" si="69"/>
        <v>0</v>
      </c>
      <c r="W37" s="444"/>
      <c r="X37" s="372">
        <f t="shared" si="70"/>
        <v>0</v>
      </c>
      <c r="Y37" s="444"/>
      <c r="Z37" s="372">
        <f t="shared" si="5"/>
        <v>0</v>
      </c>
      <c r="AA37" s="444"/>
      <c r="AB37" s="447">
        <f t="shared" si="6"/>
        <v>0</v>
      </c>
      <c r="AC37" s="447">
        <f>(V37/V$45)*('Dados Gerais'!C$56+'Dados Gerais'!C$57+'Dados Gerais'!C$58+'Dados Gerais'!C$49)</f>
        <v>0</v>
      </c>
      <c r="AD37" s="447">
        <f>(V37/V$45)*('Dados Gerais'!C$72)</f>
        <v>0</v>
      </c>
      <c r="AE37" s="454" t="s">
        <v>339</v>
      </c>
      <c r="AF37" s="351"/>
      <c r="AG37" s="238">
        <f t="shared" si="47"/>
        <v>24</v>
      </c>
      <c r="AI37" s="351">
        <f t="shared" si="62"/>
        <v>0</v>
      </c>
      <c r="AJ37" s="353">
        <f t="shared" si="62"/>
        <v>0</v>
      </c>
      <c r="AK37" s="351">
        <f t="shared" si="62"/>
        <v>0</v>
      </c>
      <c r="AL37" s="459">
        <f t="shared" si="71"/>
        <v>0</v>
      </c>
      <c r="AM37" s="351"/>
      <c r="AN37" s="371" t="str">
        <f>IF(I37&lt;&gt;"",IF('Dados Gerais'!B$26="NA",'Dados Gerais'!C$25,0%),"")</f>
        <v/>
      </c>
      <c r="AO37" s="372" t="str">
        <f>IF(I37&lt;&gt;"",'Dados Gerais'!C$64,"")</f>
        <v/>
      </c>
      <c r="AP37" s="372" t="str">
        <f t="shared" si="26"/>
        <v/>
      </c>
      <c r="AQ37" s="373" t="str">
        <f t="shared" si="27"/>
        <v/>
      </c>
      <c r="AR37" s="372" t="str">
        <f t="shared" si="28"/>
        <v/>
      </c>
      <c r="AS37" s="372" t="str">
        <f t="shared" si="29"/>
        <v/>
      </c>
      <c r="AT37" s="372" t="str">
        <f t="shared" si="30"/>
        <v/>
      </c>
      <c r="AU37" s="372" t="str">
        <f t="shared" si="31"/>
        <v/>
      </c>
      <c r="AV37" s="372" t="str">
        <f t="shared" si="32"/>
        <v/>
      </c>
      <c r="AW37" s="372" t="str">
        <f t="shared" si="33"/>
        <v/>
      </c>
      <c r="AX37" s="372" t="str">
        <f t="shared" si="11"/>
        <v/>
      </c>
      <c r="AY37" s="374" t="str">
        <f t="shared" si="34"/>
        <v/>
      </c>
      <c r="AZ37" s="351"/>
      <c r="BA37" s="371" t="str">
        <f>IF(H37&lt;&gt;"",'Dados Gerais'!C$27,"")</f>
        <v/>
      </c>
      <c r="BB37" s="372" t="str">
        <f t="shared" si="35"/>
        <v/>
      </c>
      <c r="BC37" s="372" t="str">
        <f t="shared" si="36"/>
        <v/>
      </c>
      <c r="BD37" s="373" t="str">
        <f t="shared" si="37"/>
        <v/>
      </c>
      <c r="BE37" s="372" t="str">
        <f>IF(H37&lt;&gt;"",(R37)*(1+'Dados Gerais'!A$106),"")</f>
        <v/>
      </c>
      <c r="BF37" s="372" t="str">
        <f>IF(H37&lt;&gt;"",IF('Dados Gerais'!B$11="S",0,BE37*(W37)),"")</f>
        <v/>
      </c>
      <c r="BG37" s="374" t="str">
        <f t="shared" si="38"/>
        <v/>
      </c>
      <c r="BI37" s="371" t="str">
        <f t="shared" si="39"/>
        <v/>
      </c>
      <c r="BJ37" s="372" t="str">
        <f t="shared" si="40"/>
        <v/>
      </c>
      <c r="BK37" s="372" t="str">
        <f t="shared" si="41"/>
        <v/>
      </c>
      <c r="BL37" s="373" t="str">
        <f t="shared" si="42"/>
        <v/>
      </c>
      <c r="BM37" s="372" t="str">
        <f>IF(H37&lt;&gt;"",BE37*(1+'Dados Gerais'!A$156),"")</f>
        <v/>
      </c>
      <c r="BN37" s="372" t="str">
        <f>IF(H37&lt;&gt;"",IF('Dados Gerais'!B$13="S",0,BM37*W37),"")</f>
        <v/>
      </c>
      <c r="BO37" s="455" t="str">
        <f t="shared" si="43"/>
        <v/>
      </c>
      <c r="BP37" s="447" t="str">
        <f t="shared" si="44"/>
        <v/>
      </c>
      <c r="BQ37" s="447" t="str">
        <f t="shared" si="45"/>
        <v/>
      </c>
      <c r="BR37" s="374" t="str">
        <f t="shared" si="46"/>
        <v/>
      </c>
    </row>
    <row r="38" spans="1:70" ht="100.05" customHeight="1">
      <c r="A38" s="375">
        <v>25</v>
      </c>
      <c r="B38" s="439"/>
      <c r="C38" s="439"/>
      <c r="D38" s="440"/>
      <c r="E38" s="376" t="str">
        <f t="shared" si="63"/>
        <v/>
      </c>
      <c r="F38" s="376" t="str">
        <f t="shared" si="64"/>
        <v/>
      </c>
      <c r="G38" s="376" t="str">
        <f t="shared" si="1"/>
        <v/>
      </c>
      <c r="H38" s="441"/>
      <c r="I38" s="442"/>
      <c r="J38" s="377"/>
      <c r="K38" s="456"/>
      <c r="L38" s="443"/>
      <c r="M38" s="372">
        <f t="shared" si="65"/>
        <v>0</v>
      </c>
      <c r="N38" s="372">
        <f t="shared" si="2"/>
        <v>0</v>
      </c>
      <c r="O38" s="372">
        <f t="shared" si="72"/>
        <v>0</v>
      </c>
      <c r="P38" s="372">
        <f t="shared" si="3"/>
        <v>0</v>
      </c>
      <c r="Q38" s="372">
        <f t="shared" si="66"/>
        <v>0</v>
      </c>
      <c r="R38" s="372">
        <f t="shared" si="4"/>
        <v>0</v>
      </c>
      <c r="S38" s="444"/>
      <c r="T38" s="372">
        <f t="shared" si="67"/>
        <v>0</v>
      </c>
      <c r="U38" s="373" t="str">
        <f t="shared" si="68"/>
        <v/>
      </c>
      <c r="V38" s="372">
        <f t="shared" si="69"/>
        <v>0</v>
      </c>
      <c r="W38" s="444"/>
      <c r="X38" s="372">
        <f t="shared" si="70"/>
        <v>0</v>
      </c>
      <c r="Y38" s="444"/>
      <c r="Z38" s="372">
        <f t="shared" si="5"/>
        <v>0</v>
      </c>
      <c r="AA38" s="444"/>
      <c r="AB38" s="447">
        <f t="shared" si="6"/>
        <v>0</v>
      </c>
      <c r="AC38" s="447">
        <f>(V38/V$45)*('Dados Gerais'!C$56+'Dados Gerais'!C$57+'Dados Gerais'!C$58+'Dados Gerais'!C$49)</f>
        <v>0</v>
      </c>
      <c r="AD38" s="447">
        <f>(V38/V$45)*('Dados Gerais'!C$72)</f>
        <v>0</v>
      </c>
      <c r="AE38" s="454" t="s">
        <v>339</v>
      </c>
      <c r="AF38" s="351"/>
      <c r="AG38" s="238">
        <f t="shared" si="47"/>
        <v>25</v>
      </c>
      <c r="AI38" s="351">
        <f t="shared" si="62"/>
        <v>0</v>
      </c>
      <c r="AJ38" s="353">
        <f t="shared" si="62"/>
        <v>0</v>
      </c>
      <c r="AK38" s="351">
        <f t="shared" si="62"/>
        <v>0</v>
      </c>
      <c r="AL38" s="459">
        <f t="shared" si="71"/>
        <v>0</v>
      </c>
      <c r="AM38" s="351"/>
      <c r="AN38" s="371" t="str">
        <f>IF(I38&lt;&gt;"",IF('Dados Gerais'!B$26="NA",'Dados Gerais'!C$25,0%),"")</f>
        <v/>
      </c>
      <c r="AO38" s="372" t="str">
        <f>IF(I38&lt;&gt;"",'Dados Gerais'!C$64,"")</f>
        <v/>
      </c>
      <c r="AP38" s="372" t="str">
        <f t="shared" si="26"/>
        <v/>
      </c>
      <c r="AQ38" s="373" t="str">
        <f t="shared" si="27"/>
        <v/>
      </c>
      <c r="AR38" s="372" t="str">
        <f t="shared" si="28"/>
        <v/>
      </c>
      <c r="AS38" s="372" t="str">
        <f t="shared" si="29"/>
        <v/>
      </c>
      <c r="AT38" s="372" t="str">
        <f t="shared" si="30"/>
        <v/>
      </c>
      <c r="AU38" s="372" t="str">
        <f t="shared" si="31"/>
        <v/>
      </c>
      <c r="AV38" s="372" t="str">
        <f t="shared" si="32"/>
        <v/>
      </c>
      <c r="AW38" s="372" t="str">
        <f t="shared" si="33"/>
        <v/>
      </c>
      <c r="AX38" s="372" t="str">
        <f t="shared" si="11"/>
        <v/>
      </c>
      <c r="AY38" s="374" t="str">
        <f t="shared" si="34"/>
        <v/>
      </c>
      <c r="AZ38" s="351"/>
      <c r="BA38" s="371" t="str">
        <f>IF(H38&lt;&gt;"",'Dados Gerais'!C$27,"")</f>
        <v/>
      </c>
      <c r="BB38" s="372" t="str">
        <f t="shared" si="35"/>
        <v/>
      </c>
      <c r="BC38" s="372" t="str">
        <f t="shared" si="36"/>
        <v/>
      </c>
      <c r="BD38" s="373" t="str">
        <f t="shared" si="37"/>
        <v/>
      </c>
      <c r="BE38" s="372" t="str">
        <f>IF(H38&lt;&gt;"",(R38)*(1+'Dados Gerais'!A$106),"")</f>
        <v/>
      </c>
      <c r="BF38" s="372" t="str">
        <f>IF(H38&lt;&gt;"",IF('Dados Gerais'!B$11="S",0,BE38*(W38)),"")</f>
        <v/>
      </c>
      <c r="BG38" s="374" t="str">
        <f t="shared" si="38"/>
        <v/>
      </c>
      <c r="BI38" s="371" t="str">
        <f t="shared" si="39"/>
        <v/>
      </c>
      <c r="BJ38" s="372" t="str">
        <f t="shared" si="40"/>
        <v/>
      </c>
      <c r="BK38" s="372" t="str">
        <f t="shared" si="41"/>
        <v/>
      </c>
      <c r="BL38" s="373" t="str">
        <f t="shared" si="42"/>
        <v/>
      </c>
      <c r="BM38" s="372" t="str">
        <f>IF(H38&lt;&gt;"",BE38*(1+'Dados Gerais'!A$156),"")</f>
        <v/>
      </c>
      <c r="BN38" s="372" t="str">
        <f>IF(H38&lt;&gt;"",IF('Dados Gerais'!B$13="S",0,BM38*W38),"")</f>
        <v/>
      </c>
      <c r="BO38" s="455" t="str">
        <f t="shared" si="43"/>
        <v/>
      </c>
      <c r="BP38" s="447" t="str">
        <f t="shared" si="44"/>
        <v/>
      </c>
      <c r="BQ38" s="447" t="str">
        <f t="shared" si="45"/>
        <v/>
      </c>
      <c r="BR38" s="374" t="str">
        <f t="shared" si="46"/>
        <v/>
      </c>
    </row>
    <row r="39" spans="1:70" ht="100.05" customHeight="1">
      <c r="A39" s="375">
        <v>26</v>
      </c>
      <c r="B39" s="439"/>
      <c r="C39" s="439"/>
      <c r="D39" s="440"/>
      <c r="E39" s="376" t="str">
        <f t="shared" si="63"/>
        <v/>
      </c>
      <c r="F39" s="376" t="str">
        <f t="shared" si="64"/>
        <v/>
      </c>
      <c r="G39" s="376" t="str">
        <f t="shared" si="1"/>
        <v/>
      </c>
      <c r="H39" s="441"/>
      <c r="I39" s="442"/>
      <c r="J39" s="377"/>
      <c r="K39" s="456"/>
      <c r="L39" s="443"/>
      <c r="M39" s="372">
        <f t="shared" si="65"/>
        <v>0</v>
      </c>
      <c r="N39" s="372">
        <f t="shared" si="2"/>
        <v>0</v>
      </c>
      <c r="O39" s="372">
        <f t="shared" si="72"/>
        <v>0</v>
      </c>
      <c r="P39" s="372">
        <f t="shared" si="3"/>
        <v>0</v>
      </c>
      <c r="Q39" s="372">
        <f t="shared" si="66"/>
        <v>0</v>
      </c>
      <c r="R39" s="372">
        <f t="shared" si="4"/>
        <v>0</v>
      </c>
      <c r="S39" s="444"/>
      <c r="T39" s="372">
        <f t="shared" si="67"/>
        <v>0</v>
      </c>
      <c r="U39" s="373" t="str">
        <f t="shared" si="68"/>
        <v/>
      </c>
      <c r="V39" s="372">
        <f t="shared" si="69"/>
        <v>0</v>
      </c>
      <c r="W39" s="444"/>
      <c r="X39" s="372">
        <f t="shared" si="70"/>
        <v>0</v>
      </c>
      <c r="Y39" s="444"/>
      <c r="Z39" s="372">
        <f t="shared" si="5"/>
        <v>0</v>
      </c>
      <c r="AA39" s="444"/>
      <c r="AB39" s="447">
        <f t="shared" si="6"/>
        <v>0</v>
      </c>
      <c r="AC39" s="447">
        <f>(V39/V$45)*('Dados Gerais'!C$56+'Dados Gerais'!C$57+'Dados Gerais'!C$58+'Dados Gerais'!C$49)</f>
        <v>0</v>
      </c>
      <c r="AD39" s="447">
        <f>(V39/V$45)*('Dados Gerais'!C$72)</f>
        <v>0</v>
      </c>
      <c r="AE39" s="454" t="s">
        <v>339</v>
      </c>
      <c r="AF39" s="351"/>
      <c r="AG39" s="238">
        <f t="shared" si="47"/>
        <v>26</v>
      </c>
      <c r="AI39" s="351">
        <f t="shared" si="62"/>
        <v>0</v>
      </c>
      <c r="AJ39" s="353">
        <f t="shared" si="62"/>
        <v>0</v>
      </c>
      <c r="AK39" s="351">
        <f t="shared" si="62"/>
        <v>0</v>
      </c>
      <c r="AL39" s="459">
        <f t="shared" si="71"/>
        <v>0</v>
      </c>
      <c r="AM39" s="351"/>
      <c r="AN39" s="371" t="str">
        <f>IF(I39&lt;&gt;"",IF('Dados Gerais'!B$26="NA",'Dados Gerais'!C$25,0%),"")</f>
        <v/>
      </c>
      <c r="AO39" s="372" t="str">
        <f>IF(I39&lt;&gt;"",'Dados Gerais'!C$64,"")</f>
        <v/>
      </c>
      <c r="AP39" s="372" t="str">
        <f t="shared" si="26"/>
        <v/>
      </c>
      <c r="AQ39" s="373" t="str">
        <f t="shared" si="27"/>
        <v/>
      </c>
      <c r="AR39" s="372" t="str">
        <f t="shared" si="28"/>
        <v/>
      </c>
      <c r="AS39" s="372" t="str">
        <f t="shared" si="29"/>
        <v/>
      </c>
      <c r="AT39" s="372" t="str">
        <f t="shared" si="30"/>
        <v/>
      </c>
      <c r="AU39" s="372" t="str">
        <f t="shared" si="31"/>
        <v/>
      </c>
      <c r="AV39" s="372" t="str">
        <f t="shared" si="32"/>
        <v/>
      </c>
      <c r="AW39" s="372" t="str">
        <f t="shared" si="33"/>
        <v/>
      </c>
      <c r="AX39" s="372" t="str">
        <f t="shared" si="11"/>
        <v/>
      </c>
      <c r="AY39" s="374" t="str">
        <f t="shared" si="34"/>
        <v/>
      </c>
      <c r="AZ39" s="351"/>
      <c r="BA39" s="371" t="str">
        <f>IF(H39&lt;&gt;"",'Dados Gerais'!C$27,"")</f>
        <v/>
      </c>
      <c r="BB39" s="372" t="str">
        <f t="shared" si="35"/>
        <v/>
      </c>
      <c r="BC39" s="372" t="str">
        <f t="shared" si="36"/>
        <v/>
      </c>
      <c r="BD39" s="373" t="str">
        <f t="shared" si="37"/>
        <v/>
      </c>
      <c r="BE39" s="372" t="str">
        <f>IF(H39&lt;&gt;"",(R39)*(1+'Dados Gerais'!A$106),"")</f>
        <v/>
      </c>
      <c r="BF39" s="372" t="str">
        <f>IF(H39&lt;&gt;"",IF('Dados Gerais'!B$11="S",0,BE39*(W39)),"")</f>
        <v/>
      </c>
      <c r="BG39" s="374" t="str">
        <f t="shared" si="38"/>
        <v/>
      </c>
      <c r="BI39" s="371" t="str">
        <f t="shared" si="39"/>
        <v/>
      </c>
      <c r="BJ39" s="372" t="str">
        <f t="shared" si="40"/>
        <v/>
      </c>
      <c r="BK39" s="372" t="str">
        <f t="shared" si="41"/>
        <v/>
      </c>
      <c r="BL39" s="373" t="str">
        <f t="shared" si="42"/>
        <v/>
      </c>
      <c r="BM39" s="372" t="str">
        <f>IF(H39&lt;&gt;"",BE39*(1+'Dados Gerais'!A$156),"")</f>
        <v/>
      </c>
      <c r="BN39" s="372" t="str">
        <f>IF(H39&lt;&gt;"",IF('Dados Gerais'!B$13="S",0,BM39*W39),"")</f>
        <v/>
      </c>
      <c r="BO39" s="455" t="str">
        <f t="shared" si="43"/>
        <v/>
      </c>
      <c r="BP39" s="447" t="str">
        <f t="shared" si="44"/>
        <v/>
      </c>
      <c r="BQ39" s="447" t="str">
        <f t="shared" si="45"/>
        <v/>
      </c>
      <c r="BR39" s="374" t="str">
        <f t="shared" si="46"/>
        <v/>
      </c>
    </row>
    <row r="40" spans="1:70" ht="100.05" customHeight="1">
      <c r="A40" s="375">
        <v>27</v>
      </c>
      <c r="B40" s="439"/>
      <c r="C40" s="439"/>
      <c r="D40" s="440"/>
      <c r="E40" s="376" t="str">
        <f t="shared" si="63"/>
        <v/>
      </c>
      <c r="F40" s="376" t="str">
        <f t="shared" si="64"/>
        <v/>
      </c>
      <c r="G40" s="376" t="str">
        <f t="shared" si="1"/>
        <v/>
      </c>
      <c r="H40" s="441"/>
      <c r="I40" s="442"/>
      <c r="J40" s="377"/>
      <c r="K40" s="456"/>
      <c r="L40" s="443"/>
      <c r="M40" s="372">
        <f t="shared" si="65"/>
        <v>0</v>
      </c>
      <c r="N40" s="372">
        <f t="shared" si="2"/>
        <v>0</v>
      </c>
      <c r="O40" s="372">
        <f t="shared" si="72"/>
        <v>0</v>
      </c>
      <c r="P40" s="372">
        <f t="shared" si="3"/>
        <v>0</v>
      </c>
      <c r="Q40" s="372">
        <f t="shared" si="66"/>
        <v>0</v>
      </c>
      <c r="R40" s="372">
        <f t="shared" si="4"/>
        <v>0</v>
      </c>
      <c r="S40" s="444"/>
      <c r="T40" s="372">
        <f t="shared" si="67"/>
        <v>0</v>
      </c>
      <c r="U40" s="373" t="str">
        <f t="shared" si="68"/>
        <v/>
      </c>
      <c r="V40" s="372">
        <f t="shared" si="69"/>
        <v>0</v>
      </c>
      <c r="W40" s="444"/>
      <c r="X40" s="372">
        <f t="shared" si="70"/>
        <v>0</v>
      </c>
      <c r="Y40" s="444"/>
      <c r="Z40" s="372">
        <f t="shared" si="5"/>
        <v>0</v>
      </c>
      <c r="AA40" s="444"/>
      <c r="AB40" s="447">
        <f t="shared" si="6"/>
        <v>0</v>
      </c>
      <c r="AC40" s="447">
        <f>(V40/V$45)*('Dados Gerais'!C$56+'Dados Gerais'!C$57+'Dados Gerais'!C$58+'Dados Gerais'!C$49)</f>
        <v>0</v>
      </c>
      <c r="AD40" s="447">
        <f>(V40/V$45)*('Dados Gerais'!C$72)</f>
        <v>0</v>
      </c>
      <c r="AE40" s="454" t="s">
        <v>339</v>
      </c>
      <c r="AF40" s="351"/>
      <c r="AG40" s="238">
        <f t="shared" si="47"/>
        <v>27</v>
      </c>
      <c r="AI40" s="351">
        <f t="shared" si="62"/>
        <v>0</v>
      </c>
      <c r="AJ40" s="353">
        <f t="shared" si="62"/>
        <v>0</v>
      </c>
      <c r="AK40" s="351">
        <f t="shared" si="62"/>
        <v>0</v>
      </c>
      <c r="AL40" s="459">
        <f t="shared" si="71"/>
        <v>0</v>
      </c>
      <c r="AM40" s="351"/>
      <c r="AN40" s="371" t="str">
        <f>IF(I40&lt;&gt;"",IF('Dados Gerais'!B$26="NA",'Dados Gerais'!C$25,0%),"")</f>
        <v/>
      </c>
      <c r="AO40" s="372" t="str">
        <f>IF(I40&lt;&gt;"",'Dados Gerais'!C$64,"")</f>
        <v/>
      </c>
      <c r="AP40" s="372" t="str">
        <f t="shared" si="26"/>
        <v/>
      </c>
      <c r="AQ40" s="373" t="str">
        <f t="shared" si="27"/>
        <v/>
      </c>
      <c r="AR40" s="372" t="str">
        <f t="shared" si="28"/>
        <v/>
      </c>
      <c r="AS40" s="372" t="str">
        <f t="shared" si="29"/>
        <v/>
      </c>
      <c r="AT40" s="372" t="str">
        <f t="shared" si="30"/>
        <v/>
      </c>
      <c r="AU40" s="372" t="str">
        <f t="shared" si="31"/>
        <v/>
      </c>
      <c r="AV40" s="372" t="str">
        <f t="shared" si="32"/>
        <v/>
      </c>
      <c r="AW40" s="372" t="str">
        <f t="shared" si="33"/>
        <v/>
      </c>
      <c r="AX40" s="372" t="str">
        <f t="shared" si="11"/>
        <v/>
      </c>
      <c r="AY40" s="374" t="str">
        <f t="shared" si="34"/>
        <v/>
      </c>
      <c r="AZ40" s="351"/>
      <c r="BA40" s="371" t="str">
        <f>IF(H40&lt;&gt;"",'Dados Gerais'!C$27,"")</f>
        <v/>
      </c>
      <c r="BB40" s="372" t="str">
        <f t="shared" si="35"/>
        <v/>
      </c>
      <c r="BC40" s="372" t="str">
        <f t="shared" si="36"/>
        <v/>
      </c>
      <c r="BD40" s="373" t="str">
        <f t="shared" si="37"/>
        <v/>
      </c>
      <c r="BE40" s="372" t="str">
        <f>IF(H40&lt;&gt;"",(R40)*(1+'Dados Gerais'!A$106),"")</f>
        <v/>
      </c>
      <c r="BF40" s="372" t="str">
        <f>IF(H40&lt;&gt;"",IF('Dados Gerais'!B$11="S",0,BE40*(W40)),"")</f>
        <v/>
      </c>
      <c r="BG40" s="374" t="str">
        <f t="shared" si="38"/>
        <v/>
      </c>
      <c r="BI40" s="371" t="str">
        <f t="shared" si="39"/>
        <v/>
      </c>
      <c r="BJ40" s="372" t="str">
        <f t="shared" si="40"/>
        <v/>
      </c>
      <c r="BK40" s="372" t="str">
        <f t="shared" si="41"/>
        <v/>
      </c>
      <c r="BL40" s="373" t="str">
        <f t="shared" si="42"/>
        <v/>
      </c>
      <c r="BM40" s="372" t="str">
        <f>IF(H40&lt;&gt;"",BE40*(1+'Dados Gerais'!A$156),"")</f>
        <v/>
      </c>
      <c r="BN40" s="372" t="str">
        <f>IF(H40&lt;&gt;"",IF('Dados Gerais'!B$13="S",0,BM40*W40),"")</f>
        <v/>
      </c>
      <c r="BO40" s="455" t="str">
        <f t="shared" si="43"/>
        <v/>
      </c>
      <c r="BP40" s="447" t="str">
        <f t="shared" si="44"/>
        <v/>
      </c>
      <c r="BQ40" s="447" t="str">
        <f t="shared" si="45"/>
        <v/>
      </c>
      <c r="BR40" s="374" t="str">
        <f t="shared" si="46"/>
        <v/>
      </c>
    </row>
    <row r="41" spans="1:70" ht="100.05" customHeight="1">
      <c r="A41" s="375">
        <v>28</v>
      </c>
      <c r="B41" s="439"/>
      <c r="C41" s="439"/>
      <c r="D41" s="440"/>
      <c r="E41" s="376" t="str">
        <f t="shared" si="63"/>
        <v/>
      </c>
      <c r="F41" s="376" t="str">
        <f t="shared" si="64"/>
        <v/>
      </c>
      <c r="G41" s="376" t="str">
        <f t="shared" si="1"/>
        <v/>
      </c>
      <c r="H41" s="441"/>
      <c r="I41" s="442"/>
      <c r="J41" s="377"/>
      <c r="K41" s="456"/>
      <c r="L41" s="443"/>
      <c r="M41" s="372">
        <f t="shared" si="65"/>
        <v>0</v>
      </c>
      <c r="N41" s="372">
        <f t="shared" si="2"/>
        <v>0</v>
      </c>
      <c r="O41" s="372">
        <f t="shared" si="72"/>
        <v>0</v>
      </c>
      <c r="P41" s="372">
        <f t="shared" si="3"/>
        <v>0</v>
      </c>
      <c r="Q41" s="372">
        <f t="shared" si="66"/>
        <v>0</v>
      </c>
      <c r="R41" s="372">
        <f t="shared" si="4"/>
        <v>0</v>
      </c>
      <c r="S41" s="444"/>
      <c r="T41" s="372">
        <f t="shared" si="67"/>
        <v>0</v>
      </c>
      <c r="U41" s="373" t="str">
        <f t="shared" si="68"/>
        <v/>
      </c>
      <c r="V41" s="372">
        <f t="shared" si="69"/>
        <v>0</v>
      </c>
      <c r="W41" s="444"/>
      <c r="X41" s="372">
        <f t="shared" si="70"/>
        <v>0</v>
      </c>
      <c r="Y41" s="444"/>
      <c r="Z41" s="372">
        <f t="shared" si="5"/>
        <v>0</v>
      </c>
      <c r="AA41" s="444"/>
      <c r="AB41" s="447">
        <f t="shared" si="6"/>
        <v>0</v>
      </c>
      <c r="AC41" s="447">
        <f>(V41/V$45)*('Dados Gerais'!C$56+'Dados Gerais'!C$57+'Dados Gerais'!C$58+'Dados Gerais'!C$49)</f>
        <v>0</v>
      </c>
      <c r="AD41" s="447">
        <f>(V41/V$45)*('Dados Gerais'!C$72)</f>
        <v>0</v>
      </c>
      <c r="AE41" s="454" t="s">
        <v>339</v>
      </c>
      <c r="AF41" s="351"/>
      <c r="AG41" s="238">
        <f t="shared" si="47"/>
        <v>28</v>
      </c>
      <c r="AI41" s="351">
        <f t="shared" si="62"/>
        <v>0</v>
      </c>
      <c r="AJ41" s="353">
        <f t="shared" si="62"/>
        <v>0</v>
      </c>
      <c r="AK41" s="351">
        <f t="shared" si="62"/>
        <v>0</v>
      </c>
      <c r="AL41" s="459">
        <f t="shared" si="71"/>
        <v>0</v>
      </c>
      <c r="AM41" s="351"/>
      <c r="AN41" s="371" t="str">
        <f>IF(I41&lt;&gt;"",IF('Dados Gerais'!B$26="NA",'Dados Gerais'!C$25,0%),"")</f>
        <v/>
      </c>
      <c r="AO41" s="372" t="str">
        <f>IF(I41&lt;&gt;"",'Dados Gerais'!C$64,"")</f>
        <v/>
      </c>
      <c r="AP41" s="372" t="str">
        <f t="shared" si="26"/>
        <v/>
      </c>
      <c r="AQ41" s="373" t="str">
        <f t="shared" si="27"/>
        <v/>
      </c>
      <c r="AR41" s="372" t="str">
        <f t="shared" si="28"/>
        <v/>
      </c>
      <c r="AS41" s="372" t="str">
        <f t="shared" si="29"/>
        <v/>
      </c>
      <c r="AT41" s="372" t="str">
        <f t="shared" si="30"/>
        <v/>
      </c>
      <c r="AU41" s="372" t="str">
        <f t="shared" si="31"/>
        <v/>
      </c>
      <c r="AV41" s="372" t="str">
        <f t="shared" si="32"/>
        <v/>
      </c>
      <c r="AW41" s="372" t="str">
        <f t="shared" si="33"/>
        <v/>
      </c>
      <c r="AX41" s="372" t="str">
        <f t="shared" si="11"/>
        <v/>
      </c>
      <c r="AY41" s="374" t="str">
        <f t="shared" si="34"/>
        <v/>
      </c>
      <c r="AZ41" s="351"/>
      <c r="BA41" s="371" t="str">
        <f>IF(H41&lt;&gt;"",'Dados Gerais'!C$27,"")</f>
        <v/>
      </c>
      <c r="BB41" s="372" t="str">
        <f t="shared" si="35"/>
        <v/>
      </c>
      <c r="BC41" s="372" t="str">
        <f t="shared" si="36"/>
        <v/>
      </c>
      <c r="BD41" s="373" t="str">
        <f t="shared" si="37"/>
        <v/>
      </c>
      <c r="BE41" s="372" t="str">
        <f>IF(H41&lt;&gt;"",(R41)*(1+'Dados Gerais'!A$106),"")</f>
        <v/>
      </c>
      <c r="BF41" s="372" t="str">
        <f>IF(H41&lt;&gt;"",IF('Dados Gerais'!B$11="S",0,BE41*(W41)),"")</f>
        <v/>
      </c>
      <c r="BG41" s="374" t="str">
        <f t="shared" si="38"/>
        <v/>
      </c>
      <c r="BI41" s="371" t="str">
        <f t="shared" si="39"/>
        <v/>
      </c>
      <c r="BJ41" s="372" t="str">
        <f t="shared" si="40"/>
        <v/>
      </c>
      <c r="BK41" s="372" t="str">
        <f t="shared" si="41"/>
        <v/>
      </c>
      <c r="BL41" s="373" t="str">
        <f t="shared" si="42"/>
        <v/>
      </c>
      <c r="BM41" s="372" t="str">
        <f>IF(H41&lt;&gt;"",BE41*(1+'Dados Gerais'!A$156),"")</f>
        <v/>
      </c>
      <c r="BN41" s="372" t="str">
        <f>IF(H41&lt;&gt;"",IF('Dados Gerais'!B$13="S",0,BM41*W41),"")</f>
        <v/>
      </c>
      <c r="BO41" s="455" t="str">
        <f t="shared" si="43"/>
        <v/>
      </c>
      <c r="BP41" s="447" t="str">
        <f t="shared" si="44"/>
        <v/>
      </c>
      <c r="BQ41" s="447" t="str">
        <f t="shared" si="45"/>
        <v/>
      </c>
      <c r="BR41" s="374" t="str">
        <f t="shared" si="46"/>
        <v/>
      </c>
    </row>
    <row r="42" spans="1:70" ht="100.05" customHeight="1" thickBot="1">
      <c r="A42" s="375">
        <v>29</v>
      </c>
      <c r="B42" s="439"/>
      <c r="C42" s="439"/>
      <c r="D42" s="440"/>
      <c r="E42" s="376" t="str">
        <f t="shared" si="63"/>
        <v/>
      </c>
      <c r="F42" s="376" t="str">
        <f t="shared" si="64"/>
        <v/>
      </c>
      <c r="G42" s="376" t="str">
        <f t="shared" si="1"/>
        <v/>
      </c>
      <c r="H42" s="441"/>
      <c r="I42" s="442"/>
      <c r="J42" s="377"/>
      <c r="K42" s="456"/>
      <c r="L42" s="443"/>
      <c r="M42" s="372">
        <f t="shared" si="65"/>
        <v>0</v>
      </c>
      <c r="N42" s="372">
        <f t="shared" si="2"/>
        <v>0</v>
      </c>
      <c r="O42" s="372">
        <f t="shared" si="72"/>
        <v>0</v>
      </c>
      <c r="P42" s="372">
        <f t="shared" si="3"/>
        <v>0</v>
      </c>
      <c r="Q42" s="372">
        <f t="shared" si="66"/>
        <v>0</v>
      </c>
      <c r="R42" s="372">
        <f t="shared" si="4"/>
        <v>0</v>
      </c>
      <c r="S42" s="444"/>
      <c r="T42" s="372">
        <f t="shared" si="67"/>
        <v>0</v>
      </c>
      <c r="U42" s="373" t="str">
        <f t="shared" si="68"/>
        <v/>
      </c>
      <c r="V42" s="372">
        <f t="shared" si="69"/>
        <v>0</v>
      </c>
      <c r="W42" s="444"/>
      <c r="X42" s="372">
        <f t="shared" si="70"/>
        <v>0</v>
      </c>
      <c r="Y42" s="444"/>
      <c r="Z42" s="372">
        <f t="shared" si="5"/>
        <v>0</v>
      </c>
      <c r="AA42" s="444"/>
      <c r="AB42" s="447">
        <f t="shared" si="6"/>
        <v>0</v>
      </c>
      <c r="AC42" s="447">
        <f>(V42/V$45)*('Dados Gerais'!C$56+'Dados Gerais'!C$57+'Dados Gerais'!C$58+'Dados Gerais'!C$49)</f>
        <v>0</v>
      </c>
      <c r="AD42" s="447">
        <f>(V42/V$45)*('Dados Gerais'!C$72)</f>
        <v>0</v>
      </c>
      <c r="AE42" s="454" t="s">
        <v>339</v>
      </c>
      <c r="AF42" s="351"/>
      <c r="AG42" s="238">
        <f t="shared" si="47"/>
        <v>29</v>
      </c>
      <c r="AI42" s="351">
        <f t="shared" si="62"/>
        <v>0</v>
      </c>
      <c r="AJ42" s="353">
        <f t="shared" si="62"/>
        <v>0</v>
      </c>
      <c r="AK42" s="351">
        <f t="shared" si="62"/>
        <v>0</v>
      </c>
      <c r="AL42" s="459">
        <f t="shared" si="71"/>
        <v>0</v>
      </c>
      <c r="AM42" s="351"/>
      <c r="AN42" s="371" t="str">
        <f>IF(I42&lt;&gt;"",IF('Dados Gerais'!B$26="NA",'Dados Gerais'!C$25,0%),"")</f>
        <v/>
      </c>
      <c r="AO42" s="372" t="str">
        <f>IF(I42&lt;&gt;"",'Dados Gerais'!C$64,"")</f>
        <v/>
      </c>
      <c r="AP42" s="372" t="str">
        <f t="shared" si="26"/>
        <v/>
      </c>
      <c r="AQ42" s="373" t="str">
        <f t="shared" si="27"/>
        <v/>
      </c>
      <c r="AR42" s="372" t="str">
        <f t="shared" si="28"/>
        <v/>
      </c>
      <c r="AS42" s="372" t="str">
        <f t="shared" si="29"/>
        <v/>
      </c>
      <c r="AT42" s="372" t="str">
        <f t="shared" si="30"/>
        <v/>
      </c>
      <c r="AU42" s="372" t="str">
        <f t="shared" si="31"/>
        <v/>
      </c>
      <c r="AV42" s="372" t="str">
        <f t="shared" si="32"/>
        <v/>
      </c>
      <c r="AW42" s="372" t="str">
        <f t="shared" si="33"/>
        <v/>
      </c>
      <c r="AX42" s="372" t="str">
        <f t="shared" si="11"/>
        <v/>
      </c>
      <c r="AY42" s="374" t="str">
        <f t="shared" si="34"/>
        <v/>
      </c>
      <c r="AZ42" s="351"/>
      <c r="BA42" s="371" t="str">
        <f>IF(H42&lt;&gt;"",'Dados Gerais'!C$27,"")</f>
        <v/>
      </c>
      <c r="BB42" s="372" t="str">
        <f t="shared" si="35"/>
        <v/>
      </c>
      <c r="BC42" s="372" t="str">
        <f t="shared" si="36"/>
        <v/>
      </c>
      <c r="BD42" s="373" t="str">
        <f t="shared" si="37"/>
        <v/>
      </c>
      <c r="BE42" s="372" t="str">
        <f>IF(H42&lt;&gt;"",(R42)*(1+'Dados Gerais'!A$106),"")</f>
        <v/>
      </c>
      <c r="BF42" s="372" t="str">
        <f>IF(H42&lt;&gt;"",IF('Dados Gerais'!B$11="S",0,BE42*(W42)),"")</f>
        <v/>
      </c>
      <c r="BG42" s="374" t="str">
        <f t="shared" si="38"/>
        <v/>
      </c>
      <c r="BI42" s="371" t="str">
        <f t="shared" si="39"/>
        <v/>
      </c>
      <c r="BJ42" s="372" t="str">
        <f t="shared" si="40"/>
        <v/>
      </c>
      <c r="BK42" s="372" t="str">
        <f t="shared" si="41"/>
        <v/>
      </c>
      <c r="BL42" s="373" t="str">
        <f t="shared" si="42"/>
        <v/>
      </c>
      <c r="BM42" s="372" t="str">
        <f>IF(H42&lt;&gt;"",BE42*(1+'Dados Gerais'!A$156),"")</f>
        <v/>
      </c>
      <c r="BN42" s="372" t="str">
        <f>IF(H42&lt;&gt;"",IF('Dados Gerais'!B$13="S",0,BM42*W42),"")</f>
        <v/>
      </c>
      <c r="BO42" s="455" t="str">
        <f t="shared" si="43"/>
        <v/>
      </c>
      <c r="BP42" s="447" t="str">
        <f t="shared" si="44"/>
        <v/>
      </c>
      <c r="BQ42" s="447" t="str">
        <f t="shared" si="45"/>
        <v/>
      </c>
      <c r="BR42" s="374" t="str">
        <f t="shared" si="46"/>
        <v/>
      </c>
    </row>
    <row r="43" spans="1:70" ht="100.05" customHeight="1" thickBot="1">
      <c r="A43" s="375">
        <v>30</v>
      </c>
      <c r="B43" s="439"/>
      <c r="C43" s="439"/>
      <c r="D43" s="440"/>
      <c r="E43" s="376" t="str">
        <f t="shared" si="63"/>
        <v/>
      </c>
      <c r="F43" s="376" t="str">
        <f t="shared" si="64"/>
        <v/>
      </c>
      <c r="G43" s="376" t="str">
        <f t="shared" si="1"/>
        <v/>
      </c>
      <c r="H43" s="441"/>
      <c r="I43" s="442"/>
      <c r="J43" s="377"/>
      <c r="K43" s="456"/>
      <c r="L43" s="443"/>
      <c r="M43" s="372">
        <f t="shared" si="65"/>
        <v>0</v>
      </c>
      <c r="N43" s="372">
        <f t="shared" si="2"/>
        <v>0</v>
      </c>
      <c r="O43" s="372">
        <f t="shared" si="72"/>
        <v>0</v>
      </c>
      <c r="P43" s="372">
        <f t="shared" si="3"/>
        <v>0</v>
      </c>
      <c r="Q43" s="372">
        <f t="shared" si="66"/>
        <v>0</v>
      </c>
      <c r="R43" s="372">
        <f t="shared" si="4"/>
        <v>0</v>
      </c>
      <c r="S43" s="444"/>
      <c r="T43" s="372">
        <f t="shared" si="67"/>
        <v>0</v>
      </c>
      <c r="U43" s="373" t="str">
        <f t="shared" si="68"/>
        <v/>
      </c>
      <c r="V43" s="372">
        <f t="shared" si="69"/>
        <v>0</v>
      </c>
      <c r="W43" s="444"/>
      <c r="X43" s="372">
        <f t="shared" si="70"/>
        <v>0</v>
      </c>
      <c r="Y43" s="444"/>
      <c r="Z43" s="372">
        <f t="shared" si="5"/>
        <v>0</v>
      </c>
      <c r="AA43" s="444"/>
      <c r="AB43" s="447">
        <f t="shared" si="6"/>
        <v>0</v>
      </c>
      <c r="AC43" s="449">
        <f>(V43/V$45)*('Dados Gerais'!C$56+'Dados Gerais'!C$57+'Dados Gerais'!C$58+'Dados Gerais'!C$49)</f>
        <v>0</v>
      </c>
      <c r="AD43" s="449">
        <f>(V43/V$45)*('Dados Gerais'!C$72)</f>
        <v>0</v>
      </c>
      <c r="AE43" s="454" t="s">
        <v>339</v>
      </c>
      <c r="AF43" s="351"/>
      <c r="AG43" s="238">
        <f t="shared" si="47"/>
        <v>30</v>
      </c>
      <c r="AI43" s="351">
        <f t="shared" si="62"/>
        <v>0</v>
      </c>
      <c r="AJ43" s="353">
        <f t="shared" si="62"/>
        <v>0</v>
      </c>
      <c r="AK43" s="351">
        <f t="shared" si="62"/>
        <v>0</v>
      </c>
      <c r="AL43" s="459">
        <f>K43</f>
        <v>0</v>
      </c>
      <c r="AM43" s="351"/>
      <c r="AN43" s="371" t="str">
        <f>IF(I43&lt;&gt;"",IF('Dados Gerais'!B$26="NA",'Dados Gerais'!C$25,0%),"")</f>
        <v/>
      </c>
      <c r="AO43" s="372" t="str">
        <f>IF(I43&lt;&gt;"",'Dados Gerais'!C$64,"")</f>
        <v/>
      </c>
      <c r="AP43" s="372" t="str">
        <f t="shared" si="26"/>
        <v/>
      </c>
      <c r="AQ43" s="373" t="str">
        <f t="shared" si="27"/>
        <v/>
      </c>
      <c r="AR43" s="372" t="str">
        <f t="shared" si="28"/>
        <v/>
      </c>
      <c r="AS43" s="372" t="str">
        <f t="shared" si="29"/>
        <v/>
      </c>
      <c r="AT43" s="372" t="str">
        <f t="shared" si="30"/>
        <v/>
      </c>
      <c r="AU43" s="372" t="str">
        <f t="shared" si="31"/>
        <v/>
      </c>
      <c r="AV43" s="372" t="str">
        <f t="shared" si="32"/>
        <v/>
      </c>
      <c r="AW43" s="372" t="str">
        <f t="shared" si="33"/>
        <v/>
      </c>
      <c r="AX43" s="372" t="str">
        <f t="shared" si="11"/>
        <v/>
      </c>
      <c r="AY43" s="374" t="str">
        <f t="shared" si="34"/>
        <v/>
      </c>
      <c r="AZ43" s="351"/>
      <c r="BA43" s="371" t="str">
        <f>IF(H43&lt;&gt;"",'Dados Gerais'!C$27,"")</f>
        <v/>
      </c>
      <c r="BB43" s="372" t="str">
        <f t="shared" si="35"/>
        <v/>
      </c>
      <c r="BC43" s="372" t="str">
        <f t="shared" si="36"/>
        <v/>
      </c>
      <c r="BD43" s="373" t="str">
        <f t="shared" si="37"/>
        <v/>
      </c>
      <c r="BE43" s="372" t="str">
        <f>IF(H43&lt;&gt;"",(R43)*(1+'Dados Gerais'!A$106),"")</f>
        <v/>
      </c>
      <c r="BF43" s="372" t="str">
        <f>IF(H43&lt;&gt;"",IF('Dados Gerais'!B$11="S",0,BE43*(W43)),"")</f>
        <v/>
      </c>
      <c r="BG43" s="374" t="str">
        <f t="shared" si="38"/>
        <v/>
      </c>
      <c r="BI43" s="371" t="str">
        <f t="shared" si="39"/>
        <v/>
      </c>
      <c r="BJ43" s="372" t="str">
        <f t="shared" si="40"/>
        <v/>
      </c>
      <c r="BK43" s="372" t="str">
        <f t="shared" si="41"/>
        <v/>
      </c>
      <c r="BL43" s="373" t="str">
        <f t="shared" si="42"/>
        <v/>
      </c>
      <c r="BM43" s="372" t="str">
        <f>IF(H43&lt;&gt;"",BE43*(1+'Dados Gerais'!A$156),"")</f>
        <v/>
      </c>
      <c r="BN43" s="372" t="str">
        <f>IF(H43&lt;&gt;"",IF('Dados Gerais'!B$13="S",0,BM43*W43),"")</f>
        <v/>
      </c>
      <c r="BO43" s="455" t="str">
        <f t="shared" si="43"/>
        <v/>
      </c>
      <c r="BP43" s="447" t="str">
        <f t="shared" si="44"/>
        <v/>
      </c>
      <c r="BQ43" s="447" t="str">
        <f t="shared" si="45"/>
        <v/>
      </c>
      <c r="BR43" s="374" t="str">
        <f t="shared" si="46"/>
        <v/>
      </c>
    </row>
    <row r="44" spans="1:70" ht="25.2" thickBot="1">
      <c r="A44" s="378"/>
      <c r="B44" s="379"/>
      <c r="C44" s="379"/>
      <c r="D44" s="380"/>
      <c r="E44" s="380"/>
      <c r="F44" s="380"/>
      <c r="G44" s="376" t="str">
        <f t="shared" si="1"/>
        <v/>
      </c>
      <c r="H44" s="381"/>
      <c r="I44" s="382"/>
      <c r="J44" s="379"/>
      <c r="K44" s="379"/>
      <c r="L44" s="383"/>
      <c r="M44" s="379"/>
      <c r="N44" s="379"/>
      <c r="O44" s="379"/>
      <c r="P44" s="379"/>
      <c r="Q44" s="379"/>
      <c r="R44" s="379"/>
      <c r="S44" s="384"/>
      <c r="T44" s="379"/>
      <c r="U44" s="379"/>
      <c r="V44" s="385"/>
      <c r="W44" s="386"/>
      <c r="X44" s="379"/>
      <c r="Y44" s="386"/>
      <c r="Z44" s="379"/>
      <c r="AA44" s="386"/>
      <c r="AB44" s="379"/>
      <c r="AC44" s="479"/>
      <c r="AD44" s="479"/>
      <c r="AE44" s="433"/>
      <c r="AF44" s="351"/>
      <c r="AI44" s="351"/>
      <c r="AK44" s="351"/>
      <c r="AL44" s="459"/>
      <c r="AM44" s="351"/>
      <c r="AN44" s="386"/>
      <c r="AO44" s="386"/>
      <c r="AP44" s="387"/>
      <c r="AQ44" s="387"/>
      <c r="AR44" s="387"/>
      <c r="AS44" s="387"/>
      <c r="AT44" s="387"/>
      <c r="AU44" s="387"/>
      <c r="AV44" s="387"/>
      <c r="AW44" s="387"/>
      <c r="AX44" s="387"/>
      <c r="AY44" s="387"/>
      <c r="AZ44" s="351"/>
      <c r="BA44" s="386"/>
      <c r="BB44" s="386"/>
      <c r="BC44" s="387"/>
      <c r="BD44" s="387"/>
      <c r="BE44" s="387"/>
      <c r="BF44" s="387"/>
      <c r="BG44" s="387"/>
      <c r="BH44" s="349"/>
      <c r="BI44" s="386"/>
      <c r="BJ44" s="386"/>
      <c r="BK44" s="387"/>
      <c r="BL44" s="387"/>
      <c r="BM44" s="387"/>
      <c r="BN44" s="387"/>
      <c r="BO44" s="387"/>
      <c r="BP44" s="387"/>
      <c r="BQ44" s="387"/>
      <c r="BR44" s="387"/>
    </row>
    <row r="45" spans="1:70" ht="25.2" thickBot="1">
      <c r="A45" s="388" t="s">
        <v>103</v>
      </c>
      <c r="B45" s="389">
        <f>SUM(B14:B43)</f>
        <v>14842.15</v>
      </c>
      <c r="C45" s="389">
        <f>SUM(C14:C43)</f>
        <v>13006.050000000001</v>
      </c>
      <c r="D45" s="389"/>
      <c r="E45" s="389"/>
      <c r="F45" s="389"/>
      <c r="G45" s="389"/>
      <c r="H45" s="358"/>
      <c r="I45" s="359"/>
      <c r="J45" s="389"/>
      <c r="K45" s="389"/>
      <c r="L45" s="389"/>
      <c r="M45" s="389">
        <f t="shared" ref="M45:R45" si="73">SUM(M14:M43)</f>
        <v>29657.519999999993</v>
      </c>
      <c r="N45" s="389">
        <f t="shared" si="73"/>
        <v>2817.9999999999995</v>
      </c>
      <c r="O45" s="389">
        <f t="shared" si="73"/>
        <v>0</v>
      </c>
      <c r="P45" s="389">
        <f t="shared" si="73"/>
        <v>0</v>
      </c>
      <c r="Q45" s="389">
        <f t="shared" si="73"/>
        <v>32475.520000000004</v>
      </c>
      <c r="R45" s="389">
        <f t="shared" si="73"/>
        <v>158844.263424</v>
      </c>
      <c r="S45" s="390"/>
      <c r="T45" s="389">
        <f>SUM(T14:T43)</f>
        <v>21886.668418491736</v>
      </c>
      <c r="U45" s="389"/>
      <c r="V45" s="389">
        <f>SUM(V14:V43)</f>
        <v>158844.263424</v>
      </c>
      <c r="W45" s="390"/>
      <c r="X45" s="389">
        <f>SUM(X14:X43)</f>
        <v>10772.522255209276</v>
      </c>
      <c r="Y45" s="390"/>
      <c r="Z45" s="389">
        <f>SUM(Z14:Z43)</f>
        <v>3335.7295319040009</v>
      </c>
      <c r="AA45" s="390"/>
      <c r="AB45" s="448">
        <f>SUM(AB14:AB43)</f>
        <v>15328.471420415999</v>
      </c>
      <c r="AC45" s="448">
        <f>SUM(AC14:AC42)</f>
        <v>3497.9183999999977</v>
      </c>
      <c r="AD45" s="448">
        <f>SUM(AD14:AD42)</f>
        <v>1102.6721280000004</v>
      </c>
      <c r="AE45" s="391"/>
      <c r="AF45" s="349"/>
      <c r="AI45" s="349"/>
      <c r="AK45" s="349"/>
      <c r="AL45" s="460"/>
      <c r="AM45" s="457"/>
      <c r="AN45" s="360">
        <f>IF(AO45&lt;&gt;0,AP45/AO45,0)</f>
        <v>0</v>
      </c>
      <c r="AO45" s="389">
        <f>SUM(AO14:AO43)</f>
        <v>0</v>
      </c>
      <c r="AP45" s="389">
        <f>SUM(AP14:AP43)</f>
        <v>0</v>
      </c>
      <c r="AQ45" s="389"/>
      <c r="AR45" s="389">
        <f t="shared" ref="AR45:AY45" si="74">SUM(AR14:AR43)</f>
        <v>158844.263424</v>
      </c>
      <c r="AS45" s="389">
        <f t="shared" si="74"/>
        <v>21886.668418491736</v>
      </c>
      <c r="AT45" s="389">
        <f t="shared" si="74"/>
        <v>3497.9183999999977</v>
      </c>
      <c r="AU45" s="389">
        <f t="shared" si="74"/>
        <v>3335.7295319040009</v>
      </c>
      <c r="AV45" s="389">
        <f t="shared" si="74"/>
        <v>15328.471420415999</v>
      </c>
      <c r="AW45" s="389">
        <f t="shared" si="74"/>
        <v>1102.6721280000004</v>
      </c>
      <c r="AX45" s="389">
        <f t="shared" si="74"/>
        <v>10772.522255209276</v>
      </c>
      <c r="AY45" s="389">
        <f t="shared" si="74"/>
        <v>214768.24557802104</v>
      </c>
      <c r="AZ45" s="445"/>
      <c r="BA45" s="360">
        <f ca="1">BC45/BB45</f>
        <v>3.9999999999999994E-2</v>
      </c>
      <c r="BB45" s="389">
        <f ca="1">SUM(BB14:BB43)</f>
        <v>237450.37726492126</v>
      </c>
      <c r="BC45" s="389">
        <f ca="1">SUM(BC14:BC43)</f>
        <v>9498.0150905968494</v>
      </c>
      <c r="BD45" s="389"/>
      <c r="BE45" s="389">
        <f ca="1">SUM(BE14:BE43)</f>
        <v>237450.37726492126</v>
      </c>
      <c r="BF45" s="389">
        <f ca="1">SUM(BF14:BF43)</f>
        <v>14089.912082962683</v>
      </c>
      <c r="BG45" s="391">
        <f ca="1">SUM(BG14:BG43)</f>
        <v>251540.28934788395</v>
      </c>
      <c r="BI45" s="360">
        <f ca="1">IF(BJ45&lt;&gt;0,BK45/BJ45,0)</f>
        <v>0.21999999999999995</v>
      </c>
      <c r="BJ45" s="389">
        <f ca="1">SUM(BJ14:BJ43)</f>
        <v>308769.63805389998</v>
      </c>
      <c r="BK45" s="389">
        <f ca="1">SUM(BK14:BK43)</f>
        <v>67929.320371857975</v>
      </c>
      <c r="BL45" s="389"/>
      <c r="BM45" s="389">
        <f ca="1">SUM(BM14:BM43)</f>
        <v>308769.63805389998</v>
      </c>
      <c r="BN45" s="389">
        <f ca="1">SUM(BN14:BN43)</f>
        <v>18321.878887620398</v>
      </c>
      <c r="BO45" s="448"/>
      <c r="BP45" s="389">
        <f>SUM(BP14:BP43)</f>
        <v>0</v>
      </c>
      <c r="BQ45" s="389">
        <f>SUM(BQ14:BQ43)</f>
        <v>0</v>
      </c>
      <c r="BR45" s="391">
        <f ca="1">SUM(BR14:BR43)</f>
        <v>327091.51694152033</v>
      </c>
    </row>
    <row r="46" spans="1:70">
      <c r="AC46" s="392"/>
      <c r="AD46" s="392"/>
    </row>
    <row r="47" spans="1:70">
      <c r="Q47" s="392"/>
    </row>
    <row r="48" spans="1:70">
      <c r="L48" s="392"/>
    </row>
  </sheetData>
  <sheetProtection formatColumns="0" selectLockedCells="1"/>
  <mergeCells count="5">
    <mergeCell ref="BA11:BG11"/>
    <mergeCell ref="BI11:BR11"/>
    <mergeCell ref="AN12:AY12"/>
    <mergeCell ref="BA12:BG12"/>
    <mergeCell ref="BI12:BR12"/>
  </mergeCells>
  <phoneticPr fontId="16" type="noConversion"/>
  <printOptions horizontalCentered="1" verticalCentered="1"/>
  <pageMargins left="0.511811023622047" right="0.511811023622047" top="0.78740157480314998" bottom="0.78740157480314998" header="0.31496062992126" footer="0.31496062992126"/>
  <pageSetup paperSize="9" scale="3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FDAD-5E02-4A35-B46B-0646DCBD1F2C}">
  <dimension ref="E3:I23"/>
  <sheetViews>
    <sheetView zoomScale="145" zoomScaleNormal="145" workbookViewId="0"/>
  </sheetViews>
  <sheetFormatPr defaultRowHeight="13.2"/>
  <cols>
    <col min="5" max="5" width="10.77734375" bestFit="1" customWidth="1"/>
    <col min="6" max="6" width="8.44140625" customWidth="1"/>
    <col min="8" max="8" width="13.33203125" bestFit="1" customWidth="1"/>
  </cols>
  <sheetData>
    <row r="3" spans="5:9">
      <c r="E3" t="s">
        <v>377</v>
      </c>
      <c r="H3" t="s">
        <v>378</v>
      </c>
    </row>
    <row r="5" spans="5:9">
      <c r="E5" t="s">
        <v>373</v>
      </c>
      <c r="F5">
        <v>10</v>
      </c>
      <c r="H5" t="s">
        <v>374</v>
      </c>
      <c r="I5">
        <f>F5*(1+F6)</f>
        <v>11</v>
      </c>
    </row>
    <row r="6" spans="5:9">
      <c r="E6" t="s">
        <v>375</v>
      </c>
      <c r="F6" s="505">
        <v>0.1</v>
      </c>
      <c r="H6" t="s">
        <v>375</v>
      </c>
      <c r="I6" s="505">
        <v>0.1</v>
      </c>
    </row>
    <row r="7" spans="5:9">
      <c r="E7" t="s">
        <v>376</v>
      </c>
      <c r="F7">
        <f>F6*F5</f>
        <v>1</v>
      </c>
      <c r="H7" t="s">
        <v>376</v>
      </c>
      <c r="I7">
        <f>I6*I5</f>
        <v>1.1000000000000001</v>
      </c>
    </row>
    <row r="8" spans="5:9">
      <c r="F8" s="506">
        <f>F7*16%</f>
        <v>0.16</v>
      </c>
      <c r="I8">
        <f>I7*16%</f>
        <v>0.17600000000000002</v>
      </c>
    </row>
    <row r="9" spans="5:9">
      <c r="I9" s="506">
        <f>I8-F8</f>
        <v>1.6000000000000014E-2</v>
      </c>
    </row>
    <row r="17" spans="8:9">
      <c r="H17">
        <v>24.922051804095602</v>
      </c>
    </row>
    <row r="18" spans="8:9">
      <c r="H18">
        <v>25.6</v>
      </c>
      <c r="I18">
        <f>25764-236*3</f>
        <v>25056</v>
      </c>
    </row>
    <row r="19" spans="8:9">
      <c r="H19">
        <f>(H18-H17)*I18</f>
        <v>16986.669996580626</v>
      </c>
    </row>
    <row r="22" spans="8:9">
      <c r="H22">
        <f>256*3</f>
        <v>768</v>
      </c>
    </row>
    <row r="23" spans="8:9">
      <c r="H23">
        <f>H19/H22</f>
        <v>22.118059891381023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T58"/>
  <sheetViews>
    <sheetView zoomScale="81" zoomScaleNormal="100" zoomScalePageLayoutView="50" workbookViewId="0">
      <selection activeCell="A26" sqref="A26:B26"/>
    </sheetView>
  </sheetViews>
  <sheetFormatPr defaultColWidth="8.77734375" defaultRowHeight="13.2"/>
  <cols>
    <col min="1" max="1" width="116" style="313" customWidth="1"/>
    <col min="2" max="2" width="20.77734375" style="313" customWidth="1"/>
    <col min="3" max="3" width="23.33203125" style="313" customWidth="1"/>
    <col min="4" max="4" width="22.6640625" style="332" customWidth="1"/>
    <col min="5" max="5" width="17.33203125" style="313" customWidth="1"/>
    <col min="6" max="16384" width="8.77734375" style="313"/>
  </cols>
  <sheetData>
    <row r="1" spans="1:5" ht="30.6" thickBot="1">
      <c r="A1" s="550" t="s">
        <v>52</v>
      </c>
      <c r="B1" s="551"/>
      <c r="C1" s="551"/>
      <c r="D1" s="551"/>
      <c r="E1" s="552"/>
    </row>
    <row r="2" spans="1:5" ht="30.6" thickBot="1">
      <c r="A2" s="546" t="s">
        <v>246</v>
      </c>
      <c r="B2" s="547"/>
      <c r="C2" s="540"/>
      <c r="D2" s="540"/>
      <c r="E2" s="541"/>
    </row>
    <row r="3" spans="1:5" ht="40.049999999999997" customHeight="1" thickBot="1">
      <c r="A3" s="546" t="str">
        <f>'Dados Gerais'!B36</f>
        <v>FOB</v>
      </c>
      <c r="B3" s="547"/>
      <c r="C3" s="542"/>
      <c r="D3" s="542"/>
      <c r="E3" s="543"/>
    </row>
    <row r="4" spans="1:5" ht="40.049999999999997" customHeight="1" thickBot="1">
      <c r="A4" s="560" t="str">
        <f>'Dados Gerais'!C4</f>
        <v>SANTAX_AMIGÃO_001_2024</v>
      </c>
      <c r="B4" s="561"/>
      <c r="C4" s="544"/>
      <c r="D4" s="544"/>
      <c r="E4" s="545"/>
    </row>
    <row r="5" spans="1:5" ht="30.6" thickBot="1">
      <c r="A5" s="553" t="str">
        <f>'Dados Gerais'!A2</f>
        <v>IMPORTAÇÃO DE MERCADORIAS PARA REVENDA</v>
      </c>
      <c r="B5" s="551"/>
      <c r="C5" s="551"/>
      <c r="D5" s="551"/>
      <c r="E5" s="552"/>
    </row>
    <row r="6" spans="1:5" ht="30.6" thickBot="1">
      <c r="A6" s="57" t="s">
        <v>53</v>
      </c>
      <c r="B6" s="57"/>
      <c r="C6" s="57" t="s">
        <v>18</v>
      </c>
      <c r="D6" s="58" t="str">
        <f>'Dados Gerais'!C9</f>
        <v>USD</v>
      </c>
      <c r="E6" s="110" t="s">
        <v>54</v>
      </c>
    </row>
    <row r="7" spans="1:5" ht="30">
      <c r="A7" s="59"/>
      <c r="B7" s="59"/>
      <c r="C7" s="59"/>
      <c r="D7" s="60"/>
      <c r="E7" s="314"/>
    </row>
    <row r="8" spans="1:5" ht="30">
      <c r="A8" s="115" t="str">
        <f>'Dados Gerais'!A117</f>
        <v>FOB - Equivalente</v>
      </c>
      <c r="B8" s="61"/>
      <c r="C8" s="315">
        <f>'Dados Gerais'!C117</f>
        <v>145060.86182399999</v>
      </c>
      <c r="D8" s="315">
        <f>IF('Dados Gerais'!C$21&lt;&gt;0,C8/'Dados Gerais'!C$21,0)</f>
        <v>29657.519999999997</v>
      </c>
      <c r="E8" s="316"/>
    </row>
    <row r="9" spans="1:5" ht="30">
      <c r="A9" s="115" t="str">
        <f>'Dados Gerais'!A118</f>
        <v>Frete Internacional</v>
      </c>
      <c r="B9" s="61"/>
      <c r="C9" s="315">
        <f>'Dados Gerais'!C118</f>
        <v>16949.669999999998</v>
      </c>
      <c r="D9" s="315">
        <f>IF('Dados Gerais'!C$21&lt;&gt;0,C9/'Dados Gerais'!C$21,0)</f>
        <v>3465.339793915603</v>
      </c>
      <c r="E9" s="316"/>
    </row>
    <row r="10" spans="1:5" ht="30">
      <c r="A10" s="115" t="str">
        <f>'Dados Gerais'!A120</f>
        <v>Valor do Seguro</v>
      </c>
      <c r="B10" s="61"/>
      <c r="C10" s="315">
        <f>'Dados Gerais'!C120</f>
        <v>0</v>
      </c>
      <c r="D10" s="315">
        <f>IF('Dados Gerais'!C$21&lt;&gt;0,C10/'Dados Gerais'!C$21,0)</f>
        <v>0</v>
      </c>
      <c r="E10" s="316"/>
    </row>
    <row r="11" spans="1:5" s="318" customFormat="1" ht="30.6" thickBot="1">
      <c r="A11" s="557"/>
      <c r="B11" s="558"/>
      <c r="C11" s="558"/>
      <c r="D11" s="559"/>
      <c r="E11" s="317"/>
    </row>
    <row r="12" spans="1:5" ht="30.6" thickBot="1">
      <c r="A12" s="548" t="s">
        <v>255</v>
      </c>
      <c r="B12" s="549"/>
      <c r="C12" s="319">
        <f>SUM(C8:C10)</f>
        <v>162010.53182400001</v>
      </c>
      <c r="D12" s="319">
        <f>SUM(D8:D10)</f>
        <v>33122.859793915602</v>
      </c>
      <c r="E12" s="320">
        <f>IF(C$41&lt;&gt;0,C12/C$41,0)</f>
        <v>0.71127049785051688</v>
      </c>
    </row>
    <row r="13" spans="1:5" ht="30">
      <c r="A13" s="321"/>
      <c r="B13" s="322"/>
      <c r="C13" s="323"/>
      <c r="D13" s="323"/>
      <c r="E13" s="314"/>
    </row>
    <row r="14" spans="1:5" ht="30">
      <c r="A14" s="115" t="str">
        <f>'Dados Gerais'!A49</f>
        <v>Taxa do Siscomex</v>
      </c>
      <c r="B14" s="62"/>
      <c r="C14" s="324">
        <f>'Dados Gerais'!C49</f>
        <v>331.65</v>
      </c>
      <c r="D14" s="315">
        <f>IF('Dados Gerais'!C$21&lt;&gt;0,C14/'Dados Gerais'!C$21,0)</f>
        <v>67.805446516192333</v>
      </c>
      <c r="E14" s="325"/>
    </row>
    <row r="15" spans="1:5" ht="30">
      <c r="A15" s="115" t="str">
        <f>'Dados Gerais'!A50</f>
        <v>II</v>
      </c>
      <c r="B15" s="62"/>
      <c r="C15" s="324">
        <f>'Dados Gerais'!C50</f>
        <v>21886.71</v>
      </c>
      <c r="D15" s="315">
        <f>IF('Dados Gerais'!C$21&lt;&gt;0,C15/'Dados Gerais'!C$21,0)</f>
        <v>4474.7117271835123</v>
      </c>
      <c r="E15" s="325"/>
    </row>
    <row r="16" spans="1:5" ht="30">
      <c r="A16" s="115" t="str">
        <f>'Dados Gerais'!A51</f>
        <v>IPI</v>
      </c>
      <c r="B16" s="62"/>
      <c r="C16" s="324">
        <f>'Dados Gerais'!C51</f>
        <v>11239.62</v>
      </c>
      <c r="D16" s="315">
        <f>IF('Dados Gerais'!C$21&lt;&gt;0,C16/'Dados Gerais'!C$21,0)</f>
        <v>2297.9268891069678</v>
      </c>
      <c r="E16" s="325"/>
    </row>
    <row r="17" spans="1:5" ht="30">
      <c r="A17" s="115" t="str">
        <f>'Dados Gerais'!A52</f>
        <v>PIS - Importação</v>
      </c>
      <c r="B17" s="62"/>
      <c r="C17" s="324">
        <f>'Dados Gerais'!C52</f>
        <v>3335.7295319040009</v>
      </c>
      <c r="D17" s="315">
        <f>IF('Dados Gerais'!C$21&lt;&gt;0,C17/'Dados Gerais'!C$21,0)</f>
        <v>681.98592000000008</v>
      </c>
      <c r="E17" s="325"/>
    </row>
    <row r="18" spans="1:5" ht="30">
      <c r="A18" s="115" t="str">
        <f>'Dados Gerais'!A53</f>
        <v>COFINS - Importação</v>
      </c>
      <c r="B18" s="62"/>
      <c r="C18" s="324">
        <f>'Dados Gerais'!C53</f>
        <v>15328.471420415997</v>
      </c>
      <c r="D18" s="315">
        <f>IF('Dados Gerais'!C$21&lt;&gt;0,C18/'Dados Gerais'!C$21,0)</f>
        <v>3133.8876799999994</v>
      </c>
      <c r="E18" s="325"/>
    </row>
    <row r="19" spans="1:5" ht="30">
      <c r="A19" s="115" t="str">
        <f>'Dados Gerais'!A54</f>
        <v>Adicional da COFINS  - IMPORTAÇÃO (Somatório das Adições)</v>
      </c>
      <c r="B19" s="62"/>
      <c r="C19" s="324">
        <f>'Dados Gerais'!C54</f>
        <v>0</v>
      </c>
      <c r="D19" s="315">
        <f>IF('Dados Gerais'!C$21&lt;&gt;0,C19/'Dados Gerais'!C$21,0)</f>
        <v>0</v>
      </c>
      <c r="E19" s="325"/>
    </row>
    <row r="20" spans="1:5" ht="30">
      <c r="A20" s="115" t="str">
        <f>'Dados Gerais'!A55</f>
        <v>AFRMM (Incluída na Base de Cálculo do ICMS Importação)</v>
      </c>
      <c r="B20" s="62"/>
      <c r="C20" s="324">
        <f>'Dados Gerais'!C55</f>
        <v>1102.6721280000002</v>
      </c>
      <c r="D20" s="315">
        <f>IF('Dados Gerais'!C$21&lt;&gt;0,C20/'Dados Gerais'!C$21,0)</f>
        <v>225.44000000000003</v>
      </c>
      <c r="E20" s="325"/>
    </row>
    <row r="21" spans="1:5" ht="30">
      <c r="A21" s="115" t="str">
        <f>'Dados Gerais'!A56</f>
        <v>Capatazia</v>
      </c>
      <c r="B21" s="62"/>
      <c r="C21" s="324">
        <f>'Dados Gerais'!C56</f>
        <v>3166.2683999999972</v>
      </c>
      <c r="D21" s="315">
        <f>IF('Dados Gerais'!C$21&lt;&gt;0,C21/'Dados Gerais'!C$21,0)</f>
        <v>647.33979391560285</v>
      </c>
      <c r="E21" s="325"/>
    </row>
    <row r="22" spans="1:5" ht="30">
      <c r="A22" s="115" t="str">
        <f>'Dados Gerais'!A57</f>
        <v>Antidumping</v>
      </c>
      <c r="B22" s="62"/>
      <c r="C22" s="324">
        <f>'Dados Gerais'!C57</f>
        <v>0</v>
      </c>
      <c r="D22" s="315">
        <f>IF('Dados Gerais'!C$21&lt;&gt;0,C22/'Dados Gerais'!C$21,0)</f>
        <v>0</v>
      </c>
      <c r="E22" s="325"/>
    </row>
    <row r="23" spans="1:5" ht="30">
      <c r="A23" s="115" t="str">
        <f>'Dados Gerais'!A58</f>
        <v>Multas na Importação</v>
      </c>
      <c r="B23" s="62"/>
      <c r="C23" s="324">
        <f>'Dados Gerais'!C58</f>
        <v>0</v>
      </c>
      <c r="D23" s="315">
        <f>IF('Dados Gerais'!C$21&lt;&gt;0,C23/'Dados Gerais'!C$21,0)</f>
        <v>0</v>
      </c>
      <c r="E23" s="325"/>
    </row>
    <row r="24" spans="1:5" ht="30">
      <c r="A24" s="115" t="str">
        <f>'Dados Gerais'!A59</f>
        <v>ICMS na Importação</v>
      </c>
      <c r="B24" s="62" t="str">
        <f>IF('Dados Gerais'!B26&lt;&gt;"NA",IF('Dados Gerais'!B26="RO-A","ADIANTADO","DIFERIDO"),'Dados Gerais'!C25)</f>
        <v>DIFERIDO</v>
      </c>
      <c r="C24" s="324">
        <f>'Dados Gerais'!C59</f>
        <v>0</v>
      </c>
      <c r="D24" s="315">
        <f>IF('Dados Gerais'!C$21&lt;&gt;0,C24/'Dados Gerais'!C$21,0)</f>
        <v>0</v>
      </c>
      <c r="E24" s="325"/>
    </row>
    <row r="25" spans="1:5" s="318" customFormat="1" ht="30.6" thickBot="1">
      <c r="A25" s="326"/>
      <c r="B25" s="63"/>
      <c r="C25" s="324"/>
      <c r="D25" s="315"/>
      <c r="E25" s="325"/>
    </row>
    <row r="26" spans="1:5" ht="30.6" thickBot="1">
      <c r="A26" s="554" t="s">
        <v>55</v>
      </c>
      <c r="B26" s="555"/>
      <c r="C26" s="327">
        <f>SUM(C14:C24)</f>
        <v>56391.121480319998</v>
      </c>
      <c r="D26" s="327">
        <f>SUM(D14:D24)</f>
        <v>11529.097456722275</v>
      </c>
      <c r="E26" s="328">
        <f>IF(C$41&lt;&gt;0,C26/C$41,0)</f>
        <v>0.24757243000244533</v>
      </c>
    </row>
    <row r="27" spans="1:5" ht="30">
      <c r="A27" s="329"/>
      <c r="B27" s="64"/>
      <c r="C27" s="324"/>
      <c r="D27" s="315"/>
      <c r="E27" s="325"/>
    </row>
    <row r="28" spans="1:5" ht="30">
      <c r="A28" s="115" t="str">
        <f>'Dados Gerais'!A78</f>
        <v>LIBERAÇÃO BL / SISCARGA FEE / DESCONSOLIDAÇÃO / IMPORT LOGISTIC FEE / DROP OFF FEE</v>
      </c>
      <c r="B28" s="65"/>
      <c r="C28" s="324">
        <f>'Dados Gerais'!C78</f>
        <v>7222.25</v>
      </c>
      <c r="D28" s="315">
        <f>IF('Dados Gerais'!C$21&lt;&gt;0,C28/'Dados Gerais'!C$21,0)</f>
        <v>1476.5803892705264</v>
      </c>
      <c r="E28" s="325"/>
    </row>
    <row r="29" spans="1:5" ht="30">
      <c r="A29" s="115" t="str">
        <f>'Dados Gerais'!A79</f>
        <v>IOF FEE</v>
      </c>
      <c r="B29" s="1"/>
      <c r="C29" s="324">
        <f>'Dados Gerais'!C79</f>
        <v>0</v>
      </c>
      <c r="D29" s="315">
        <f>IF('Dados Gerais'!C$21&lt;&gt;0,C29/'Dados Gerais'!C$21,0)</f>
        <v>0</v>
      </c>
      <c r="E29" s="325"/>
    </row>
    <row r="30" spans="1:5" ht="30">
      <c r="A30" s="115" t="str">
        <f>'Dados Gerais'!A80</f>
        <v>HONORÁRIOS DESPACHANTE</v>
      </c>
      <c r="B30" s="1"/>
      <c r="C30" s="324">
        <f>'Dados Gerais'!C80</f>
        <v>0</v>
      </c>
      <c r="D30" s="315">
        <f>IF('Dados Gerais'!C$21&lt;&gt;0,C30/'Dados Gerais'!C$21,0)</f>
        <v>0</v>
      </c>
      <c r="E30" s="325"/>
    </row>
    <row r="31" spans="1:5" ht="30">
      <c r="A31" s="115" t="str">
        <f>'Dados Gerais'!A81</f>
        <v>ARMAZENAGEM</v>
      </c>
      <c r="B31" s="3"/>
      <c r="C31" s="324">
        <f>'Dados Gerais'!C81</f>
        <v>0</v>
      </c>
      <c r="D31" s="315">
        <f>IF('Dados Gerais'!C$21&lt;&gt;0,C31/'Dados Gerais'!C$21,0)</f>
        <v>0</v>
      </c>
      <c r="E31" s="325"/>
    </row>
    <row r="32" spans="1:5" ht="30">
      <c r="A32" s="115" t="str">
        <f>'Dados Gerais'!A82</f>
        <v>DIFERENÇA CAMBIAL ESTIMADA</v>
      </c>
      <c r="B32" s="3"/>
      <c r="C32" s="324">
        <f>'Dados Gerais'!C82</f>
        <v>0</v>
      </c>
      <c r="D32" s="315">
        <f>IF('Dados Gerais'!C$21&lt;&gt;0,C32/'Dados Gerais'!C$21,0)</f>
        <v>0</v>
      </c>
      <c r="E32" s="325"/>
    </row>
    <row r="33" spans="1:254" ht="30">
      <c r="A33" s="115" t="str">
        <f>'Dados Gerais'!A83</f>
        <v>FRETE DOMÉSTICO</v>
      </c>
      <c r="B33" s="3"/>
      <c r="C33" s="324">
        <f>'Dados Gerais'!C83</f>
        <v>0</v>
      </c>
      <c r="D33" s="315">
        <f>IF('Dados Gerais'!C$21&lt;&gt;0,C33/'Dados Gerais'!C$21,0)</f>
        <v>0</v>
      </c>
      <c r="E33" s="325"/>
    </row>
    <row r="34" spans="1:254" ht="30">
      <c r="A34" s="115" t="str">
        <f>'Dados Gerais'!A84</f>
        <v>TARIFA BANCÁRIA</v>
      </c>
      <c r="B34" s="3"/>
      <c r="C34" s="324">
        <f>'Dados Gerais'!C84</f>
        <v>0</v>
      </c>
      <c r="D34" s="315"/>
      <c r="E34" s="325"/>
    </row>
    <row r="35" spans="1:254" ht="30">
      <c r="A35" s="115" t="str">
        <f>'Dados Gerais'!A85</f>
        <v>COMIISÃO BBR</v>
      </c>
      <c r="B35" s="3"/>
      <c r="C35" s="324">
        <f>'Dados Gerais'!C85</f>
        <v>2152.3538490431997</v>
      </c>
      <c r="D35" s="315">
        <f>IF('Dados Gerais'!C$21&lt;&gt;0,C35/'Dados Gerais'!C$21,0)</f>
        <v>440.04617456722269</v>
      </c>
      <c r="E35" s="325"/>
    </row>
    <row r="36" spans="1:254" s="318" customFormat="1" ht="30.6" thickBot="1">
      <c r="A36" s="326"/>
      <c r="B36" s="63"/>
      <c r="C36" s="324"/>
      <c r="D36" s="315"/>
      <c r="E36" s="325"/>
    </row>
    <row r="37" spans="1:254" s="318" customFormat="1" ht="30.6" thickBot="1">
      <c r="A37" s="554" t="s">
        <v>56</v>
      </c>
      <c r="B37" s="555"/>
      <c r="C37" s="327">
        <f>SUM(C28:C35)</f>
        <v>9374.6038490432002</v>
      </c>
      <c r="D37" s="327">
        <f>SUM(D28:D35)</f>
        <v>1916.626563837749</v>
      </c>
      <c r="E37" s="328">
        <f>IF(C$41&lt;&gt;0,C37/C$41,0)</f>
        <v>4.1157072147037781E-2</v>
      </c>
    </row>
    <row r="38" spans="1:254" ht="30.6" thickBot="1">
      <c r="A38" s="554"/>
      <c r="B38" s="556"/>
      <c r="C38" s="556"/>
      <c r="D38" s="556"/>
      <c r="E38" s="330"/>
    </row>
    <row r="39" spans="1:254" ht="30.6" thickBot="1">
      <c r="A39" s="548" t="s">
        <v>57</v>
      </c>
      <c r="B39" s="549"/>
      <c r="C39" s="319">
        <f>C26+C37+IF(A3="fob",(C9+C10),IF(B3="CFR",C10,0))</f>
        <v>82715.395329363193</v>
      </c>
      <c r="D39" s="319">
        <f>D26+D37</f>
        <v>13445.724020560025</v>
      </c>
      <c r="E39" s="331">
        <f>E26+E37</f>
        <v>0.28872950214948312</v>
      </c>
    </row>
    <row r="40" spans="1:254" ht="30.6" thickBot="1">
      <c r="A40" s="554"/>
      <c r="B40" s="556"/>
      <c r="C40" s="556"/>
      <c r="D40" s="556"/>
      <c r="E40" s="330"/>
    </row>
    <row r="41" spans="1:254" ht="30.6" thickBot="1">
      <c r="A41" s="548" t="s">
        <v>58</v>
      </c>
      <c r="B41" s="549"/>
      <c r="C41" s="319">
        <f>C12+C26+C37</f>
        <v>227776.2571533632</v>
      </c>
      <c r="D41" s="319">
        <f>D12+D39</f>
        <v>46568.583814475627</v>
      </c>
      <c r="E41" s="331">
        <f>E39+E12</f>
        <v>1</v>
      </c>
    </row>
    <row r="42" spans="1:254" s="173" customFormat="1" ht="24.6">
      <c r="I42" s="175"/>
      <c r="N42" s="175"/>
      <c r="S42" s="175"/>
      <c r="X42" s="175"/>
      <c r="AC42" s="175"/>
      <c r="AH42" s="175"/>
      <c r="AM42" s="175"/>
      <c r="AR42" s="175"/>
      <c r="AW42" s="175"/>
      <c r="BB42" s="175"/>
      <c r="BG42" s="175"/>
      <c r="BL42" s="175"/>
      <c r="BQ42" s="175"/>
      <c r="BV42" s="175"/>
      <c r="CA42" s="175"/>
      <c r="CF42" s="175"/>
      <c r="CK42" s="175"/>
      <c r="CP42" s="175"/>
      <c r="CU42" s="175"/>
      <c r="CZ42" s="175"/>
      <c r="DE42" s="175"/>
      <c r="DJ42" s="175"/>
      <c r="DO42" s="175"/>
      <c r="DT42" s="175"/>
      <c r="DY42" s="175"/>
      <c r="ED42" s="175"/>
      <c r="EI42" s="175"/>
      <c r="EN42" s="175"/>
      <c r="ES42" s="175"/>
      <c r="EX42" s="175"/>
      <c r="FC42" s="175"/>
      <c r="FH42" s="175"/>
      <c r="FM42" s="175"/>
      <c r="FR42" s="175"/>
      <c r="FW42" s="175"/>
      <c r="GB42" s="175"/>
      <c r="GG42" s="175"/>
      <c r="GL42" s="175"/>
      <c r="GQ42" s="175"/>
      <c r="GV42" s="175"/>
      <c r="HA42" s="175"/>
      <c r="HF42" s="175"/>
      <c r="HK42" s="175"/>
      <c r="HP42" s="175"/>
      <c r="HU42" s="175"/>
      <c r="HZ42" s="175"/>
      <c r="IE42" s="175"/>
      <c r="IJ42" s="175"/>
      <c r="IO42" s="175"/>
      <c r="IT42" s="175"/>
    </row>
    <row r="43" spans="1:254">
      <c r="D43" s="313"/>
    </row>
    <row r="44" spans="1:254">
      <c r="D44" s="313"/>
    </row>
    <row r="45" spans="1:254">
      <c r="D45" s="313"/>
    </row>
    <row r="46" spans="1:254">
      <c r="D46" s="313"/>
    </row>
    <row r="47" spans="1:254">
      <c r="D47" s="313"/>
    </row>
    <row r="48" spans="1:254">
      <c r="D48" s="313"/>
    </row>
    <row r="49" s="313" customFormat="1"/>
    <row r="50" s="313" customFormat="1"/>
    <row r="51" s="313" customFormat="1"/>
    <row r="52" s="313" customFormat="1"/>
    <row r="53" s="313" customFormat="1"/>
    <row r="54" s="313" customFormat="1"/>
    <row r="55" s="313" customFormat="1"/>
    <row r="56" s="313" customFormat="1"/>
    <row r="57" s="313" customFormat="1"/>
    <row r="58" s="313" customFormat="1"/>
  </sheetData>
  <sheetProtection formatColumns="0" selectLockedCells="1"/>
  <mergeCells count="14">
    <mergeCell ref="C2:E4"/>
    <mergeCell ref="A2:B2"/>
    <mergeCell ref="A39:B39"/>
    <mergeCell ref="A1:E1"/>
    <mergeCell ref="A41:B41"/>
    <mergeCell ref="A5:E5"/>
    <mergeCell ref="A26:B26"/>
    <mergeCell ref="A37:B37"/>
    <mergeCell ref="A12:B12"/>
    <mergeCell ref="A38:D38"/>
    <mergeCell ref="A11:D11"/>
    <mergeCell ref="A40:D40"/>
    <mergeCell ref="A3:B3"/>
    <mergeCell ref="A4:B4"/>
  </mergeCells>
  <phoneticPr fontId="2" type="noConversion"/>
  <printOptions horizontalCentered="1" verticalCentered="1"/>
  <pageMargins left="0.78740157480314998" right="0.78740157480314998" top="0.98425196850393704" bottom="0.98425196850393704" header="0.511811023622047" footer="0.511811023622047"/>
  <pageSetup paperSize="9" scale="36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78"/>
  <sheetViews>
    <sheetView topLeftCell="A51" zoomScale="75" zoomScaleNormal="100" zoomScalePageLayoutView="50" workbookViewId="0">
      <selection activeCell="A59" sqref="A59:D59"/>
    </sheetView>
  </sheetViews>
  <sheetFormatPr defaultColWidth="8.77734375" defaultRowHeight="30" customHeight="1"/>
  <cols>
    <col min="1" max="1" width="118" style="76" customWidth="1"/>
    <col min="2" max="2" width="23.44140625" style="76" customWidth="1"/>
    <col min="3" max="3" width="31" style="76" customWidth="1"/>
    <col min="4" max="4" width="27.44140625" style="147" bestFit="1" customWidth="1"/>
    <col min="5" max="5" width="19.33203125" style="76" customWidth="1"/>
    <col min="6" max="7" width="8.77734375" style="76"/>
    <col min="8" max="8" width="11.44140625" style="76" bestFit="1" customWidth="1"/>
    <col min="9" max="16384" width="8.77734375" style="76"/>
  </cols>
  <sheetData>
    <row r="1" spans="1:5" ht="30" customHeight="1" thickBot="1">
      <c r="A1" s="550" t="str">
        <f>'Dados Gerais'!A115</f>
        <v>VENDA DE MERC. IMPORTADA, PARA OUTRO ESTADO</v>
      </c>
      <c r="B1" s="551"/>
      <c r="C1" s="551"/>
      <c r="D1" s="551"/>
      <c r="E1" s="552"/>
    </row>
    <row r="2" spans="1:5" ht="30" customHeight="1" thickBot="1">
      <c r="A2" s="553" t="s">
        <v>190</v>
      </c>
      <c r="B2" s="551"/>
      <c r="C2" s="551"/>
      <c r="D2" s="551"/>
      <c r="E2" s="552"/>
    </row>
    <row r="3" spans="1:5" ht="40.049999999999997" customHeight="1">
      <c r="A3" s="564" t="str">
        <f>'Dados Gerais'!C11</f>
        <v>LUCRO REAL</v>
      </c>
      <c r="B3" s="565"/>
      <c r="C3" s="570"/>
      <c r="D3" s="570"/>
      <c r="E3" s="547"/>
    </row>
    <row r="4" spans="1:5" ht="40.049999999999997" customHeight="1">
      <c r="A4" s="566"/>
      <c r="B4" s="567"/>
      <c r="C4" s="571"/>
      <c r="D4" s="571"/>
      <c r="E4" s="572"/>
    </row>
    <row r="5" spans="1:5" ht="30" customHeight="1" thickBot="1">
      <c r="A5" s="568"/>
      <c r="B5" s="569"/>
      <c r="C5" s="573"/>
      <c r="D5" s="573"/>
      <c r="E5" s="574"/>
    </row>
    <row r="6" spans="1:5" ht="30" customHeight="1" thickBot="1">
      <c r="A6" s="57" t="s">
        <v>53</v>
      </c>
      <c r="B6" s="57"/>
      <c r="C6" s="57" t="s">
        <v>18</v>
      </c>
      <c r="D6" s="58" t="str">
        <f>'Dados Gerais'!C9</f>
        <v>USD</v>
      </c>
      <c r="E6" s="110" t="s">
        <v>54</v>
      </c>
    </row>
    <row r="7" spans="1:5" ht="30" customHeight="1">
      <c r="A7" s="59"/>
      <c r="B7" s="59"/>
      <c r="C7" s="59"/>
      <c r="D7" s="60"/>
      <c r="E7" s="114"/>
    </row>
    <row r="8" spans="1:5" ht="30" customHeight="1">
      <c r="A8" s="115" t="str">
        <f>Importação!A8</f>
        <v>FOB - Equivalente</v>
      </c>
      <c r="B8" s="61"/>
      <c r="C8" s="71">
        <f>'Dados Gerais'!C117</f>
        <v>145060.86182399999</v>
      </c>
      <c r="D8" s="71">
        <f>IF('Dados Gerais'!C$21&lt;&gt;0,C8/'Dados Gerais'!C$21,0)</f>
        <v>29657.519999999997</v>
      </c>
      <c r="E8" s="116"/>
    </row>
    <row r="9" spans="1:5" ht="30" customHeight="1">
      <c r="A9" s="115" t="str">
        <f>Importação!A9</f>
        <v>Frete Internacional</v>
      </c>
      <c r="B9" s="61"/>
      <c r="C9" s="71">
        <f>'Dados Gerais'!C118</f>
        <v>16949.669999999998</v>
      </c>
      <c r="D9" s="71">
        <f>IF('Dados Gerais'!C$21&lt;&gt;0,C9/'Dados Gerais'!C$21,0)</f>
        <v>3465.339793915603</v>
      </c>
      <c r="E9" s="116"/>
    </row>
    <row r="10" spans="1:5" ht="30" customHeight="1">
      <c r="A10" s="115" t="str">
        <f>'Dados Gerais'!A44</f>
        <v>Valor do Seguro</v>
      </c>
      <c r="B10" s="61"/>
      <c r="C10" s="71">
        <f>'Dados Gerais'!C120</f>
        <v>0</v>
      </c>
      <c r="D10" s="71">
        <f>IF('Dados Gerais'!C$21&lt;&gt;0,C10/'Dados Gerais'!C$21,0)</f>
        <v>0</v>
      </c>
      <c r="E10" s="116"/>
    </row>
    <row r="11" spans="1:5" ht="30" customHeight="1">
      <c r="A11" s="186" t="str">
        <f>'Dados Gerais'!A94</f>
        <v>Variação Cambial Passiva Total</v>
      </c>
      <c r="B11" s="61"/>
      <c r="C11" s="71">
        <f>'Dados Gerais'!C94</f>
        <v>0</v>
      </c>
      <c r="D11" s="71">
        <f>IF('Dados Gerais'!C$21&lt;&gt;0,C11/'Dados Gerais'!C$21,0)</f>
        <v>0</v>
      </c>
      <c r="E11" s="116"/>
    </row>
    <row r="12" spans="1:5" s="118" customFormat="1" ht="30" customHeight="1" thickBot="1">
      <c r="A12" s="562"/>
      <c r="B12" s="563"/>
      <c r="C12" s="563"/>
      <c r="D12" s="563"/>
      <c r="E12" s="117"/>
    </row>
    <row r="13" spans="1:5" ht="30" customHeight="1" thickBot="1">
      <c r="A13" s="548" t="s">
        <v>265</v>
      </c>
      <c r="B13" s="549"/>
      <c r="C13" s="119">
        <f>SUM(C8:C11)</f>
        <v>162010.53182400001</v>
      </c>
      <c r="D13" s="119">
        <f>SUM(D8:D11)</f>
        <v>33122.859793915602</v>
      </c>
      <c r="E13" s="120">
        <f ca="1">C13/C62</f>
        <v>0.64234487594550027</v>
      </c>
    </row>
    <row r="14" spans="1:5" ht="30" customHeight="1">
      <c r="A14" s="121"/>
      <c r="B14" s="122"/>
      <c r="C14" s="123"/>
      <c r="D14" s="123"/>
      <c r="E14" s="124"/>
    </row>
    <row r="15" spans="1:5" ht="30" customHeight="1">
      <c r="A15" s="115" t="str">
        <f>'Dados Gerais'!A49</f>
        <v>Taxa do Siscomex</v>
      </c>
      <c r="B15" s="62"/>
      <c r="C15" s="125">
        <f>Importação!C14</f>
        <v>331.65</v>
      </c>
      <c r="D15" s="71">
        <f>IF('Dados Gerais'!C$21&lt;&gt;0,C15/'Dados Gerais'!C$21,0)</f>
        <v>67.805446516192333</v>
      </c>
      <c r="E15" s="126"/>
    </row>
    <row r="16" spans="1:5" ht="30" customHeight="1">
      <c r="A16" s="115" t="str">
        <f>'Dados Gerais'!A50</f>
        <v>II</v>
      </c>
      <c r="B16" s="62"/>
      <c r="C16" s="125">
        <f>Importação!C15</f>
        <v>21886.71</v>
      </c>
      <c r="D16" s="71">
        <f>IF('Dados Gerais'!C$21&lt;&gt;0,C16/'Dados Gerais'!C$21,0)</f>
        <v>4474.7117271835123</v>
      </c>
      <c r="E16" s="126"/>
    </row>
    <row r="17" spans="1:5" ht="30" customHeight="1">
      <c r="A17" s="115" t="str">
        <f>'Dados Gerais'!A51</f>
        <v>IPI</v>
      </c>
      <c r="B17" s="62"/>
      <c r="C17" s="125">
        <f>Importação!C16</f>
        <v>11239.62</v>
      </c>
      <c r="D17" s="71">
        <f>IF('Dados Gerais'!C$21&lt;&gt;0,C17/'Dados Gerais'!C$21,0)</f>
        <v>2297.9268891069678</v>
      </c>
      <c r="E17" s="126"/>
    </row>
    <row r="18" spans="1:5" ht="30" customHeight="1">
      <c r="A18" s="115" t="str">
        <f>'Dados Gerais'!A52</f>
        <v>PIS - Importação</v>
      </c>
      <c r="B18" s="62"/>
      <c r="C18" s="125">
        <f>Importação!C17</f>
        <v>3335.7295319040009</v>
      </c>
      <c r="D18" s="71">
        <f>IF('Dados Gerais'!C$21&lt;&gt;0,C18/'Dados Gerais'!C$21,0)</f>
        <v>681.98592000000008</v>
      </c>
      <c r="E18" s="126"/>
    </row>
    <row r="19" spans="1:5" ht="30" customHeight="1">
      <c r="A19" s="115" t="str">
        <f>'Dados Gerais'!A53</f>
        <v>COFINS - Importação</v>
      </c>
      <c r="B19" s="62"/>
      <c r="C19" s="125">
        <f>Importação!C18</f>
        <v>15328.471420415997</v>
      </c>
      <c r="D19" s="71">
        <f>IF('Dados Gerais'!C$21&lt;&gt;0,C19/'Dados Gerais'!C$21,0)</f>
        <v>3133.8876799999994</v>
      </c>
      <c r="E19" s="126"/>
    </row>
    <row r="20" spans="1:5" ht="30" customHeight="1">
      <c r="A20" s="115" t="str">
        <f>'Dados Gerais'!A54</f>
        <v>Adicional da COFINS  - IMPORTAÇÃO (Somatório das Adições)</v>
      </c>
      <c r="B20" s="62"/>
      <c r="C20" s="125">
        <f>Importação!C19</f>
        <v>0</v>
      </c>
      <c r="D20" s="71">
        <f>IF('Dados Gerais'!C$21&lt;&gt;0,C20/'Dados Gerais'!C$21,0)</f>
        <v>0</v>
      </c>
      <c r="E20" s="126"/>
    </row>
    <row r="21" spans="1:5" ht="30" customHeight="1">
      <c r="A21" s="115" t="str">
        <f>'Dados Gerais'!A55</f>
        <v>AFRMM (Incluída na Base de Cálculo do ICMS Importação)</v>
      </c>
      <c r="B21" s="62"/>
      <c r="C21" s="125">
        <f>Importação!C20</f>
        <v>1102.6721280000002</v>
      </c>
      <c r="D21" s="71">
        <f>IF('Dados Gerais'!C$21&lt;&gt;0,C21/'Dados Gerais'!C$21,0)</f>
        <v>225.44000000000003</v>
      </c>
      <c r="E21" s="126"/>
    </row>
    <row r="22" spans="1:5" ht="30" customHeight="1">
      <c r="A22" s="115" t="str">
        <f>'Dados Gerais'!A56</f>
        <v>Capatazia</v>
      </c>
      <c r="B22" s="62"/>
      <c r="C22" s="125">
        <f>Importação!C21</f>
        <v>3166.2683999999972</v>
      </c>
      <c r="D22" s="71">
        <f>IF('Dados Gerais'!C$21&lt;&gt;0,C22/'Dados Gerais'!C$21,0)</f>
        <v>647.33979391560285</v>
      </c>
      <c r="E22" s="126"/>
    </row>
    <row r="23" spans="1:5" ht="30" customHeight="1">
      <c r="A23" s="115" t="str">
        <f>'Dados Gerais'!A57</f>
        <v>Antidumping</v>
      </c>
      <c r="B23" s="73"/>
      <c r="C23" s="125">
        <f>Importação!C22</f>
        <v>0</v>
      </c>
      <c r="D23" s="71">
        <f>IF('Dados Gerais'!C$21&lt;&gt;0,C23/'Dados Gerais'!C$21,0)</f>
        <v>0</v>
      </c>
      <c r="E23" s="126"/>
    </row>
    <row r="24" spans="1:5" ht="30" customHeight="1">
      <c r="A24" s="115" t="str">
        <f>'Dados Gerais'!A58</f>
        <v>Multas na Importação</v>
      </c>
      <c r="B24" s="73"/>
      <c r="C24" s="125">
        <f>Importação!C23</f>
        <v>0</v>
      </c>
      <c r="D24" s="71">
        <f>IF('Dados Gerais'!C$21&lt;&gt;0,C24/'Dados Gerais'!C$21,0)</f>
        <v>0</v>
      </c>
      <c r="E24" s="126"/>
    </row>
    <row r="25" spans="1:5" ht="30" customHeight="1">
      <c r="A25" s="115" t="str">
        <f>'Dados Gerais'!A59</f>
        <v>ICMS na Importação</v>
      </c>
      <c r="B25" s="73" t="str">
        <f>Importação!B24</f>
        <v>DIFERIDO</v>
      </c>
      <c r="C25" s="125">
        <f>Importação!C24</f>
        <v>0</v>
      </c>
      <c r="D25" s="71">
        <f>IF('Dados Gerais'!C$21&lt;&gt;0,C25/'Dados Gerais'!C$21,0)</f>
        <v>0</v>
      </c>
      <c r="E25" s="126"/>
    </row>
    <row r="26" spans="1:5" s="118" customFormat="1" ht="30" customHeight="1" thickBot="1">
      <c r="A26" s="115"/>
      <c r="B26" s="63"/>
      <c r="C26" s="125"/>
      <c r="D26" s="71"/>
      <c r="E26" s="126"/>
    </row>
    <row r="27" spans="1:5" ht="30" customHeight="1" thickBot="1">
      <c r="A27" s="554" t="s">
        <v>55</v>
      </c>
      <c r="B27" s="555"/>
      <c r="C27" s="58">
        <f>SUM(C15:C25)</f>
        <v>56391.121480319998</v>
      </c>
      <c r="D27" s="58">
        <f>SUM(D15:D25)</f>
        <v>11529.097456722275</v>
      </c>
      <c r="E27" s="126"/>
    </row>
    <row r="28" spans="1:5" ht="30" customHeight="1">
      <c r="A28" s="127"/>
      <c r="B28" s="64"/>
      <c r="C28" s="125"/>
      <c r="D28" s="71"/>
      <c r="E28" s="126"/>
    </row>
    <row r="29" spans="1:5" ht="30" customHeight="1">
      <c r="A29" s="115" t="str">
        <f>Importação!A28</f>
        <v>LIBERAÇÃO BL / SISCARGA FEE / DESCONSOLIDAÇÃO / IMPORT LOGISTIC FEE / DROP OFF FEE</v>
      </c>
      <c r="B29" s="65"/>
      <c r="C29" s="125">
        <f>Importação!C28</f>
        <v>7222.25</v>
      </c>
      <c r="D29" s="71">
        <f>IF('Dados Gerais'!C$21&lt;&gt;0,C29/'Dados Gerais'!C$21,0)</f>
        <v>1476.5803892705264</v>
      </c>
      <c r="E29" s="126"/>
    </row>
    <row r="30" spans="1:5" ht="30" customHeight="1">
      <c r="A30" s="115" t="str">
        <f>Importação!A29</f>
        <v>IOF FEE</v>
      </c>
      <c r="B30" s="66"/>
      <c r="C30" s="125">
        <f>Importação!C29</f>
        <v>0</v>
      </c>
      <c r="D30" s="71">
        <f>IF('Dados Gerais'!C$21&lt;&gt;0,C30/'Dados Gerais'!C$21,0)</f>
        <v>0</v>
      </c>
      <c r="E30" s="126"/>
    </row>
    <row r="31" spans="1:5" ht="30" customHeight="1">
      <c r="A31" s="115" t="str">
        <f>Importação!A30</f>
        <v>HONORÁRIOS DESPACHANTE</v>
      </c>
      <c r="B31" s="66"/>
      <c r="C31" s="125">
        <f>Importação!C30</f>
        <v>0</v>
      </c>
      <c r="D31" s="71">
        <f>IF('Dados Gerais'!C$21&lt;&gt;0,C31/'Dados Gerais'!C$21,0)</f>
        <v>0</v>
      </c>
      <c r="E31" s="126"/>
    </row>
    <row r="32" spans="1:5" ht="30" customHeight="1">
      <c r="A32" s="115" t="str">
        <f>Importação!A31</f>
        <v>ARMAZENAGEM</v>
      </c>
      <c r="B32" s="1"/>
      <c r="C32" s="125">
        <f>Importação!C31</f>
        <v>0</v>
      </c>
      <c r="D32" s="71">
        <f>IF('Dados Gerais'!C$21&lt;&gt;0,C32/'Dados Gerais'!C$21,0)</f>
        <v>0</v>
      </c>
      <c r="E32" s="126"/>
    </row>
    <row r="33" spans="1:8" ht="30" customHeight="1">
      <c r="A33" s="115" t="str">
        <f>Importação!A32</f>
        <v>DIFERENÇA CAMBIAL ESTIMADA</v>
      </c>
      <c r="B33" s="1"/>
      <c r="C33" s="125">
        <f>Importação!C32</f>
        <v>0</v>
      </c>
      <c r="D33" s="71">
        <f>IF('Dados Gerais'!C$21&lt;&gt;0,C33/'Dados Gerais'!C$21,0)</f>
        <v>0</v>
      </c>
      <c r="E33" s="126"/>
    </row>
    <row r="34" spans="1:8" ht="30" customHeight="1">
      <c r="A34" s="115" t="str">
        <f>Importação!A33</f>
        <v>FRETE DOMÉSTICO</v>
      </c>
      <c r="B34" s="3"/>
      <c r="C34" s="125">
        <f>Importação!C33</f>
        <v>0</v>
      </c>
      <c r="D34" s="71">
        <f>IF('Dados Gerais'!C$21&lt;&gt;0,C34/'Dados Gerais'!C$21,0)</f>
        <v>0</v>
      </c>
      <c r="E34" s="126"/>
    </row>
    <row r="35" spans="1:8" ht="30" customHeight="1">
      <c r="A35" s="115" t="str">
        <f>Importação!A34</f>
        <v>TARIFA BANCÁRIA</v>
      </c>
      <c r="B35" s="3"/>
      <c r="C35" s="125">
        <f>Importação!C34</f>
        <v>0</v>
      </c>
      <c r="D35" s="71">
        <f>IF('Dados Gerais'!C$21&lt;&gt;0,C35/'Dados Gerais'!C$21,0)</f>
        <v>0</v>
      </c>
      <c r="E35" s="126"/>
    </row>
    <row r="36" spans="1:8" ht="30" customHeight="1">
      <c r="A36" s="115" t="str">
        <f>Importação!A35</f>
        <v>COMIISÃO BBR</v>
      </c>
      <c r="B36" s="3"/>
      <c r="C36" s="125">
        <f>Importação!C35</f>
        <v>2152.3538490431997</v>
      </c>
      <c r="D36" s="71">
        <f>IF('Dados Gerais'!C$21&lt;&gt;0,C36/'Dados Gerais'!C$21,0)</f>
        <v>440.04617456722269</v>
      </c>
      <c r="E36" s="126"/>
    </row>
    <row r="37" spans="1:8" s="118" customFormat="1" ht="30" customHeight="1" thickBot="1">
      <c r="A37" s="115"/>
      <c r="B37" s="63"/>
      <c r="C37" s="125"/>
      <c r="D37" s="71"/>
      <c r="E37" s="126"/>
    </row>
    <row r="38" spans="1:8" s="118" customFormat="1" ht="30" customHeight="1" thickBot="1">
      <c r="A38" s="554" t="s">
        <v>56</v>
      </c>
      <c r="B38" s="555"/>
      <c r="C38" s="58">
        <f>SUM(C29:C36)</f>
        <v>9374.6038490432002</v>
      </c>
      <c r="D38" s="58">
        <f>SUM(D29:D36)</f>
        <v>1916.626563837749</v>
      </c>
      <c r="E38" s="126"/>
    </row>
    <row r="39" spans="1:8" ht="30" customHeight="1" thickBot="1">
      <c r="A39" s="554"/>
      <c r="B39" s="556"/>
      <c r="C39" s="556"/>
      <c r="D39" s="556"/>
      <c r="E39" s="128"/>
    </row>
    <row r="40" spans="1:8" ht="30" customHeight="1" thickBot="1">
      <c r="A40" s="548" t="s">
        <v>57</v>
      </c>
      <c r="B40" s="549"/>
      <c r="C40" s="119">
        <f>C27+C38</f>
        <v>65765.725329363195</v>
      </c>
      <c r="D40" s="119">
        <f>D27+D38</f>
        <v>13445.724020560025</v>
      </c>
      <c r="E40" s="120">
        <f ca="1">C40/C62</f>
        <v>0.26075018829052221</v>
      </c>
      <c r="H40" s="87"/>
    </row>
    <row r="41" spans="1:8" ht="30" customHeight="1">
      <c r="A41" s="121"/>
      <c r="B41" s="122"/>
      <c r="C41" s="123"/>
      <c r="D41" s="123"/>
      <c r="E41" s="129"/>
    </row>
    <row r="42" spans="1:8" ht="30" customHeight="1">
      <c r="A42" s="115" t="str">
        <f>'Dados Gerais'!A99</f>
        <v>IPI a Pagar na Revenda 1</v>
      </c>
      <c r="B42" s="63"/>
      <c r="C42" s="125">
        <f ca="1">'Dados Gerais'!C136</f>
        <v>3527.3674109135191</v>
      </c>
      <c r="D42" s="71">
        <f ca="1">IF('Dados Gerais'!C$21&lt;&gt;0,C42/'Dados Gerais'!C$21,0)</f>
        <v>721.16605555150454</v>
      </c>
      <c r="E42" s="122"/>
    </row>
    <row r="43" spans="1:8" ht="30" customHeight="1">
      <c r="A43" s="115" t="str">
        <f>'Dados Gerais'!A100</f>
        <v>PIS a Pagar na Revenda 1</v>
      </c>
      <c r="B43" s="63"/>
      <c r="C43" s="125">
        <f ca="1">'Dados Gerais'!C100</f>
        <v>425.48444397235107</v>
      </c>
      <c r="D43" s="71">
        <f ca="1">IF('Dados Gerais'!C$21&lt;&gt;0,C43/'Dados Gerais'!C$21,0)</f>
        <v>86.98978654979372</v>
      </c>
      <c r="E43" s="126"/>
    </row>
    <row r="44" spans="1:8" ht="30" customHeight="1">
      <c r="A44" s="115" t="str">
        <f>'Dados Gerais'!A101</f>
        <v>COFINS a Pagar na Revenda 1</v>
      </c>
      <c r="B44" s="63"/>
      <c r="C44" s="125">
        <f ca="1">'Dados Gerais'!C101</f>
        <v>1995.9081048326516</v>
      </c>
      <c r="D44" s="71">
        <f ca="1">IF('Dados Gerais'!C$21&lt;&gt;0,C44/'Dados Gerais'!C$21,0)</f>
        <v>408.0610289566265</v>
      </c>
      <c r="E44" s="126"/>
    </row>
    <row r="45" spans="1:8" ht="30" customHeight="1">
      <c r="A45" s="115" t="s">
        <v>300</v>
      </c>
      <c r="B45" s="63"/>
      <c r="C45" s="125">
        <f>'Dados Gerais'!C102</f>
        <v>0</v>
      </c>
      <c r="D45" s="71">
        <f>IF('Dados Gerais'!C$21&lt;&gt;0,C45/'Dados Gerais'!C$21,0)</f>
        <v>0</v>
      </c>
      <c r="E45" s="126"/>
    </row>
    <row r="46" spans="1:8" ht="30" customHeight="1" thickBot="1">
      <c r="A46" s="115"/>
      <c r="B46" s="62"/>
      <c r="C46" s="125"/>
      <c r="D46" s="71"/>
      <c r="E46" s="126"/>
    </row>
    <row r="47" spans="1:8" s="118" customFormat="1" ht="30" customHeight="1" thickBot="1">
      <c r="A47" s="554" t="s">
        <v>59</v>
      </c>
      <c r="B47" s="555"/>
      <c r="C47" s="58">
        <f ca="1">SUM(C42:C45)</f>
        <v>5948.7599597185217</v>
      </c>
      <c r="D47" s="58">
        <f ca="1">SUM(D42:D45)</f>
        <v>1216.2168710579249</v>
      </c>
      <c r="E47" s="130"/>
    </row>
    <row r="48" spans="1:8" ht="30" customHeight="1">
      <c r="A48" s="115"/>
      <c r="B48" s="62"/>
      <c r="C48" s="125"/>
      <c r="D48" s="71"/>
      <c r="E48" s="126"/>
    </row>
    <row r="49" spans="1:5" ht="30" customHeight="1">
      <c r="A49" s="115" t="str">
        <f>'Dados Gerais'!A97</f>
        <v>ICMS a Pagar na Revenda 1</v>
      </c>
      <c r="B49" s="62">
        <f ca="1">IF('Dados Gerais'!C108&gt;0,C49/'Dados Gerais'!C108,0)</f>
        <v>8.0000000000000002E-3</v>
      </c>
      <c r="C49" s="125">
        <f ca="1">'Dados Gerais'!C97</f>
        <v>1899.6030181193694</v>
      </c>
      <c r="D49" s="71">
        <f ca="1">IF('Dados Gerais'!C$21&lt;&gt;0,C49/'Dados Gerais'!C$21,0)</f>
        <v>388.37156896454229</v>
      </c>
      <c r="E49" s="126"/>
    </row>
    <row r="50" spans="1:5" ht="30" customHeight="1">
      <c r="A50" s="115" t="str">
        <f>'Dados Gerais'!A98</f>
        <v>ICMS Benefício</v>
      </c>
      <c r="B50" s="62">
        <f ca="1">IF('Dados Gerais'!C108&gt;0,C50/'Dados Gerais'!C108,0)</f>
        <v>3.2000000000000001E-2</v>
      </c>
      <c r="C50" s="125">
        <f ca="1">'Dados Gerais'!C98</f>
        <v>7598.4120724774775</v>
      </c>
      <c r="D50" s="71">
        <f ca="1">IF('Dados Gerais'!C$21&lt;&gt;0,C50/'Dados Gerais'!C$21,0)</f>
        <v>1553.4862758581692</v>
      </c>
      <c r="E50" s="126"/>
    </row>
    <row r="51" spans="1:5" ht="30" customHeight="1" thickBot="1">
      <c r="A51" s="115"/>
      <c r="B51" s="63"/>
      <c r="C51" s="125"/>
      <c r="D51" s="71"/>
      <c r="E51" s="130"/>
    </row>
    <row r="52" spans="1:5" s="118" customFormat="1" ht="30" customHeight="1" thickBot="1">
      <c r="A52" s="554" t="s">
        <v>60</v>
      </c>
      <c r="B52" s="555"/>
      <c r="C52" s="58">
        <f ca="1">SUM(C49:C50)</f>
        <v>9498.0150905968476</v>
      </c>
      <c r="D52" s="58">
        <f ca="1">SUM(D49:D50)</f>
        <v>1941.8578448227115</v>
      </c>
      <c r="E52" s="130"/>
    </row>
    <row r="53" spans="1:5" ht="30" customHeight="1">
      <c r="A53" s="131"/>
      <c r="B53" s="132"/>
      <c r="C53" s="133"/>
      <c r="D53" s="123"/>
      <c r="E53" s="130"/>
    </row>
    <row r="54" spans="1:5" s="74" customFormat="1" ht="30" customHeight="1">
      <c r="A54" s="67" t="s">
        <v>61</v>
      </c>
      <c r="B54" s="62">
        <f ca="1">C54/'Dados Gerais'!C$110</f>
        <v>3.4090909090909089E-3</v>
      </c>
      <c r="C54" s="134">
        <f ca="1">'Dados Gerais'!C141</f>
        <v>809.48992249404944</v>
      </c>
      <c r="D54" s="135">
        <f ca="1">IF('Dados Gerais'!C$21&lt;&gt;0,C54/'Dados Gerais'!C$21,0)</f>
        <v>165.49924813829927</v>
      </c>
      <c r="E54" s="130"/>
    </row>
    <row r="55" spans="1:5" s="74" customFormat="1" ht="30" customHeight="1">
      <c r="A55" s="67" t="s">
        <v>62</v>
      </c>
      <c r="B55" s="62">
        <f ca="1">C55/'Dados Gerais'!C$110</f>
        <v>9.46969696969697E-3</v>
      </c>
      <c r="C55" s="134">
        <f ca="1">'Dados Gerais'!C142</f>
        <v>2248.5831180390264</v>
      </c>
      <c r="D55" s="135">
        <f ca="1">IF('Dados Gerais'!C$21&lt;&gt;0,C55/'Dados Gerais'!C$21,0)</f>
        <v>459.72013371749802</v>
      </c>
      <c r="E55" s="130"/>
    </row>
    <row r="56" spans="1:5" s="74" customFormat="1" ht="30" customHeight="1" thickBot="1">
      <c r="A56" s="113" t="s">
        <v>63</v>
      </c>
      <c r="B56" s="68">
        <f ca="1">C56/'Dados Gerais'!C$110</f>
        <v>2.5000000000000001E-2</v>
      </c>
      <c r="C56" s="136">
        <f ca="1">'Dados Gerais'!C140</f>
        <v>5936.2594316230297</v>
      </c>
      <c r="D56" s="137">
        <f ca="1">IF('Dados Gerais'!C$21&lt;&gt;0,C56/'Dados Gerais'!C$21,0)</f>
        <v>1213.6611530141947</v>
      </c>
      <c r="E56" s="130"/>
    </row>
    <row r="57" spans="1:5" s="74" customFormat="1" ht="30" customHeight="1" thickBot="1">
      <c r="A57" s="158"/>
      <c r="B57" s="185"/>
      <c r="C57" s="144"/>
      <c r="D57" s="71"/>
      <c r="E57" s="126"/>
    </row>
    <row r="58" spans="1:5" s="74" customFormat="1" ht="30" customHeight="1" thickBot="1">
      <c r="A58" s="139" t="s">
        <v>64</v>
      </c>
      <c r="B58" s="159">
        <f ca="1">C58/'Dados Gerais'!C110</f>
        <v>3.787878787878788E-2</v>
      </c>
      <c r="C58" s="58">
        <f ca="1">SUM(C54:C56)</f>
        <v>8994.3324721561057</v>
      </c>
      <c r="D58" s="58">
        <f ca="1">SUM(D54:D56)</f>
        <v>1838.8805348699921</v>
      </c>
      <c r="E58" s="138"/>
    </row>
    <row r="59" spans="1:5" ht="30" customHeight="1" thickBot="1">
      <c r="A59" s="576"/>
      <c r="B59" s="577"/>
      <c r="C59" s="577"/>
      <c r="D59" s="577"/>
      <c r="E59" s="139"/>
    </row>
    <row r="60" spans="1:5" ht="30" customHeight="1" thickBot="1">
      <c r="A60" s="548" t="s">
        <v>65</v>
      </c>
      <c r="B60" s="549"/>
      <c r="C60" s="119">
        <f ca="1">C47+C52+C58</f>
        <v>24441.107522471473</v>
      </c>
      <c r="D60" s="119">
        <f ca="1">IF('Dados Gerais'!C$21&lt;&gt;0,C60/'Dados Gerais'!C$21,)</f>
        <v>4996.9552507506278</v>
      </c>
      <c r="E60" s="120">
        <f ca="1">C60/C62</f>
        <v>9.6904935763977615E-2</v>
      </c>
    </row>
    <row r="61" spans="1:5" ht="30" customHeight="1" thickBot="1">
      <c r="A61" s="140"/>
      <c r="B61" s="575"/>
      <c r="C61" s="575"/>
      <c r="D61" s="575"/>
      <c r="E61" s="141"/>
    </row>
    <row r="62" spans="1:5" ht="30" customHeight="1" thickBot="1">
      <c r="A62" s="111" t="s">
        <v>66</v>
      </c>
      <c r="B62" s="112"/>
      <c r="C62" s="119">
        <f ca="1">C13+C40+C60</f>
        <v>252217.36467583466</v>
      </c>
      <c r="D62" s="119">
        <f ca="1">D13+D40+D60</f>
        <v>51565.539065226258</v>
      </c>
      <c r="E62" s="120">
        <f ca="1">E13+E40+E60</f>
        <v>1</v>
      </c>
    </row>
    <row r="63" spans="1:5" ht="30" customHeight="1" thickBot="1">
      <c r="A63" s="575"/>
      <c r="B63" s="575"/>
      <c r="C63" s="575"/>
      <c r="D63" s="575"/>
      <c r="E63" s="575"/>
    </row>
    <row r="64" spans="1:5" ht="30" customHeight="1" thickBot="1">
      <c r="A64" s="554" t="s">
        <v>247</v>
      </c>
      <c r="B64" s="556"/>
      <c r="C64" s="556"/>
      <c r="D64" s="556"/>
      <c r="E64" s="555"/>
    </row>
    <row r="65" spans="1:5" ht="30" customHeight="1" thickBot="1">
      <c r="A65" s="554"/>
      <c r="B65" s="556">
        <v>2500</v>
      </c>
      <c r="C65" s="556"/>
      <c r="D65" s="556"/>
      <c r="E65" s="555"/>
    </row>
    <row r="66" spans="1:5" ht="30" customHeight="1">
      <c r="A66" s="115"/>
      <c r="B66" s="69"/>
      <c r="C66" s="70" t="s">
        <v>18</v>
      </c>
      <c r="D66" s="71" t="s">
        <v>67</v>
      </c>
      <c r="E66" s="114"/>
    </row>
    <row r="67" spans="1:5" ht="30" customHeight="1">
      <c r="A67" s="115" t="s">
        <v>186</v>
      </c>
      <c r="B67" s="62"/>
      <c r="C67" s="125">
        <f>C11+IF('Dados Gerais'!C5="FOB",'Saida 1 - Importador'!C8,IF('Dados Gerais'!C5="CFR",'Saida 1 - Importador'!C9,'Saida 1 - Importador'!C8+'Saida 1 - Importador'!C9+'Saida 1 - Importador'!C10))</f>
        <v>145060.86182399999</v>
      </c>
      <c r="D67" s="71">
        <f>IF('Dados Gerais'!C$21&lt;&gt;0,C67/'Dados Gerais'!C$21,0)</f>
        <v>29657.519999999997</v>
      </c>
      <c r="E67" s="578">
        <f>(D67+D68)/(D67+D68)</f>
        <v>1</v>
      </c>
    </row>
    <row r="68" spans="1:5" ht="30" customHeight="1">
      <c r="A68" s="187" t="s">
        <v>250</v>
      </c>
      <c r="B68" s="72"/>
      <c r="C68" s="125">
        <f>C11</f>
        <v>0</v>
      </c>
      <c r="D68" s="71">
        <f>IF('Dados Gerais'!C$21&lt;&gt;0,C68/'Dados Gerais'!C$21,0)</f>
        <v>0</v>
      </c>
      <c r="E68" s="579"/>
    </row>
    <row r="69" spans="1:5" ht="30" customHeight="1">
      <c r="A69" s="143" t="s">
        <v>143</v>
      </c>
      <c r="B69" s="72"/>
      <c r="C69" s="125">
        <f>Importação!C39</f>
        <v>82715.395329363193</v>
      </c>
      <c r="D69" s="71">
        <f>IF('Dados Gerais'!C$21&lt;&gt;0,C69/'Dados Gerais'!C$21,0)</f>
        <v>16911.063814475627</v>
      </c>
      <c r="E69" s="142">
        <f>D69/(D67+D68)</f>
        <v>0.57021166349970021</v>
      </c>
    </row>
    <row r="70" spans="1:5" ht="30" customHeight="1">
      <c r="A70" s="143" t="s">
        <v>144</v>
      </c>
      <c r="B70" s="72"/>
      <c r="C70" s="144">
        <f ca="1">C47+C52+C58</f>
        <v>24441.107522471473</v>
      </c>
      <c r="D70" s="71">
        <f ca="1">IF('Dados Gerais'!C$21&lt;&gt;0,C70/'Dados Gerais'!C$21,0)</f>
        <v>4996.9552507506278</v>
      </c>
      <c r="E70" s="142">
        <f ca="1">D70/(D67+D68)</f>
        <v>0.16848864135472649</v>
      </c>
    </row>
    <row r="71" spans="1:5" ht="30" customHeight="1" thickBot="1">
      <c r="A71" s="143"/>
      <c r="B71" s="72"/>
      <c r="C71" s="72"/>
      <c r="D71" s="188"/>
      <c r="E71" s="145"/>
    </row>
    <row r="72" spans="1:5" ht="30" customHeight="1" thickBot="1">
      <c r="A72" s="109" t="s">
        <v>257</v>
      </c>
      <c r="B72" s="146"/>
      <c r="C72" s="58">
        <f ca="1">SUM(C67:C70)</f>
        <v>252217.36467583466</v>
      </c>
      <c r="D72" s="58">
        <f ca="1">SUM(D67:D70)</f>
        <v>51565.539065226258</v>
      </c>
      <c r="E72" s="58"/>
    </row>
    <row r="73" spans="1:5" ht="30" customHeight="1">
      <c r="B73" s="173"/>
      <c r="C73" s="173"/>
      <c r="D73" s="175"/>
      <c r="E73" s="173"/>
    </row>
    <row r="74" spans="1:5" ht="30" customHeight="1">
      <c r="B74" s="173"/>
      <c r="C74" s="173"/>
      <c r="D74" s="175"/>
      <c r="E74" s="173"/>
    </row>
    <row r="75" spans="1:5" ht="30" customHeight="1">
      <c r="B75" s="173"/>
      <c r="C75" s="173"/>
      <c r="D75" s="175"/>
      <c r="E75" s="173"/>
    </row>
    <row r="76" spans="1:5" ht="30" customHeight="1">
      <c r="B76" s="173"/>
      <c r="C76" s="173"/>
      <c r="D76" s="175"/>
      <c r="E76" s="173"/>
    </row>
    <row r="77" spans="1:5" ht="30" customHeight="1">
      <c r="B77" s="173"/>
      <c r="C77" s="173"/>
      <c r="D77" s="175"/>
      <c r="E77" s="173"/>
    </row>
    <row r="78" spans="1:5" ht="30" customHeight="1">
      <c r="B78" s="173"/>
      <c r="C78" s="173"/>
      <c r="D78" s="175"/>
      <c r="E78" s="173"/>
    </row>
  </sheetData>
  <sheetProtection formatColumns="0" selectLockedCells="1"/>
  <mergeCells count="19">
    <mergeCell ref="A63:E63"/>
    <mergeCell ref="A59:D59"/>
    <mergeCell ref="B61:D61"/>
    <mergeCell ref="A60:B60"/>
    <mergeCell ref="E67:E68"/>
    <mergeCell ref="A64:E64"/>
    <mergeCell ref="A65:E65"/>
    <mergeCell ref="A1:E1"/>
    <mergeCell ref="A2:E2"/>
    <mergeCell ref="A13:B13"/>
    <mergeCell ref="A12:D12"/>
    <mergeCell ref="A3:B5"/>
    <mergeCell ref="C3:E5"/>
    <mergeCell ref="A27:B27"/>
    <mergeCell ref="A52:B52"/>
    <mergeCell ref="A38:B38"/>
    <mergeCell ref="A40:B40"/>
    <mergeCell ref="A47:B47"/>
    <mergeCell ref="A39:D39"/>
  </mergeCells>
  <phoneticPr fontId="10" type="noConversion"/>
  <printOptions horizontalCentered="1" verticalCentered="1"/>
  <pageMargins left="0.78740157480314998" right="0.78740157480314998" top="0.98425196850393704" bottom="0.98425196850393704" header="0.511811023622047" footer="0.511811023622047"/>
  <pageSetup paperSize="9" scale="32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55"/>
  <sheetViews>
    <sheetView topLeftCell="A36" zoomScale="150" zoomScaleNormal="212" workbookViewId="0">
      <selection activeCell="A87" sqref="A87"/>
    </sheetView>
  </sheetViews>
  <sheetFormatPr defaultColWidth="10.77734375" defaultRowHeight="13.2"/>
  <cols>
    <col min="1" max="1" width="55.77734375" style="172" customWidth="1"/>
    <col min="2" max="2" width="14.6640625" customWidth="1"/>
    <col min="3" max="3" width="16.33203125" customWidth="1"/>
    <col min="4" max="4" width="15.44140625" customWidth="1"/>
    <col min="5" max="5" width="10" bestFit="1" customWidth="1"/>
    <col min="6" max="6" width="17.109375" customWidth="1"/>
  </cols>
  <sheetData>
    <row r="1" spans="1:5" s="88" customFormat="1" ht="19.95" customHeight="1" thickBot="1">
      <c r="A1" s="595" t="str">
        <f>'Dados Gerais'!A170</f>
        <v>VENDA DE MERC. IMPORTADA, PARA OUTRO ESTADO</v>
      </c>
      <c r="B1" s="596"/>
      <c r="C1" s="596"/>
      <c r="D1" s="596"/>
      <c r="E1" s="597"/>
    </row>
    <row r="2" spans="1:5" s="88" customFormat="1" ht="19.95" customHeight="1" thickBot="1">
      <c r="A2" s="606" t="s">
        <v>171</v>
      </c>
      <c r="B2" s="596"/>
      <c r="C2" s="596"/>
      <c r="D2" s="596"/>
      <c r="E2" s="597"/>
    </row>
    <row r="3" spans="1:5" s="88" customFormat="1" ht="40.049999999999997" customHeight="1">
      <c r="A3" s="598" t="str">
        <f>'Dados Gerais'!C13</f>
        <v>LUCRO REAL</v>
      </c>
      <c r="B3" s="599"/>
      <c r="C3" s="602"/>
      <c r="D3" s="602"/>
      <c r="E3" s="603"/>
    </row>
    <row r="4" spans="1:5" s="88" customFormat="1" ht="40.049999999999997" customHeight="1" thickBot="1">
      <c r="A4" s="600"/>
      <c r="B4" s="601"/>
      <c r="C4" s="604"/>
      <c r="D4" s="604"/>
      <c r="E4" s="605"/>
    </row>
    <row r="5" spans="1:5" s="88" customFormat="1" ht="19.95" customHeight="1" thickBot="1">
      <c r="A5" s="152" t="s">
        <v>53</v>
      </c>
      <c r="B5" s="160"/>
      <c r="C5" s="89" t="s">
        <v>18</v>
      </c>
      <c r="D5" s="90" t="str">
        <f>'Dados Gerais'!C9</f>
        <v>USD</v>
      </c>
      <c r="E5" s="91" t="s">
        <v>54</v>
      </c>
    </row>
    <row r="6" spans="1:5" s="88" customFormat="1" ht="19.95" customHeight="1" thickBot="1">
      <c r="A6" s="585"/>
      <c r="B6" s="586"/>
      <c r="C6" s="586"/>
      <c r="D6" s="586"/>
      <c r="E6" s="587"/>
    </row>
    <row r="7" spans="1:5" s="88" customFormat="1" ht="19.95" customHeight="1" thickBot="1">
      <c r="A7" s="153" t="s">
        <v>191</v>
      </c>
      <c r="B7" s="161"/>
      <c r="C7" s="92">
        <f ca="1">'Dados Gerais'!C113-C13-C19</f>
        <v>205988.20227731913</v>
      </c>
      <c r="D7" s="92">
        <f ca="1">C7/'Dados Gerais'!C$21</f>
        <v>42114.042009592558</v>
      </c>
      <c r="E7" s="93"/>
    </row>
    <row r="8" spans="1:5" s="88" customFormat="1" ht="19.95" customHeight="1" thickBot="1">
      <c r="A8" s="585"/>
      <c r="B8" s="586"/>
      <c r="C8" s="586"/>
      <c r="D8" s="586"/>
      <c r="E8" s="587"/>
    </row>
    <row r="9" spans="1:5" s="88" customFormat="1" ht="19.95" customHeight="1" thickBot="1">
      <c r="A9" s="583" t="s">
        <v>172</v>
      </c>
      <c r="B9" s="584"/>
      <c r="C9" s="94">
        <f ca="1">SUM(C7:C7)</f>
        <v>205988.20227731913</v>
      </c>
      <c r="D9" s="94">
        <f ca="1">SUM(D7:D7)</f>
        <v>42114.042009592558</v>
      </c>
      <c r="E9" s="95">
        <f ca="1">C9/C$40</f>
        <v>0.62806651378734268</v>
      </c>
    </row>
    <row r="10" spans="1:5" s="88" customFormat="1" ht="19.95" customHeight="1" thickBot="1">
      <c r="A10" s="585"/>
      <c r="B10" s="586"/>
      <c r="C10" s="586"/>
      <c r="D10" s="586"/>
      <c r="E10" s="587"/>
    </row>
    <row r="11" spans="1:5" s="88" customFormat="1" ht="19.95" customHeight="1" thickBot="1">
      <c r="A11" s="151" t="s">
        <v>173</v>
      </c>
      <c r="B11" s="155"/>
      <c r="C11" s="96">
        <f ca="1">IF(A3="SIMPLES NACIONAL",0,'Dados Gerais'!C109)</f>
        <v>9498.0150905968476</v>
      </c>
      <c r="D11" s="92">
        <f ca="1">C11/'Dados Gerais'!C$21</f>
        <v>1941.8578448227115</v>
      </c>
      <c r="E11" s="97"/>
    </row>
    <row r="12" spans="1:5" s="88" customFormat="1" ht="19.95" customHeight="1" thickBot="1">
      <c r="A12" s="585"/>
      <c r="B12" s="586"/>
      <c r="C12" s="586"/>
      <c r="D12" s="586"/>
      <c r="E12" s="587"/>
    </row>
    <row r="13" spans="1:5" s="88" customFormat="1" ht="19.95" customHeight="1" thickBot="1">
      <c r="A13" s="583" t="s">
        <v>174</v>
      </c>
      <c r="B13" s="584"/>
      <c r="C13" s="94">
        <f ca="1">SUM(C11:C11)</f>
        <v>9498.0150905968476</v>
      </c>
      <c r="D13" s="94">
        <f ca="1">SUM(D11:D11)</f>
        <v>1941.8578448227115</v>
      </c>
      <c r="E13" s="95">
        <f ca="1">C13/C$40</f>
        <v>2.8959839252442315E-2</v>
      </c>
    </row>
    <row r="14" spans="1:5" s="88" customFormat="1" ht="19.95" customHeight="1" thickBot="1">
      <c r="A14" s="585"/>
      <c r="B14" s="586"/>
      <c r="C14" s="586"/>
      <c r="D14" s="586"/>
      <c r="E14" s="587"/>
    </row>
    <row r="15" spans="1:5" s="88" customFormat="1" ht="19.95" customHeight="1">
      <c r="A15" s="150" t="s">
        <v>175</v>
      </c>
      <c r="B15" s="162"/>
      <c r="C15" s="96">
        <f ca="1">IF(OR('Dados Gerais'!B11="S",'Dados Gerais'!B13="S"),0,'Dados Gerais'!C111)</f>
        <v>14766.98741091352</v>
      </c>
      <c r="D15" s="92">
        <f ca="1">C15/'Dados Gerais'!C$21</f>
        <v>3019.0929446584719</v>
      </c>
      <c r="E15" s="97"/>
    </row>
    <row r="16" spans="1:5" s="88" customFormat="1" ht="19.95" customHeight="1">
      <c r="A16" s="151" t="s">
        <v>176</v>
      </c>
      <c r="B16" s="155"/>
      <c r="C16" s="96">
        <f ca="1">IF(OR('Dados Gerais'!B11="S",'Dados Gerais'!B13="S"),0,IF('Dados Gerais'!B13="R",1.65%*'Dados Gerais'!C110,0))</f>
        <v>3917.9312248711994</v>
      </c>
      <c r="D16" s="92">
        <f ca="1">C16/'Dados Gerais'!C$21</f>
        <v>801.01636098936842</v>
      </c>
      <c r="E16" s="97"/>
    </row>
    <row r="17" spans="1:9" s="88" customFormat="1" ht="19.95" customHeight="1" thickBot="1">
      <c r="A17" s="154" t="s">
        <v>177</v>
      </c>
      <c r="B17" s="163"/>
      <c r="C17" s="96">
        <f ca="1">IF(OR('Dados Gerais'!B11="S",'Dados Gerais'!B13="S"),0,IF('Dados Gerais'!B13="R",7.6%*'Dados Gerais'!C110,0))</f>
        <v>18046.22867213401</v>
      </c>
      <c r="D17" s="92">
        <f ca="1">C17/'Dados Gerais'!C$21</f>
        <v>3689.5299051631519</v>
      </c>
      <c r="E17" s="97"/>
    </row>
    <row r="18" spans="1:9" s="88" customFormat="1" ht="19.95" customHeight="1" thickBot="1">
      <c r="A18" s="585"/>
      <c r="B18" s="586"/>
      <c r="C18" s="586"/>
      <c r="D18" s="586"/>
      <c r="E18" s="587"/>
    </row>
    <row r="19" spans="1:9" s="88" customFormat="1" ht="19.95" customHeight="1" thickBot="1">
      <c r="A19" s="583" t="s">
        <v>178</v>
      </c>
      <c r="B19" s="584"/>
      <c r="C19" s="94">
        <f ca="1">SUM(C15:C17)</f>
        <v>36731.147307918727</v>
      </c>
      <c r="D19" s="94">
        <f ca="1">SUM(D15:D17)</f>
        <v>7509.6392108109922</v>
      </c>
      <c r="E19" s="95">
        <f ca="1">C19/C$40</f>
        <v>0.11199478116729986</v>
      </c>
      <c r="G19" s="98"/>
      <c r="H19" s="99"/>
      <c r="I19" s="98"/>
    </row>
    <row r="20" spans="1:9" s="88" customFormat="1" ht="19.95" customHeight="1" thickBot="1">
      <c r="A20" s="585"/>
      <c r="B20" s="586"/>
      <c r="C20" s="586"/>
      <c r="D20" s="586"/>
      <c r="E20" s="587"/>
    </row>
    <row r="21" spans="1:9" s="88" customFormat="1" ht="19.95" customHeight="1" thickBot="1">
      <c r="A21" s="75" t="s">
        <v>179</v>
      </c>
      <c r="B21" s="164"/>
      <c r="C21" s="100">
        <f ca="1">'Dados Gerais'!C176</f>
        <v>58431.305281261128</v>
      </c>
      <c r="D21" s="92">
        <f ca="1">C21/'Dados Gerais'!C$21</f>
        <v>11946.210598883939</v>
      </c>
      <c r="E21" s="101"/>
    </row>
    <row r="22" spans="1:9" s="88" customFormat="1" ht="19.95" customHeight="1" thickBot="1">
      <c r="A22" s="585"/>
      <c r="B22" s="586"/>
      <c r="C22" s="586"/>
      <c r="D22" s="586"/>
      <c r="E22" s="587"/>
    </row>
    <row r="23" spans="1:9" s="88" customFormat="1" ht="19.95" customHeight="1" thickBot="1">
      <c r="A23" s="583" t="s">
        <v>180</v>
      </c>
      <c r="B23" s="584"/>
      <c r="C23" s="94">
        <f ca="1">SUM(C21:C21)</f>
        <v>58431.305281261128</v>
      </c>
      <c r="D23" s="94">
        <f ca="1">SUM(D21:D21)</f>
        <v>11946.210598883939</v>
      </c>
      <c r="E23" s="95">
        <f ca="1">C23/C$40</f>
        <v>0.17815945669858604</v>
      </c>
      <c r="G23" s="99"/>
      <c r="H23" s="98"/>
    </row>
    <row r="24" spans="1:9" s="88" customFormat="1" ht="19.95" customHeight="1" thickBot="1">
      <c r="A24" s="585"/>
      <c r="B24" s="586"/>
      <c r="C24" s="586"/>
      <c r="D24" s="586"/>
      <c r="E24" s="587"/>
    </row>
    <row r="25" spans="1:9" s="88" customFormat="1" ht="19.95" customHeight="1">
      <c r="A25" s="151" t="s">
        <v>291</v>
      </c>
      <c r="B25" s="155"/>
      <c r="C25" s="100">
        <f ca="1">'Dados Gerais'!C177</f>
        <v>4435.3293448403092</v>
      </c>
      <c r="D25" s="92">
        <f ca="1">C25/'Dados Gerais'!C$21</f>
        <v>906.79778885351425</v>
      </c>
      <c r="E25" s="101"/>
    </row>
    <row r="26" spans="1:9" s="88" customFormat="1" ht="19.95" customHeight="1">
      <c r="A26" s="151" t="s">
        <v>292</v>
      </c>
      <c r="B26" s="155"/>
      <c r="C26" s="100">
        <f ca="1">'Dados Gerais'!C178</f>
        <v>212.65126587733977</v>
      </c>
      <c r="D26" s="92">
        <f ca="1">C26/'Dados Gerais'!C$21</f>
        <v>43.476297407045251</v>
      </c>
      <c r="E26" s="101"/>
    </row>
    <row r="27" spans="1:9" s="88" customFormat="1" ht="19.95" customHeight="1">
      <c r="A27" s="151" t="s">
        <v>293</v>
      </c>
      <c r="B27" s="155"/>
      <c r="C27" s="100">
        <f ca="1">'Dados Gerais'!C179</f>
        <v>979.48461858653457</v>
      </c>
      <c r="D27" s="92">
        <f ca="1">C27/'Dados Gerais'!C$21</f>
        <v>200.25446078396598</v>
      </c>
      <c r="E27" s="101"/>
    </row>
    <row r="28" spans="1:9" s="88" customFormat="1" ht="19.95" customHeight="1" thickBot="1">
      <c r="A28" s="151" t="s">
        <v>294</v>
      </c>
      <c r="B28" s="345" t="str">
        <f>'Dados Gerais'!B180</f>
        <v/>
      </c>
      <c r="C28" s="100">
        <f>'Dados Gerais'!C180</f>
        <v>0</v>
      </c>
      <c r="D28" s="92">
        <f>C28/'Dados Gerais'!C$21</f>
        <v>0</v>
      </c>
      <c r="E28" s="101"/>
    </row>
    <row r="29" spans="1:9" s="88" customFormat="1" ht="19.95" customHeight="1" thickBot="1">
      <c r="A29" s="585"/>
      <c r="B29" s="586"/>
      <c r="C29" s="586"/>
      <c r="D29" s="586"/>
      <c r="E29" s="587"/>
    </row>
    <row r="30" spans="1:9" s="88" customFormat="1" ht="19.95" customHeight="1" thickBot="1">
      <c r="A30" s="583" t="s">
        <v>181</v>
      </c>
      <c r="B30" s="584"/>
      <c r="C30" s="94">
        <f ca="1">SUM(C25:C28)</f>
        <v>5627.4652293041836</v>
      </c>
      <c r="D30" s="94">
        <f ca="1">SUM(D25:D28)</f>
        <v>1150.5285470445253</v>
      </c>
      <c r="E30" s="95">
        <f ca="1">C30/C$40</f>
        <v>1.7158373290088829E-2</v>
      </c>
    </row>
    <row r="31" spans="1:9" s="88" customFormat="1" ht="19.95" customHeight="1" thickBot="1">
      <c r="A31" s="585"/>
      <c r="B31" s="586"/>
      <c r="C31" s="586"/>
      <c r="D31" s="586"/>
      <c r="E31" s="587"/>
    </row>
    <row r="32" spans="1:9" s="88" customFormat="1" ht="19.95" customHeight="1">
      <c r="A32" s="151" t="s">
        <v>63</v>
      </c>
      <c r="B32" s="156">
        <f ca="1">C32/'Dados Gerais'!C$160</f>
        <v>2.5000000000000001E-2</v>
      </c>
      <c r="C32" s="100">
        <f ca="1">'Dados Gerais'!C181</f>
        <v>7719.2409513474968</v>
      </c>
      <c r="D32" s="92">
        <f ca="1">C32/'Dados Gerais'!C$21</f>
        <v>1578.1895958757557</v>
      </c>
      <c r="E32" s="101"/>
    </row>
    <row r="33" spans="1:7" s="88" customFormat="1" ht="19.95" customHeight="1">
      <c r="A33" s="151" t="s">
        <v>61</v>
      </c>
      <c r="B33" s="157">
        <f ca="1">C33/'Dados Gerais'!C$160</f>
        <v>3.4090909090909094E-3</v>
      </c>
      <c r="C33" s="100">
        <f ca="1">'Dados Gerais'!C182</f>
        <v>1052.6237660928405</v>
      </c>
      <c r="D33" s="92">
        <f ca="1">C33/'Dados Gerais'!C$21</f>
        <v>215.20767216487576</v>
      </c>
      <c r="E33" s="101"/>
    </row>
    <row r="34" spans="1:7" s="88" customFormat="1" ht="19.95" customHeight="1">
      <c r="A34" s="151" t="s">
        <v>62</v>
      </c>
      <c r="B34" s="157">
        <f ca="1">C34/'Dados Gerais'!C$160</f>
        <v>9.46969696969697E-3</v>
      </c>
      <c r="C34" s="100">
        <f ca="1">'Dados Gerais'!C183</f>
        <v>2923.9549058134457</v>
      </c>
      <c r="D34" s="92">
        <f ca="1">C34/'Dados Gerais'!C$21</f>
        <v>597.79908934687717</v>
      </c>
      <c r="E34" s="101"/>
    </row>
    <row r="35" spans="1:7" s="88" customFormat="1" ht="19.95" customHeight="1" thickBot="1">
      <c r="A35" s="153"/>
      <c r="B35" s="165"/>
      <c r="C35" s="166"/>
      <c r="D35" s="92"/>
      <c r="E35" s="101"/>
    </row>
    <row r="36" spans="1:7" s="88" customFormat="1" ht="19.95" customHeight="1" thickBot="1">
      <c r="A36" s="75" t="s">
        <v>200</v>
      </c>
      <c r="B36" s="167">
        <f ca="1">C36/'Dados Gerais'!C160</f>
        <v>3.787878787878788E-2</v>
      </c>
      <c r="C36" s="168">
        <f ca="1">SUM(C32:C34)</f>
        <v>11695.819623253783</v>
      </c>
      <c r="D36" s="168">
        <f ca="1">SUM(D32:D34)</f>
        <v>2391.1963573875087</v>
      </c>
      <c r="E36" s="171"/>
    </row>
    <row r="37" spans="1:7" s="88" customFormat="1" ht="19.95" customHeight="1" thickBot="1">
      <c r="A37" s="75"/>
      <c r="B37" s="169"/>
      <c r="C37" s="169"/>
      <c r="D37" s="169"/>
      <c r="E37" s="170"/>
    </row>
    <row r="38" spans="1:7" s="88" customFormat="1" ht="19.95" customHeight="1" thickBot="1">
      <c r="A38" s="583" t="s">
        <v>182</v>
      </c>
      <c r="B38" s="584"/>
      <c r="C38" s="94">
        <f ca="1">SUM(C32:C34)</f>
        <v>11695.819623253783</v>
      </c>
      <c r="D38" s="94">
        <f ca="1">SUM(D32:D34)</f>
        <v>2391.1963573875087</v>
      </c>
      <c r="E38" s="95">
        <f ca="1">C38/C$40</f>
        <v>3.5661035804240418E-2</v>
      </c>
    </row>
    <row r="39" spans="1:7" s="88" customFormat="1" ht="19.95" customHeight="1" thickBot="1">
      <c r="A39" s="580"/>
      <c r="B39" s="581"/>
      <c r="C39" s="581"/>
      <c r="D39" s="581"/>
      <c r="E39" s="582"/>
    </row>
    <row r="40" spans="1:7" s="88" customFormat="1" ht="19.95" customHeight="1" thickBot="1">
      <c r="A40" s="583" t="s">
        <v>183</v>
      </c>
      <c r="B40" s="584"/>
      <c r="C40" s="94">
        <f ca="1">C9+C13+C19+C23+C30+C38</f>
        <v>327971.95480965375</v>
      </c>
      <c r="D40" s="94">
        <f ca="1">D9+D13+D19+D23+D30+D38</f>
        <v>67053.474568542239</v>
      </c>
      <c r="E40" s="95">
        <f ca="1">C40/C$40</f>
        <v>1</v>
      </c>
    </row>
    <row r="41" spans="1:7" s="88" customFormat="1" ht="19.95" customHeight="1" thickBot="1">
      <c r="A41" s="580"/>
      <c r="B41" s="581"/>
      <c r="C41" s="581"/>
      <c r="D41" s="581"/>
      <c r="E41" s="582"/>
    </row>
    <row r="42" spans="1:7" s="88" customFormat="1" ht="19.95" customHeight="1" thickBot="1">
      <c r="A42" s="583" t="s">
        <v>335</v>
      </c>
      <c r="B42" s="584"/>
      <c r="C42" s="94">
        <f>'Dados Gerais'!C166</f>
        <v>0</v>
      </c>
      <c r="D42" s="94">
        <f>C42/'Dados Gerais'!C$21</f>
        <v>0</v>
      </c>
      <c r="E42" s="95">
        <f ca="1">C42/C40</f>
        <v>0</v>
      </c>
    </row>
    <row r="43" spans="1:7" s="88" customFormat="1" ht="19.95" customHeight="1" thickBot="1">
      <c r="A43" s="580"/>
      <c r="B43" s="581"/>
      <c r="C43" s="581"/>
      <c r="D43" s="581"/>
      <c r="E43" s="582"/>
    </row>
    <row r="44" spans="1:7" s="88" customFormat="1" ht="19.95" customHeight="1" thickBot="1">
      <c r="A44" s="583" t="s">
        <v>184</v>
      </c>
      <c r="B44" s="584"/>
      <c r="C44" s="94">
        <f ca="1">C40+C42</f>
        <v>327971.95480965375</v>
      </c>
      <c r="D44" s="94">
        <f ca="1">D40+D42</f>
        <v>67053.474568542239</v>
      </c>
      <c r="E44" s="95">
        <f ca="1">E40+E42</f>
        <v>1</v>
      </c>
      <c r="F44" s="98"/>
      <c r="G44" s="98"/>
    </row>
    <row r="45" spans="1:7" s="88" customFormat="1" ht="19.95" customHeight="1" thickBot="1">
      <c r="A45" s="581"/>
      <c r="B45" s="581"/>
      <c r="C45" s="581"/>
      <c r="D45" s="581"/>
      <c r="E45" s="581"/>
    </row>
    <row r="46" spans="1:7" s="88" customFormat="1" ht="19.95" customHeight="1" thickBot="1">
      <c r="A46" s="588" t="s">
        <v>247</v>
      </c>
      <c r="B46" s="594"/>
      <c r="C46" s="594"/>
      <c r="D46" s="594"/>
      <c r="E46" s="589"/>
    </row>
    <row r="47" spans="1:7" s="88" customFormat="1" ht="19.95" customHeight="1" thickBot="1">
      <c r="A47" s="588"/>
      <c r="B47" s="594">
        <v>2500</v>
      </c>
      <c r="C47" s="594"/>
      <c r="D47" s="594"/>
      <c r="E47" s="589"/>
    </row>
    <row r="48" spans="1:7" s="88" customFormat="1" ht="19.95" customHeight="1" thickBot="1">
      <c r="A48" s="585" t="s">
        <v>185</v>
      </c>
      <c r="B48" s="587"/>
      <c r="C48" s="102" t="s">
        <v>18</v>
      </c>
      <c r="D48" s="92" t="s">
        <v>67</v>
      </c>
      <c r="E48" s="103"/>
    </row>
    <row r="49" spans="1:5" s="88" customFormat="1" ht="19.95" customHeight="1" thickBot="1">
      <c r="A49" s="585"/>
      <c r="B49" s="586"/>
      <c r="C49" s="586"/>
      <c r="D49" s="586"/>
      <c r="E49" s="587"/>
    </row>
    <row r="50" spans="1:5" s="88" customFormat="1" ht="19.95" customHeight="1">
      <c r="A50" s="590" t="s">
        <v>186</v>
      </c>
      <c r="B50" s="591"/>
      <c r="C50" s="104">
        <f>'Saida 1 - Importador'!C67</f>
        <v>145060.86182399999</v>
      </c>
      <c r="D50" s="92">
        <f>C50/'Dados Gerais'!C$21</f>
        <v>29657.519999999997</v>
      </c>
      <c r="E50" s="105">
        <f>D50/D50</f>
        <v>1</v>
      </c>
    </row>
    <row r="51" spans="1:5" s="88" customFormat="1" ht="19.95" customHeight="1">
      <c r="A51" s="592" t="s">
        <v>258</v>
      </c>
      <c r="B51" s="593"/>
      <c r="C51" s="96">
        <f ca="1">'Saida 1 - Importador'!C68+'Saida 1 - Importador'!C69+'Saida 1 - Importador'!C70</f>
        <v>107156.50285183467</v>
      </c>
      <c r="D51" s="92">
        <f ca="1">C51/'Dados Gerais'!C$21</f>
        <v>21908.019065226254</v>
      </c>
      <c r="E51" s="106">
        <f ca="1">D51/D50</f>
        <v>0.73870030485442661</v>
      </c>
    </row>
    <row r="52" spans="1:5" s="88" customFormat="1" ht="19.95" customHeight="1">
      <c r="A52" s="592" t="s">
        <v>259</v>
      </c>
      <c r="B52" s="593"/>
      <c r="C52" s="96" t="e">
        <f>'Dados Gerais'!#REF!</f>
        <v>#REF!</v>
      </c>
      <c r="D52" s="92" t="e">
        <f>C52/'Dados Gerais'!C$21</f>
        <v>#REF!</v>
      </c>
      <c r="E52" s="106" t="e">
        <f>D52/D50</f>
        <v>#REF!</v>
      </c>
    </row>
    <row r="53" spans="1:5" s="88" customFormat="1" ht="19.95" customHeight="1" thickBot="1">
      <c r="A53" s="592" t="s">
        <v>335</v>
      </c>
      <c r="B53" s="593"/>
      <c r="C53" s="96">
        <f>C42</f>
        <v>0</v>
      </c>
      <c r="D53" s="92">
        <f>C53/'Dados Gerais'!C$21</f>
        <v>0</v>
      </c>
      <c r="E53" s="106"/>
    </row>
    <row r="54" spans="1:5" s="88" customFormat="1" ht="19.95" customHeight="1" thickBot="1">
      <c r="A54" s="585"/>
      <c r="B54" s="586"/>
      <c r="C54" s="586"/>
      <c r="D54" s="586"/>
      <c r="E54" s="587"/>
    </row>
    <row r="55" spans="1:5" s="88" customFormat="1" ht="19.95" customHeight="1" thickBot="1">
      <c r="A55" s="588" t="s">
        <v>257</v>
      </c>
      <c r="B55" s="589"/>
      <c r="C55" s="90" t="e">
        <f ca="1">SUM(C50:C53)</f>
        <v>#REF!</v>
      </c>
      <c r="D55" s="90" t="e">
        <f ca="1">SUM(D50:D52)</f>
        <v>#REF!</v>
      </c>
      <c r="E55" s="107"/>
    </row>
  </sheetData>
  <sheetProtection formatColumns="0" selectLockedCells="1"/>
  <mergeCells count="38">
    <mergeCell ref="A40:B40"/>
    <mergeCell ref="A38:B38"/>
    <mergeCell ref="A19:B19"/>
    <mergeCell ref="A2:E2"/>
    <mergeCell ref="A14:E14"/>
    <mergeCell ref="A18:E18"/>
    <mergeCell ref="A9:B9"/>
    <mergeCell ref="A10:E10"/>
    <mergeCell ref="A12:E12"/>
    <mergeCell ref="A13:B13"/>
    <mergeCell ref="A1:E1"/>
    <mergeCell ref="A6:E6"/>
    <mergeCell ref="A8:E8"/>
    <mergeCell ref="A39:E39"/>
    <mergeCell ref="A29:E29"/>
    <mergeCell ref="A30:B30"/>
    <mergeCell ref="A31:E31"/>
    <mergeCell ref="A20:E20"/>
    <mergeCell ref="A22:E22"/>
    <mergeCell ref="A23:B23"/>
    <mergeCell ref="A24:E24"/>
    <mergeCell ref="A3:B4"/>
    <mergeCell ref="C3:E4"/>
    <mergeCell ref="A41:E41"/>
    <mergeCell ref="A42:B42"/>
    <mergeCell ref="A54:E54"/>
    <mergeCell ref="A55:B55"/>
    <mergeCell ref="A43:E43"/>
    <mergeCell ref="A44:B44"/>
    <mergeCell ref="A45:E45"/>
    <mergeCell ref="A48:B48"/>
    <mergeCell ref="A49:E49"/>
    <mergeCell ref="A50:B50"/>
    <mergeCell ref="A51:B51"/>
    <mergeCell ref="A52:B52"/>
    <mergeCell ref="A46:E46"/>
    <mergeCell ref="A47:E47"/>
    <mergeCell ref="A53:B53"/>
  </mergeCells>
  <phoneticPr fontId="16" type="noConversion"/>
  <printOptions horizontalCentered="1" verticalCentered="1"/>
  <pageMargins left="0.511811024" right="0.511811024" top="0.78740157499999996" bottom="0.78740157499999996" header="0.31496062000000002" footer="0.31496062000000002"/>
  <pageSetup paperSize="9" scale="68"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9C06E-62C6-0646-A79D-BC7E7B2F3B70}">
  <sheetPr>
    <pageSetUpPr fitToPage="1"/>
  </sheetPr>
  <dimension ref="A1:H82"/>
  <sheetViews>
    <sheetView topLeftCell="A57" zoomScale="75" zoomScaleNormal="100" zoomScalePageLayoutView="50" workbookViewId="0">
      <selection activeCell="C40" sqref="C40"/>
    </sheetView>
  </sheetViews>
  <sheetFormatPr defaultColWidth="8.77734375" defaultRowHeight="30" customHeight="1"/>
  <cols>
    <col min="1" max="1" width="118" style="76" customWidth="1"/>
    <col min="2" max="2" width="23.44140625" style="76" customWidth="1"/>
    <col min="3" max="3" width="31" style="76" customWidth="1"/>
    <col min="4" max="4" width="27.44140625" style="147" bestFit="1" customWidth="1"/>
    <col min="5" max="5" width="19.33203125" style="76" customWidth="1"/>
    <col min="6" max="7" width="8.77734375" style="76"/>
    <col min="8" max="8" width="11.44140625" style="76" bestFit="1" customWidth="1"/>
    <col min="9" max="16384" width="8.77734375" style="76"/>
  </cols>
  <sheetData>
    <row r="1" spans="1:5" ht="30" customHeight="1" thickBot="1">
      <c r="A1" s="550" t="str">
        <f>'Dados Gerais'!A115</f>
        <v>VENDA DE MERC. IMPORTADA, PARA OUTRO ESTADO</v>
      </c>
      <c r="B1" s="551"/>
      <c r="C1" s="551"/>
      <c r="D1" s="551"/>
      <c r="E1" s="552"/>
    </row>
    <row r="2" spans="1:5" ht="30" customHeight="1" thickBot="1">
      <c r="A2" s="553" t="s">
        <v>190</v>
      </c>
      <c r="B2" s="551"/>
      <c r="C2" s="551"/>
      <c r="D2" s="551"/>
      <c r="E2" s="552"/>
    </row>
    <row r="3" spans="1:5" ht="40.049999999999997" customHeight="1">
      <c r="A3" s="564" t="str">
        <f>'Dados Gerais'!C11</f>
        <v>LUCRO REAL</v>
      </c>
      <c r="B3" s="565"/>
      <c r="C3" s="570"/>
      <c r="D3" s="570"/>
      <c r="E3" s="547"/>
    </row>
    <row r="4" spans="1:5" ht="40.049999999999997" customHeight="1">
      <c r="A4" s="566"/>
      <c r="B4" s="567"/>
      <c r="C4" s="571"/>
      <c r="D4" s="571"/>
      <c r="E4" s="572"/>
    </row>
    <row r="5" spans="1:5" ht="30" customHeight="1" thickBot="1">
      <c r="A5" s="568"/>
      <c r="B5" s="569"/>
      <c r="C5" s="573"/>
      <c r="D5" s="573"/>
      <c r="E5" s="574"/>
    </row>
    <row r="6" spans="1:5" ht="30" customHeight="1" thickBot="1">
      <c r="A6" s="57" t="s">
        <v>53</v>
      </c>
      <c r="B6" s="57"/>
      <c r="C6" s="57" t="s">
        <v>18</v>
      </c>
      <c r="D6" s="58" t="str">
        <f>'Dados Gerais'!C9</f>
        <v>USD</v>
      </c>
      <c r="E6" s="110" t="s">
        <v>54</v>
      </c>
    </row>
    <row r="7" spans="1:5" ht="30" customHeight="1">
      <c r="A7" s="59"/>
      <c r="B7" s="59"/>
      <c r="C7" s="59"/>
      <c r="D7" s="60"/>
      <c r="E7" s="114"/>
    </row>
    <row r="8" spans="1:5" ht="30" customHeight="1">
      <c r="A8" s="115" t="str">
        <f>Importação!A8</f>
        <v>FOB - Equivalente</v>
      </c>
      <c r="B8" s="61"/>
      <c r="C8" s="71">
        <f>'Dados Gerais'!C117</f>
        <v>145060.86182399999</v>
      </c>
      <c r="D8" s="71">
        <f>IF('Dados Gerais'!C$21&lt;&gt;0,C8/'Dados Gerais'!C$21,0)</f>
        <v>29657.519999999997</v>
      </c>
      <c r="E8" s="116"/>
    </row>
    <row r="9" spans="1:5" ht="30" customHeight="1">
      <c r="A9" s="115" t="str">
        <f>Importação!A9</f>
        <v>Frete Internacional</v>
      </c>
      <c r="B9" s="61"/>
      <c r="C9" s="71">
        <f>'Dados Gerais'!C118</f>
        <v>16949.669999999998</v>
      </c>
      <c r="D9" s="71">
        <f>IF('Dados Gerais'!C$21&lt;&gt;0,C9/'Dados Gerais'!C$21,0)</f>
        <v>3465.339793915603</v>
      </c>
      <c r="E9" s="116"/>
    </row>
    <row r="10" spans="1:5" ht="30" customHeight="1">
      <c r="A10" s="115" t="str">
        <f>'Dados Gerais'!A44</f>
        <v>Valor do Seguro</v>
      </c>
      <c r="B10" s="61"/>
      <c r="C10" s="71">
        <f>'Dados Gerais'!C120</f>
        <v>0</v>
      </c>
      <c r="D10" s="71">
        <f>IF('Dados Gerais'!C$21&lt;&gt;0,C10/'Dados Gerais'!C$21,0)</f>
        <v>0</v>
      </c>
      <c r="E10" s="116"/>
    </row>
    <row r="11" spans="1:5" ht="30" customHeight="1">
      <c r="A11" s="186" t="str">
        <f>'Dados Gerais'!A94</f>
        <v>Variação Cambial Passiva Total</v>
      </c>
      <c r="B11" s="61"/>
      <c r="C11" s="71">
        <f>'Dados Gerais'!C94</f>
        <v>0</v>
      </c>
      <c r="D11" s="71">
        <f>IF('Dados Gerais'!C$21&lt;&gt;0,C11/'Dados Gerais'!C$21,0)</f>
        <v>0</v>
      </c>
      <c r="E11" s="116"/>
    </row>
    <row r="12" spans="1:5" s="118" customFormat="1" ht="30" customHeight="1" thickBot="1">
      <c r="A12" s="562"/>
      <c r="B12" s="563"/>
      <c r="C12" s="563"/>
      <c r="D12" s="563"/>
      <c r="E12" s="117"/>
    </row>
    <row r="13" spans="1:5" ht="30" customHeight="1" thickBot="1">
      <c r="A13" s="548" t="s">
        <v>265</v>
      </c>
      <c r="B13" s="549"/>
      <c r="C13" s="119">
        <f>SUM(C8:C11)</f>
        <v>162010.53182400001</v>
      </c>
      <c r="D13" s="119">
        <f>SUM(D8:D11)</f>
        <v>33122.859793915602</v>
      </c>
      <c r="E13" s="120">
        <f ca="1">C13/C65</f>
        <v>0.4939767850517176</v>
      </c>
    </row>
    <row r="14" spans="1:5" ht="30" customHeight="1">
      <c r="A14" s="121"/>
      <c r="B14" s="122"/>
      <c r="C14" s="123"/>
      <c r="D14" s="123"/>
      <c r="E14" s="124"/>
    </row>
    <row r="15" spans="1:5" ht="30" customHeight="1">
      <c r="A15" s="115" t="str">
        <f>'Dados Gerais'!A49</f>
        <v>Taxa do Siscomex</v>
      </c>
      <c r="B15" s="62"/>
      <c r="C15" s="125">
        <f>Importação!C14</f>
        <v>331.65</v>
      </c>
      <c r="D15" s="71">
        <f>IF('Dados Gerais'!C$21&lt;&gt;0,C15/'Dados Gerais'!C$21,0)</f>
        <v>67.805446516192333</v>
      </c>
      <c r="E15" s="126"/>
    </row>
    <row r="16" spans="1:5" ht="30" customHeight="1">
      <c r="A16" s="115" t="str">
        <f>'Dados Gerais'!A50</f>
        <v>II</v>
      </c>
      <c r="B16" s="62"/>
      <c r="C16" s="125">
        <f>Importação!C15</f>
        <v>21886.71</v>
      </c>
      <c r="D16" s="71">
        <f>IF('Dados Gerais'!C$21&lt;&gt;0,C16/'Dados Gerais'!C$21,0)</f>
        <v>4474.7117271835123</v>
      </c>
      <c r="E16" s="126"/>
    </row>
    <row r="17" spans="1:5" ht="30" customHeight="1">
      <c r="A17" s="115" t="str">
        <f>'Dados Gerais'!A51</f>
        <v>IPI</v>
      </c>
      <c r="B17" s="62"/>
      <c r="C17" s="125">
        <f>Importação!C16</f>
        <v>11239.62</v>
      </c>
      <c r="D17" s="71">
        <f>IF('Dados Gerais'!C$21&lt;&gt;0,C17/'Dados Gerais'!C$21,0)</f>
        <v>2297.9268891069678</v>
      </c>
      <c r="E17" s="126"/>
    </row>
    <row r="18" spans="1:5" ht="30" customHeight="1">
      <c r="A18" s="115" t="str">
        <f>'Dados Gerais'!A52</f>
        <v>PIS - Importação</v>
      </c>
      <c r="B18" s="62"/>
      <c r="C18" s="125">
        <f>Importação!C17</f>
        <v>3335.7295319040009</v>
      </c>
      <c r="D18" s="71">
        <f>IF('Dados Gerais'!C$21&lt;&gt;0,C18/'Dados Gerais'!C$21,0)</f>
        <v>681.98592000000008</v>
      </c>
      <c r="E18" s="126"/>
    </row>
    <row r="19" spans="1:5" ht="30" customHeight="1">
      <c r="A19" s="115" t="str">
        <f>'Dados Gerais'!A53</f>
        <v>COFINS - Importação</v>
      </c>
      <c r="B19" s="62"/>
      <c r="C19" s="125">
        <f>Importação!C18</f>
        <v>15328.471420415997</v>
      </c>
      <c r="D19" s="71">
        <f>IF('Dados Gerais'!C$21&lt;&gt;0,C19/'Dados Gerais'!C$21,0)</f>
        <v>3133.8876799999994</v>
      </c>
      <c r="E19" s="126"/>
    </row>
    <row r="20" spans="1:5" ht="30" customHeight="1">
      <c r="A20" s="115" t="str">
        <f>'Dados Gerais'!A54</f>
        <v>Adicional da COFINS  - IMPORTAÇÃO (Somatório das Adições)</v>
      </c>
      <c r="B20" s="62"/>
      <c r="C20" s="125">
        <f>Importação!C19</f>
        <v>0</v>
      </c>
      <c r="D20" s="71">
        <f>IF('Dados Gerais'!C$21&lt;&gt;0,C20/'Dados Gerais'!C$21,0)</f>
        <v>0</v>
      </c>
      <c r="E20" s="126"/>
    </row>
    <row r="21" spans="1:5" ht="30" customHeight="1">
      <c r="A21" s="115" t="str">
        <f>'Dados Gerais'!A55</f>
        <v>AFRMM (Incluída na Base de Cálculo do ICMS Importação)</v>
      </c>
      <c r="B21" s="62"/>
      <c r="C21" s="125">
        <f>Importação!C20</f>
        <v>1102.6721280000002</v>
      </c>
      <c r="D21" s="71">
        <f>IF('Dados Gerais'!C$21&lt;&gt;0,C21/'Dados Gerais'!C$21,0)</f>
        <v>225.44000000000003</v>
      </c>
      <c r="E21" s="126"/>
    </row>
    <row r="22" spans="1:5" ht="30" customHeight="1">
      <c r="A22" s="115" t="str">
        <f>'Dados Gerais'!A56</f>
        <v>Capatazia</v>
      </c>
      <c r="B22" s="62"/>
      <c r="C22" s="125">
        <f>Importação!C21</f>
        <v>3166.2683999999972</v>
      </c>
      <c r="D22" s="71">
        <f>IF('Dados Gerais'!C$21&lt;&gt;0,C22/'Dados Gerais'!C$21,0)</f>
        <v>647.33979391560285</v>
      </c>
      <c r="E22" s="126"/>
    </row>
    <row r="23" spans="1:5" ht="30" customHeight="1">
      <c r="A23" s="115" t="str">
        <f>'Dados Gerais'!A57</f>
        <v>Antidumping</v>
      </c>
      <c r="B23" s="73"/>
      <c r="C23" s="125">
        <f>Importação!C22</f>
        <v>0</v>
      </c>
      <c r="D23" s="71">
        <f>IF('Dados Gerais'!C$21&lt;&gt;0,C23/'Dados Gerais'!C$21,0)</f>
        <v>0</v>
      </c>
      <c r="E23" s="126"/>
    </row>
    <row r="24" spans="1:5" ht="30" customHeight="1">
      <c r="A24" s="115" t="str">
        <f>'Dados Gerais'!A58</f>
        <v>Multas na Importação</v>
      </c>
      <c r="B24" s="73"/>
      <c r="C24" s="125">
        <f>Importação!C23</f>
        <v>0</v>
      </c>
      <c r="D24" s="71">
        <f>IF('Dados Gerais'!C$21&lt;&gt;0,C24/'Dados Gerais'!C$21,0)</f>
        <v>0</v>
      </c>
      <c r="E24" s="126"/>
    </row>
    <row r="25" spans="1:5" ht="30" customHeight="1">
      <c r="A25" s="115" t="str">
        <f>'Dados Gerais'!A59</f>
        <v>ICMS na Importação</v>
      </c>
      <c r="B25" s="73" t="str">
        <f>Importação!B24</f>
        <v>DIFERIDO</v>
      </c>
      <c r="C25" s="125">
        <f>Importação!C24</f>
        <v>0</v>
      </c>
      <c r="D25" s="71">
        <f>IF('Dados Gerais'!C$21&lt;&gt;0,C25/'Dados Gerais'!C$21,0)</f>
        <v>0</v>
      </c>
      <c r="E25" s="126"/>
    </row>
    <row r="26" spans="1:5" s="118" customFormat="1" ht="30" customHeight="1" thickBot="1">
      <c r="A26" s="115"/>
      <c r="B26" s="63"/>
      <c r="C26" s="125"/>
      <c r="D26" s="71"/>
      <c r="E26" s="126"/>
    </row>
    <row r="27" spans="1:5" ht="30" customHeight="1" thickBot="1">
      <c r="A27" s="554" t="s">
        <v>55</v>
      </c>
      <c r="B27" s="555"/>
      <c r="C27" s="58">
        <f>SUM(C15:C25)</f>
        <v>56391.121480319998</v>
      </c>
      <c r="D27" s="58">
        <f>SUM(D15:D25)</f>
        <v>11529.097456722275</v>
      </c>
      <c r="E27" s="126"/>
    </row>
    <row r="28" spans="1:5" ht="30" customHeight="1">
      <c r="A28" s="127"/>
      <c r="B28" s="64"/>
      <c r="C28" s="125"/>
      <c r="D28" s="71"/>
      <c r="E28" s="126"/>
    </row>
    <row r="29" spans="1:5" ht="30" customHeight="1">
      <c r="A29" s="115" t="str">
        <f>Importação!A28</f>
        <v>LIBERAÇÃO BL / SISCARGA FEE / DESCONSOLIDAÇÃO / IMPORT LOGISTIC FEE / DROP OFF FEE</v>
      </c>
      <c r="B29" s="65"/>
      <c r="C29" s="125">
        <f>Importação!C28</f>
        <v>7222.25</v>
      </c>
      <c r="D29" s="71">
        <f>IF('Dados Gerais'!C$21&lt;&gt;0,C29/'Dados Gerais'!C$21,0)</f>
        <v>1476.5803892705264</v>
      </c>
      <c r="E29" s="126"/>
    </row>
    <row r="30" spans="1:5" ht="30" customHeight="1">
      <c r="A30" s="115" t="str">
        <f>Importação!A29</f>
        <v>IOF FEE</v>
      </c>
      <c r="B30" s="66"/>
      <c r="C30" s="125">
        <f>Importação!C29</f>
        <v>0</v>
      </c>
      <c r="D30" s="71">
        <f>IF('Dados Gerais'!C$21&lt;&gt;0,C30/'Dados Gerais'!C$21,0)</f>
        <v>0</v>
      </c>
      <c r="E30" s="126"/>
    </row>
    <row r="31" spans="1:5" ht="30" customHeight="1">
      <c r="A31" s="115" t="str">
        <f>Importação!A30</f>
        <v>HONORÁRIOS DESPACHANTE</v>
      </c>
      <c r="B31" s="66"/>
      <c r="C31" s="125">
        <f>Importação!C30</f>
        <v>0</v>
      </c>
      <c r="D31" s="71">
        <f>IF('Dados Gerais'!C$21&lt;&gt;0,C31/'Dados Gerais'!C$21,0)</f>
        <v>0</v>
      </c>
      <c r="E31" s="126"/>
    </row>
    <row r="32" spans="1:5" ht="30" customHeight="1">
      <c r="A32" s="115" t="str">
        <f>Importação!A31</f>
        <v>ARMAZENAGEM</v>
      </c>
      <c r="B32" s="1"/>
      <c r="C32" s="125">
        <f>Importação!C31</f>
        <v>0</v>
      </c>
      <c r="D32" s="71">
        <f>IF('Dados Gerais'!C$21&lt;&gt;0,C32/'Dados Gerais'!C$21,0)</f>
        <v>0</v>
      </c>
      <c r="E32" s="126"/>
    </row>
    <row r="33" spans="1:8" ht="30" customHeight="1">
      <c r="A33" s="115" t="str">
        <f>Importação!A32</f>
        <v>DIFERENÇA CAMBIAL ESTIMADA</v>
      </c>
      <c r="B33" s="1"/>
      <c r="C33" s="125">
        <f>Importação!C32</f>
        <v>0</v>
      </c>
      <c r="D33" s="71">
        <f>IF('Dados Gerais'!C$21&lt;&gt;0,C33/'Dados Gerais'!C$21,0)</f>
        <v>0</v>
      </c>
      <c r="E33" s="126"/>
    </row>
    <row r="34" spans="1:8" ht="30" customHeight="1">
      <c r="A34" s="115" t="str">
        <f>Importação!A33</f>
        <v>FRETE DOMÉSTICO</v>
      </c>
      <c r="B34" s="3"/>
      <c r="C34" s="125">
        <f>Importação!C33</f>
        <v>0</v>
      </c>
      <c r="D34" s="71">
        <f>IF('Dados Gerais'!C$21&lt;&gt;0,C34/'Dados Gerais'!C$21,0)</f>
        <v>0</v>
      </c>
      <c r="E34" s="126"/>
    </row>
    <row r="35" spans="1:8" ht="30" customHeight="1">
      <c r="A35" s="115" t="str">
        <f>Importação!A34</f>
        <v>TARIFA BANCÁRIA</v>
      </c>
      <c r="B35" s="3"/>
      <c r="C35" s="125">
        <f>Importação!C34</f>
        <v>0</v>
      </c>
      <c r="D35" s="71">
        <f>IF('Dados Gerais'!C$21&lt;&gt;0,C35/'Dados Gerais'!C$21,0)</f>
        <v>0</v>
      </c>
      <c r="E35" s="126"/>
    </row>
    <row r="36" spans="1:8" ht="30" customHeight="1">
      <c r="A36" s="115" t="str">
        <f>Importação!A35</f>
        <v>COMIISÃO BBR</v>
      </c>
      <c r="B36" s="3"/>
      <c r="C36" s="125">
        <f>Importação!C35</f>
        <v>2152.3538490431997</v>
      </c>
      <c r="D36" s="71">
        <f>IF('Dados Gerais'!C$21&lt;&gt;0,C36/'Dados Gerais'!C$21,0)</f>
        <v>440.04617456722269</v>
      </c>
      <c r="E36" s="126"/>
    </row>
    <row r="37" spans="1:8" s="118" customFormat="1" ht="30" customHeight="1" thickBot="1">
      <c r="A37" s="115"/>
      <c r="B37" s="63"/>
      <c r="C37" s="125"/>
      <c r="D37" s="71"/>
      <c r="E37" s="126"/>
    </row>
    <row r="38" spans="1:8" s="118" customFormat="1" ht="30" customHeight="1" thickBot="1">
      <c r="A38" s="554" t="s">
        <v>56</v>
      </c>
      <c r="B38" s="555"/>
      <c r="C38" s="58">
        <f>SUM(C29:C36)</f>
        <v>9374.6038490432002</v>
      </c>
      <c r="D38" s="58">
        <f>SUM(D29:D36)</f>
        <v>1916.626563837749</v>
      </c>
      <c r="E38" s="126"/>
    </row>
    <row r="39" spans="1:8" ht="30" customHeight="1" thickBot="1">
      <c r="A39" s="554"/>
      <c r="B39" s="556"/>
      <c r="C39" s="556"/>
      <c r="D39" s="556"/>
      <c r="E39" s="128"/>
    </row>
    <row r="40" spans="1:8" ht="30" customHeight="1" thickBot="1">
      <c r="A40" s="548" t="s">
        <v>57</v>
      </c>
      <c r="B40" s="549"/>
      <c r="C40" s="119">
        <f>C27+C38</f>
        <v>65765.725329363195</v>
      </c>
      <c r="D40" s="119">
        <f>D27+D38</f>
        <v>13445.724020560025</v>
      </c>
      <c r="E40" s="120">
        <f ca="1">C40/C65</f>
        <v>0.20052240554388825</v>
      </c>
      <c r="H40" s="87"/>
    </row>
    <row r="41" spans="1:8" ht="30" customHeight="1">
      <c r="A41" s="121"/>
      <c r="B41" s="122"/>
      <c r="C41" s="123"/>
      <c r="D41" s="123"/>
      <c r="E41" s="129"/>
    </row>
    <row r="42" spans="1:8" ht="30" customHeight="1">
      <c r="A42" s="115" t="s">
        <v>355</v>
      </c>
      <c r="B42" s="63"/>
      <c r="C42" s="125">
        <f ca="1">'Dados Gerais'!C136+'Saída 2 - Encomendante'!C25</f>
        <v>7962.6967557538283</v>
      </c>
      <c r="D42" s="71">
        <f ca="1">IF('Dados Gerais'!C$21&lt;&gt;0,C42/'Dados Gerais'!C$21,0)</f>
        <v>1627.9638444050188</v>
      </c>
      <c r="E42" s="122"/>
    </row>
    <row r="43" spans="1:8" ht="30" customHeight="1">
      <c r="A43" s="115" t="s">
        <v>356</v>
      </c>
      <c r="B43" s="63"/>
      <c r="C43" s="125">
        <f ca="1">'Dados Gerais'!C100+'Saída 2 - Encomendante'!C26</f>
        <v>638.13570984969078</v>
      </c>
      <c r="D43" s="71">
        <f ca="1">IF('Dados Gerais'!C$21&lt;&gt;0,C43/'Dados Gerais'!C$21,0)</f>
        <v>130.46608395683896</v>
      </c>
      <c r="E43" s="126"/>
    </row>
    <row r="44" spans="1:8" ht="30" customHeight="1">
      <c r="A44" s="115" t="s">
        <v>357</v>
      </c>
      <c r="B44" s="63"/>
      <c r="C44" s="125">
        <f ca="1">'Dados Gerais'!C101+'Saída 2 - Encomendante'!C27</f>
        <v>2975.392723419186</v>
      </c>
      <c r="D44" s="71">
        <f ca="1">IF('Dados Gerais'!C$21&lt;&gt;0,C44/'Dados Gerais'!C$21,0)</f>
        <v>608.3154897405924</v>
      </c>
      <c r="E44" s="126"/>
    </row>
    <row r="45" spans="1:8" ht="30" customHeight="1">
      <c r="A45" s="115" t="s">
        <v>358</v>
      </c>
      <c r="B45" s="63"/>
      <c r="C45" s="125">
        <f>'Dados Gerais'!C102+'Saída 2 - Encomendante'!C28</f>
        <v>0</v>
      </c>
      <c r="D45" s="71">
        <f>IF('Dados Gerais'!C$21&lt;&gt;0,C45/'Dados Gerais'!C$21,0)</f>
        <v>0</v>
      </c>
      <c r="E45" s="126"/>
    </row>
    <row r="46" spans="1:8" ht="30" customHeight="1" thickBot="1">
      <c r="A46" s="115"/>
      <c r="B46" s="62"/>
      <c r="C46" s="125"/>
      <c r="D46" s="71"/>
      <c r="E46" s="126"/>
    </row>
    <row r="47" spans="1:8" s="118" customFormat="1" ht="30" customHeight="1" thickBot="1">
      <c r="A47" s="554" t="s">
        <v>59</v>
      </c>
      <c r="B47" s="555"/>
      <c r="C47" s="58">
        <f ca="1">SUM(C42:C45)</f>
        <v>11576.225189022705</v>
      </c>
      <c r="D47" s="58">
        <f ca="1">SUM(D42:D45)</f>
        <v>2366.74541810245</v>
      </c>
      <c r="E47" s="130"/>
    </row>
    <row r="48" spans="1:8" ht="30" customHeight="1">
      <c r="A48" s="115"/>
      <c r="B48" s="62"/>
      <c r="C48" s="125"/>
      <c r="D48" s="71"/>
      <c r="E48" s="126"/>
    </row>
    <row r="49" spans="1:5" ht="30" customHeight="1">
      <c r="A49" s="115" t="s">
        <v>359</v>
      </c>
      <c r="B49" s="62"/>
      <c r="C49" s="125">
        <f ca="1">'Saida 1 - Importador'!C52+'Saída 2 - Encomendante'!C21</f>
        <v>67929.320371857975</v>
      </c>
      <c r="D49" s="71">
        <f ca="1">IF('Dados Gerais'!C$21&lt;&gt;0,C49/'Dados Gerais'!C$21,0)</f>
        <v>13888.06844370665</v>
      </c>
      <c r="E49" s="126"/>
    </row>
    <row r="50" spans="1:5" ht="30" customHeight="1" thickBot="1">
      <c r="A50" s="115"/>
      <c r="B50" s="63"/>
      <c r="C50" s="125"/>
      <c r="D50" s="71"/>
      <c r="E50" s="130"/>
    </row>
    <row r="51" spans="1:5" s="118" customFormat="1" ht="30" customHeight="1" thickBot="1">
      <c r="A51" s="554" t="s">
        <v>60</v>
      </c>
      <c r="B51" s="555"/>
      <c r="C51" s="58">
        <f ca="1">SUM(C49:C49)</f>
        <v>67929.320371857975</v>
      </c>
      <c r="D51" s="58">
        <f ca="1">SUM(D49:D49)</f>
        <v>13888.06844370665</v>
      </c>
      <c r="E51" s="130"/>
    </row>
    <row r="52" spans="1:5" ht="30" customHeight="1">
      <c r="A52" s="131"/>
      <c r="B52" s="132"/>
      <c r="C52" s="133"/>
      <c r="D52" s="123"/>
      <c r="E52" s="130"/>
    </row>
    <row r="53" spans="1:5" s="74" customFormat="1" ht="30" customHeight="1">
      <c r="A53" s="67" t="s">
        <v>61</v>
      </c>
      <c r="B53" s="62">
        <f ca="1">C53/'Dados Gerais'!C$160</f>
        <v>6.0307538666150625E-3</v>
      </c>
      <c r="C53" s="134">
        <f ca="1">'Dados Gerais'!C141+'Saída 2 - Encomendante'!C33</f>
        <v>1862.11368858689</v>
      </c>
      <c r="D53" s="135">
        <f ca="1">IF('Dados Gerais'!C$21&lt;&gt;0,C53/'Dados Gerais'!C$21,0)</f>
        <v>380.70692030317508</v>
      </c>
      <c r="E53" s="130"/>
    </row>
    <row r="54" spans="1:5" s="74" customFormat="1" ht="30" customHeight="1">
      <c r="A54" s="67" t="s">
        <v>62</v>
      </c>
      <c r="B54" s="62">
        <f ca="1">C54/'Dados Gerais'!C$160</f>
        <v>1.6752094073930728E-2</v>
      </c>
      <c r="C54" s="134">
        <f ca="1">'Dados Gerais'!C142+'Saída 2 - Encomendante'!C34</f>
        <v>5172.5380238524722</v>
      </c>
      <c r="D54" s="135">
        <f ca="1">IF('Dados Gerais'!C$21&lt;&gt;0,C54/'Dados Gerais'!C$21,0)</f>
        <v>1057.5192230643752</v>
      </c>
      <c r="E54" s="130"/>
    </row>
    <row r="55" spans="1:5" s="74" customFormat="1" ht="30" customHeight="1" thickBot="1">
      <c r="A55" s="113" t="s">
        <v>63</v>
      </c>
      <c r="B55" s="68">
        <f ca="1">C55/'Dados Gerais'!C160</f>
        <v>4.4225528355177131E-2</v>
      </c>
      <c r="C55" s="136">
        <f ca="1">'Dados Gerais'!C140+'Saída 2 - Encomendante'!C32</f>
        <v>13655.500382970527</v>
      </c>
      <c r="D55" s="137">
        <f ca="1">IF('Dados Gerais'!C$21&lt;&gt;0,C55/'Dados Gerais'!C$21,0)</f>
        <v>2791.8507488899504</v>
      </c>
      <c r="E55" s="130"/>
    </row>
    <row r="56" spans="1:5" s="74" customFormat="1" ht="30" customHeight="1" thickBot="1">
      <c r="A56" s="158"/>
      <c r="B56" s="185"/>
      <c r="C56" s="144"/>
      <c r="D56" s="71"/>
      <c r="E56" s="126"/>
    </row>
    <row r="57" spans="1:5" s="74" customFormat="1" ht="30" customHeight="1" thickBot="1">
      <c r="A57" s="139" t="s">
        <v>64</v>
      </c>
      <c r="B57" s="159"/>
      <c r="C57" s="58">
        <f ca="1">SUM(C53:C55)</f>
        <v>20690.152095409889</v>
      </c>
      <c r="D57" s="58">
        <f ca="1">SUM(D53:D55)</f>
        <v>4230.0768922575007</v>
      </c>
      <c r="E57" s="138"/>
    </row>
    <row r="58" spans="1:5" ht="30" customHeight="1" thickBot="1">
      <c r="A58" s="576"/>
      <c r="B58" s="577"/>
      <c r="C58" s="577"/>
      <c r="D58" s="577"/>
      <c r="E58" s="139"/>
    </row>
    <row r="59" spans="1:5" ht="30" customHeight="1" thickBot="1">
      <c r="A59" s="548" t="s">
        <v>65</v>
      </c>
      <c r="B59" s="549"/>
      <c r="C59" s="119">
        <f ca="1">C47+C51+C57</f>
        <v>100195.69765629058</v>
      </c>
      <c r="D59" s="119">
        <f ca="1">IF('Dados Gerais'!C$21&lt;&gt;0,C59/'Dados Gerais'!C$21,)</f>
        <v>20484.890754066604</v>
      </c>
      <c r="E59" s="120">
        <f ca="1">C59/C65</f>
        <v>0.305500809404394</v>
      </c>
    </row>
    <row r="60" spans="1:5" ht="30" customHeight="1" thickBot="1">
      <c r="A60" s="140"/>
      <c r="B60" s="575"/>
      <c r="C60" s="575"/>
      <c r="D60" s="575"/>
      <c r="E60" s="141"/>
    </row>
    <row r="61" spans="1:5" ht="30" customHeight="1" thickBot="1">
      <c r="A61" s="548" t="s">
        <v>354</v>
      </c>
      <c r="B61" s="549"/>
      <c r="C61" s="119">
        <f ca="1">C13+C40+C59</f>
        <v>327971.95480965381</v>
      </c>
      <c r="D61" s="119"/>
      <c r="E61" s="120"/>
    </row>
    <row r="62" spans="1:5" ht="30" customHeight="1" thickBot="1">
      <c r="A62" s="140"/>
      <c r="B62" s="575"/>
      <c r="C62" s="575"/>
      <c r="D62" s="575"/>
      <c r="E62" s="141"/>
    </row>
    <row r="63" spans="1:5" ht="30" customHeight="1" thickBot="1">
      <c r="A63" s="111" t="s">
        <v>335</v>
      </c>
      <c r="B63" s="112"/>
      <c r="C63" s="119">
        <f>'Saída 2 - Encomendante'!C42</f>
        <v>0</v>
      </c>
      <c r="D63" s="119">
        <f ca="1">D11+D38+D57</f>
        <v>6146.7034560952497</v>
      </c>
      <c r="E63" s="120">
        <f>E11+E38+E57</f>
        <v>0</v>
      </c>
    </row>
    <row r="64" spans="1:5" ht="30" customHeight="1" thickBot="1">
      <c r="A64" s="140"/>
      <c r="B64" s="575"/>
      <c r="C64" s="575"/>
      <c r="D64" s="575"/>
      <c r="E64" s="141"/>
    </row>
    <row r="65" spans="1:5" ht="30" customHeight="1" thickBot="1">
      <c r="A65" s="111" t="s">
        <v>66</v>
      </c>
      <c r="B65" s="112"/>
      <c r="C65" s="119">
        <f ca="1">C13+C40+C59+C63</f>
        <v>327971.95480965381</v>
      </c>
      <c r="D65" s="119">
        <f ca="1">D13+D40+D59</f>
        <v>67053.474568542239</v>
      </c>
      <c r="E65" s="120">
        <f ca="1">E13+E40+E59</f>
        <v>0.99999999999999978</v>
      </c>
    </row>
    <row r="66" spans="1:5" ht="30" customHeight="1" thickBot="1">
      <c r="A66" s="575"/>
      <c r="B66" s="575"/>
      <c r="C66" s="575"/>
      <c r="D66" s="575"/>
      <c r="E66" s="575"/>
    </row>
    <row r="67" spans="1:5" ht="30" customHeight="1" thickBot="1">
      <c r="A67" s="554" t="s">
        <v>247</v>
      </c>
      <c r="B67" s="556"/>
      <c r="C67" s="556"/>
      <c r="D67" s="556"/>
      <c r="E67" s="555"/>
    </row>
    <row r="68" spans="1:5" ht="30" customHeight="1" thickBot="1">
      <c r="A68" s="554"/>
      <c r="B68" s="556">
        <v>2500</v>
      </c>
      <c r="C68" s="556"/>
      <c r="D68" s="556"/>
      <c r="E68" s="555"/>
    </row>
    <row r="69" spans="1:5" ht="30" customHeight="1">
      <c r="A69" s="115"/>
      <c r="B69" s="69"/>
      <c r="C69" s="70" t="s">
        <v>18</v>
      </c>
      <c r="D69" s="71" t="s">
        <v>67</v>
      </c>
      <c r="E69" s="114"/>
    </row>
    <row r="70" spans="1:5" ht="30" customHeight="1">
      <c r="A70" s="115" t="s">
        <v>186</v>
      </c>
      <c r="B70" s="62"/>
      <c r="C70" s="125">
        <f>'Saida 1 - Importador'!C67</f>
        <v>145060.86182399999</v>
      </c>
      <c r="D70" s="71">
        <f>IF('Dados Gerais'!C$21&lt;&gt;0,C70/'Dados Gerais'!C$21,0)</f>
        <v>29657.519999999997</v>
      </c>
      <c r="E70" s="578">
        <f>(D70+D71)/(D70+D71)</f>
        <v>1</v>
      </c>
    </row>
    <row r="71" spans="1:5" ht="30" customHeight="1">
      <c r="A71" s="187" t="s">
        <v>250</v>
      </c>
      <c r="B71" s="72"/>
      <c r="C71" s="125">
        <f>C11</f>
        <v>0</v>
      </c>
      <c r="D71" s="71">
        <f>IF('Dados Gerais'!C$21&lt;&gt;0,C71/'Dados Gerais'!C$21,0)</f>
        <v>0</v>
      </c>
      <c r="E71" s="579"/>
    </row>
    <row r="72" spans="1:5" ht="30" customHeight="1">
      <c r="A72" s="143" t="s">
        <v>143</v>
      </c>
      <c r="B72" s="72"/>
      <c r="C72" s="125">
        <f>'Saida 1 - Importador'!C69</f>
        <v>82715.395329363193</v>
      </c>
      <c r="D72" s="71">
        <f>IF('Dados Gerais'!C$21&lt;&gt;0,C72/'Dados Gerais'!C$21,0)</f>
        <v>16911.063814475627</v>
      </c>
      <c r="E72" s="142">
        <f>D72/(D70+D71)</f>
        <v>0.57021166349970021</v>
      </c>
    </row>
    <row r="73" spans="1:5" ht="30" customHeight="1">
      <c r="A73" s="143" t="s">
        <v>144</v>
      </c>
      <c r="B73" s="72"/>
      <c r="C73" s="144" t="e">
        <f ca="1">'Saida 1 - Importador'!C70+'Saída 2 - Encomendante'!C52</f>
        <v>#REF!</v>
      </c>
      <c r="D73" s="71" t="e">
        <f ca="1">IF('Dados Gerais'!C$21&lt;&gt;0,C73/'Dados Gerais'!C$21,0)</f>
        <v>#REF!</v>
      </c>
      <c r="E73" s="142" t="e">
        <f ca="1">D73/(D70+D71)</f>
        <v>#REF!</v>
      </c>
    </row>
    <row r="74" spans="1:5" ht="30" customHeight="1">
      <c r="A74" s="143" t="s">
        <v>335</v>
      </c>
      <c r="B74" s="72"/>
      <c r="C74" s="144">
        <f>C63</f>
        <v>0</v>
      </c>
      <c r="D74" s="71">
        <f>IF('Dados Gerais'!C$21&lt;&gt;0,C74/'Dados Gerais'!C$21,0)</f>
        <v>0</v>
      </c>
      <c r="E74" s="478">
        <f>D74/(D70+D71)</f>
        <v>0</v>
      </c>
    </row>
    <row r="75" spans="1:5" ht="30" customHeight="1" thickBot="1">
      <c r="A75" s="143"/>
      <c r="B75" s="72"/>
      <c r="C75" s="72"/>
      <c r="D75" s="188"/>
      <c r="E75" s="145"/>
    </row>
    <row r="76" spans="1:5" ht="30" customHeight="1" thickBot="1">
      <c r="A76" s="109" t="s">
        <v>257</v>
      </c>
      <c r="B76" s="146"/>
      <c r="C76" s="58" t="e">
        <f ca="1">SUM(C70:C74)</f>
        <v>#REF!</v>
      </c>
      <c r="D76" s="58" t="e">
        <f ca="1">SUM(D70:D73)</f>
        <v>#REF!</v>
      </c>
      <c r="E76" s="58"/>
    </row>
    <row r="77" spans="1:5" ht="30" customHeight="1">
      <c r="B77" s="173"/>
      <c r="C77" s="173"/>
      <c r="D77" s="175"/>
      <c r="E77" s="173"/>
    </row>
    <row r="78" spans="1:5" ht="30" customHeight="1">
      <c r="B78" s="173"/>
      <c r="C78" s="173"/>
      <c r="D78" s="175"/>
      <c r="E78" s="173"/>
    </row>
    <row r="79" spans="1:5" ht="30" customHeight="1">
      <c r="B79" s="173"/>
      <c r="C79" s="173"/>
      <c r="D79" s="175"/>
      <c r="E79" s="173"/>
    </row>
    <row r="80" spans="1:5" ht="30" customHeight="1">
      <c r="B80" s="173"/>
      <c r="C80" s="173"/>
      <c r="D80" s="175"/>
      <c r="E80" s="173"/>
    </row>
    <row r="81" spans="2:5" ht="30" customHeight="1">
      <c r="B81" s="173"/>
      <c r="C81" s="173"/>
      <c r="D81" s="175"/>
      <c r="E81" s="173"/>
    </row>
    <row r="82" spans="2:5" ht="30" customHeight="1">
      <c r="B82" s="173"/>
      <c r="C82" s="173"/>
      <c r="D82" s="175"/>
      <c r="E82" s="173"/>
    </row>
  </sheetData>
  <sheetProtection formatColumns="0" selectLockedCells="1"/>
  <mergeCells count="22">
    <mergeCell ref="E70:E71"/>
    <mergeCell ref="B60:D60"/>
    <mergeCell ref="B62:D62"/>
    <mergeCell ref="A61:B61"/>
    <mergeCell ref="A58:D58"/>
    <mergeCell ref="A59:B59"/>
    <mergeCell ref="B64:D64"/>
    <mergeCell ref="A66:E66"/>
    <mergeCell ref="A67:E67"/>
    <mergeCell ref="A68:E68"/>
    <mergeCell ref="A51:B51"/>
    <mergeCell ref="A1:E1"/>
    <mergeCell ref="A2:E2"/>
    <mergeCell ref="A3:B5"/>
    <mergeCell ref="C3:E5"/>
    <mergeCell ref="A12:D12"/>
    <mergeCell ref="A13:B13"/>
    <mergeCell ref="A27:B27"/>
    <mergeCell ref="A38:B38"/>
    <mergeCell ref="A39:D39"/>
    <mergeCell ref="A40:B40"/>
    <mergeCell ref="A47:B47"/>
  </mergeCells>
  <printOptions horizontalCentered="1" verticalCentered="1"/>
  <pageMargins left="0.78740157480314998" right="0.78740157480314998" top="0.98425196850393704" bottom="0.98425196850393704" header="0.511811023622047" footer="0.511811023622047"/>
  <pageSetup paperSize="9" scale="32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F95"/>
  <sheetViews>
    <sheetView topLeftCell="A72" zoomScaleNormal="100" workbookViewId="0">
      <selection activeCell="D86" sqref="D86"/>
    </sheetView>
  </sheetViews>
  <sheetFormatPr defaultColWidth="30.77734375" defaultRowHeight="24.6"/>
  <cols>
    <col min="1" max="1" width="62.33203125" style="173" customWidth="1"/>
    <col min="2" max="2" width="35.77734375" style="173" customWidth="1"/>
    <col min="3" max="4" width="30.77734375" style="173"/>
    <col min="5" max="5" width="22.33203125" style="173" customWidth="1"/>
    <col min="6" max="16384" width="30.77734375" style="173"/>
  </cols>
  <sheetData>
    <row r="1" spans="1:4" ht="25.2" thickBot="1">
      <c r="A1" s="607" t="s">
        <v>206</v>
      </c>
      <c r="B1" s="608"/>
      <c r="C1" s="608"/>
      <c r="D1" s="609"/>
    </row>
    <row r="2" spans="1:4" ht="25.2" thickBot="1">
      <c r="A2" s="608"/>
      <c r="B2" s="608"/>
      <c r="C2" s="608"/>
      <c r="D2" s="608"/>
    </row>
    <row r="3" spans="1:4" ht="25.2" thickBot="1">
      <c r="A3" s="608" t="s">
        <v>52</v>
      </c>
      <c r="B3" s="608"/>
      <c r="C3" s="608"/>
      <c r="D3" s="608"/>
    </row>
    <row r="4" spans="1:4">
      <c r="A4" s="176"/>
      <c r="B4" s="176"/>
      <c r="C4" s="176" t="s">
        <v>205</v>
      </c>
      <c r="D4" s="176" t="s">
        <v>114</v>
      </c>
    </row>
    <row r="6" spans="1:4">
      <c r="A6" s="173" t="s">
        <v>239</v>
      </c>
      <c r="B6" s="183"/>
      <c r="C6" s="189">
        <f>'Dados Gerais'!C46</f>
        <v>158844.26342399998</v>
      </c>
    </row>
    <row r="7" spans="1:4">
      <c r="A7" s="173" t="s">
        <v>24</v>
      </c>
      <c r="B7" s="189">
        <f>C7</f>
        <v>21886.71</v>
      </c>
      <c r="C7" s="175">
        <f>'Dados Gerais'!C50</f>
        <v>21886.71</v>
      </c>
      <c r="D7" s="177">
        <f>C7/C6</f>
        <v>0.13778722333571605</v>
      </c>
    </row>
    <row r="8" spans="1:4">
      <c r="A8" s="173" t="s">
        <v>267</v>
      </c>
      <c r="C8" s="175">
        <f>C6+C7</f>
        <v>180730.97342399997</v>
      </c>
    </row>
    <row r="9" spans="1:4" ht="25.2" thickBot="1">
      <c r="C9" s="175"/>
    </row>
    <row r="10" spans="1:4" ht="25.2" thickBot="1">
      <c r="A10" s="607" t="s">
        <v>213</v>
      </c>
      <c r="B10" s="608"/>
      <c r="C10" s="608"/>
      <c r="D10" s="609"/>
    </row>
    <row r="11" spans="1:4">
      <c r="C11" s="173" t="s">
        <v>205</v>
      </c>
      <c r="D11" s="173" t="s">
        <v>114</v>
      </c>
    </row>
    <row r="13" spans="1:4">
      <c r="A13" s="173" t="s">
        <v>240</v>
      </c>
      <c r="C13" s="175">
        <f>SUM(C6:C7)</f>
        <v>180730.97342399997</v>
      </c>
    </row>
    <row r="14" spans="1:4">
      <c r="A14" s="173" t="s">
        <v>25</v>
      </c>
      <c r="B14" s="610">
        <f>SUM(C14:C20)</f>
        <v>34504.411480319992</v>
      </c>
      <c r="C14" s="175">
        <f>'Dados Gerais'!C51</f>
        <v>11239.62</v>
      </c>
      <c r="D14" s="177">
        <f>'Dados Gerais'!B51</f>
        <v>6.2189782896988746E-2</v>
      </c>
    </row>
    <row r="15" spans="1:4">
      <c r="A15" s="173" t="s">
        <v>202</v>
      </c>
      <c r="B15" s="611"/>
      <c r="C15" s="175">
        <f>'Dados Gerais'!C52</f>
        <v>3335.7295319040009</v>
      </c>
      <c r="D15" s="177">
        <f>'Dados Gerais'!B52</f>
        <v>2.1000000000000008E-2</v>
      </c>
    </row>
    <row r="16" spans="1:4">
      <c r="A16" s="173" t="s">
        <v>203</v>
      </c>
      <c r="B16" s="611"/>
      <c r="C16" s="175">
        <f>C6*9.65%</f>
        <v>15328.471420415997</v>
      </c>
      <c r="D16" s="177">
        <f>C16/C6</f>
        <v>9.6500000000000002E-2</v>
      </c>
    </row>
    <row r="17" spans="1:6">
      <c r="A17" s="173" t="s">
        <v>241</v>
      </c>
      <c r="B17" s="611"/>
      <c r="C17" s="175">
        <f>'Dados Gerais'!C54</f>
        <v>0</v>
      </c>
      <c r="D17" s="177"/>
    </row>
    <row r="18" spans="1:6">
      <c r="A18" s="173" t="s">
        <v>32</v>
      </c>
      <c r="B18" s="611"/>
      <c r="C18" s="175">
        <f>'Dados Gerais'!C59</f>
        <v>0</v>
      </c>
      <c r="D18" s="178"/>
    </row>
    <row r="19" spans="1:6">
      <c r="A19" s="173" t="s">
        <v>231</v>
      </c>
      <c r="B19" s="611"/>
      <c r="C19" s="175">
        <f>'Dados Gerais'!C55</f>
        <v>1102.6721280000002</v>
      </c>
      <c r="D19" s="178"/>
    </row>
    <row r="20" spans="1:6">
      <c r="A20" s="173" t="s">
        <v>204</v>
      </c>
      <c r="B20" s="612"/>
      <c r="C20" s="175">
        <f>'Dados Gerais'!C73</f>
        <v>3497.9183999999973</v>
      </c>
    </row>
    <row r="22" spans="1:6" ht="25.05" customHeight="1">
      <c r="A22" s="173" t="s">
        <v>102</v>
      </c>
      <c r="C22" s="175">
        <f>SUM(C13:C20)</f>
        <v>215235.38490431997</v>
      </c>
    </row>
    <row r="23" spans="1:6">
      <c r="A23" s="173" t="s">
        <v>226</v>
      </c>
      <c r="B23" s="189">
        <f>C23-'Dados Gerais'!C41</f>
        <v>9374.6038490432002</v>
      </c>
      <c r="C23" s="175">
        <f>'Dados Gerais'!C87</f>
        <v>9374.6038490432002</v>
      </c>
    </row>
    <row r="24" spans="1:6">
      <c r="A24" s="173" t="s">
        <v>245</v>
      </c>
      <c r="C24" s="174">
        <f>C22+B23</f>
        <v>224609.98875336317</v>
      </c>
      <c r="D24" s="174"/>
      <c r="E24" s="175"/>
    </row>
    <row r="25" spans="1:6" ht="25.2" thickBot="1">
      <c r="A25" s="184"/>
    </row>
    <row r="26" spans="1:6" ht="25.2" thickBot="1">
      <c r="A26" s="608" t="s">
        <v>214</v>
      </c>
      <c r="B26" s="608"/>
      <c r="C26" s="608"/>
      <c r="D26" s="608"/>
    </row>
    <row r="27" spans="1:6" ht="25.2" thickBot="1">
      <c r="A27" s="619" t="str">
        <f>'Dados Gerais'!C11</f>
        <v>LUCRO REAL</v>
      </c>
      <c r="B27" s="620"/>
      <c r="C27" s="620"/>
      <c r="D27" s="620"/>
    </row>
    <row r="28" spans="1:6">
      <c r="C28" s="173" t="s">
        <v>205</v>
      </c>
      <c r="D28" s="173" t="s">
        <v>114</v>
      </c>
    </row>
    <row r="29" spans="1:6">
      <c r="A29" s="173" t="s">
        <v>52</v>
      </c>
      <c r="C29" s="174">
        <f>C24</f>
        <v>224609.98875336317</v>
      </c>
      <c r="F29" s="174"/>
    </row>
    <row r="30" spans="1:6">
      <c r="A30" s="173" t="s">
        <v>251</v>
      </c>
      <c r="C30" s="189">
        <f>'Dados Gerais'!C94</f>
        <v>0</v>
      </c>
    </row>
    <row r="31" spans="1:6">
      <c r="A31" s="173" t="s">
        <v>303</v>
      </c>
      <c r="C31" s="174">
        <f ca="1">IF('Dados Gerais'!B11="S",C18,IF(('Dados Gerais'!C59-'Dados Gerais'!C109)&gt;0,('Dados Gerais'!C59-'Dados Gerais'!C109),0))</f>
        <v>0</v>
      </c>
    </row>
    <row r="32" spans="1:6">
      <c r="A32" s="173" t="s">
        <v>217</v>
      </c>
      <c r="B32" s="613">
        <f ca="1">SUM(C32+C33+C34+C35+D41*C45)</f>
        <v>233997.70280677846</v>
      </c>
      <c r="C32" s="174">
        <f ca="1">C29+C30+C31-C33-C34-C35-C18</f>
        <v>194706.16780104316</v>
      </c>
      <c r="D32" s="177"/>
      <c r="E32" s="174"/>
    </row>
    <row r="33" spans="1:5">
      <c r="A33" s="173" t="s">
        <v>208</v>
      </c>
      <c r="B33" s="614"/>
      <c r="C33" s="174">
        <f>IF('Dados Gerais'!B11="S",0,'Quadro Sintético'!C14)</f>
        <v>11239.62</v>
      </c>
      <c r="D33" s="177"/>
      <c r="E33" s="174"/>
    </row>
    <row r="34" spans="1:5">
      <c r="A34" s="173" t="s">
        <v>209</v>
      </c>
      <c r="B34" s="614"/>
      <c r="C34" s="174">
        <f>IF('Dados Gerais'!B11="S",0,IF(A27="LUCRO REAL",C15,0))</f>
        <v>3335.7295319040009</v>
      </c>
      <c r="D34" s="177"/>
      <c r="E34" s="174"/>
    </row>
    <row r="35" spans="1:5">
      <c r="A35" s="173" t="s">
        <v>210</v>
      </c>
      <c r="B35" s="614"/>
      <c r="C35" s="174">
        <f>IF('Dados Gerais'!B11="S",0,IF(A27="LUCRO REAL",C16,0))</f>
        <v>15328.471420415997</v>
      </c>
      <c r="D35" s="177"/>
      <c r="E35" s="174"/>
    </row>
    <row r="36" spans="1:5">
      <c r="A36" s="173" t="s">
        <v>211</v>
      </c>
      <c r="B36" s="615"/>
      <c r="C36" s="174">
        <f>IF('Dados Gerais'!B11="S",0,IF(AND('Dados Gerais'!B26&lt;&gt;"AL",'Dados Gerais'!B26&lt;&gt;"RO"),IF(C31&gt;0,D41*C45),0))</f>
        <v>0</v>
      </c>
      <c r="D36" s="177"/>
      <c r="E36" s="174"/>
    </row>
    <row r="37" spans="1:5">
      <c r="C37" s="174"/>
      <c r="D37" s="177"/>
      <c r="E37" s="174"/>
    </row>
    <row r="38" spans="1:5">
      <c r="A38" s="173" t="s">
        <v>218</v>
      </c>
      <c r="B38" s="616">
        <f ca="1">SUM(C38:C43)</f>
        <v>24678.360054041645</v>
      </c>
      <c r="C38" s="174">
        <f ca="1">IF('Dados Gerais'!B11="S",0,'Dados Gerais'!B111*C45-C33)</f>
        <v>3355.8774720226702</v>
      </c>
      <c r="D38" s="177"/>
      <c r="E38" s="174"/>
    </row>
    <row r="39" spans="1:5">
      <c r="A39" s="173" t="s">
        <v>219</v>
      </c>
      <c r="B39" s="617"/>
      <c r="C39" s="174">
        <f ca="1">D39*C45-C34</f>
        <v>536.70251512980485</v>
      </c>
      <c r="D39" s="177">
        <f>IF('Dados Gerais'!B11="S",0,IF(A27="LUCRO REAL",1.65%,0.65%))</f>
        <v>1.6500000000000001E-2</v>
      </c>
      <c r="E39" s="174"/>
    </row>
    <row r="40" spans="1:5">
      <c r="A40" s="173" t="s">
        <v>220</v>
      </c>
      <c r="B40" s="617"/>
      <c r="C40" s="174">
        <f ca="1">D40*C45-C35</f>
        <v>2508.1852810730452</v>
      </c>
      <c r="D40" s="177">
        <f>IF('Dados Gerais'!B11="S",0,IF(A27="LUCRO REAL",7.6%,3%))</f>
        <v>7.5999999999999998E-2</v>
      </c>
      <c r="E40" s="174"/>
    </row>
    <row r="41" spans="1:5">
      <c r="A41" s="173" t="s">
        <v>221</v>
      </c>
      <c r="B41" s="617"/>
      <c r="C41" s="174">
        <f ca="1">IF((D41*C45-C18)&gt;0,D41*C45-C18,0)</f>
        <v>9387.7140534152859</v>
      </c>
      <c r="D41" s="177">
        <f>IF('Dados Gerais'!B11="S",0,'Dados Gerais'!C27)</f>
        <v>0.04</v>
      </c>
      <c r="E41" s="174"/>
    </row>
    <row r="42" spans="1:5">
      <c r="A42" s="173" t="s">
        <v>302</v>
      </c>
      <c r="B42" s="617"/>
      <c r="C42" s="174">
        <f ca="1">D42*'Dados Gerais'!C110</f>
        <v>0</v>
      </c>
      <c r="D42" s="177">
        <f>IF('Dados Gerais'!B11="S",'Dados Gerais'!B12,0)</f>
        <v>0</v>
      </c>
      <c r="E42" s="174"/>
    </row>
    <row r="43" spans="1:5">
      <c r="A43" s="173" t="s">
        <v>222</v>
      </c>
      <c r="B43" s="618"/>
      <c r="C43" s="174">
        <f ca="1">D43*C45</f>
        <v>8889.8807324008394</v>
      </c>
      <c r="D43" s="177">
        <f>IF('Dados Gerais'!B11="R",'Dados Gerais'!C17/0.66,IF('Dados Gerais'!B11="S",'Dados Gerais'!C17,('Dados Gerais'!C17+3.08%)))</f>
        <v>3.787878787878788E-2</v>
      </c>
      <c r="E43" s="174"/>
    </row>
    <row r="44" spans="1:5">
      <c r="C44" s="182"/>
      <c r="D44" s="177"/>
      <c r="E44" s="174"/>
    </row>
    <row r="45" spans="1:5">
      <c r="A45" s="173" t="s">
        <v>223</v>
      </c>
      <c r="B45" s="173" t="s">
        <v>93</v>
      </c>
      <c r="C45" s="174">
        <f ca="1">C32/(1-D45)</f>
        <v>234692.85133538215</v>
      </c>
      <c r="D45" s="177">
        <f>D39+D40+D41+D42+D43</f>
        <v>0.17037878787878788</v>
      </c>
      <c r="E45" s="174"/>
    </row>
    <row r="46" spans="1:5">
      <c r="B46" s="173" t="s">
        <v>224</v>
      </c>
      <c r="C46" s="174">
        <f ca="1">C33+C38</f>
        <v>14595.497472022671</v>
      </c>
      <c r="D46" s="177"/>
      <c r="E46" s="174"/>
    </row>
    <row r="47" spans="1:5">
      <c r="B47" s="173" t="s">
        <v>102</v>
      </c>
      <c r="C47" s="174">
        <f ca="1">SUM(C45:C46)</f>
        <v>249288.34880740481</v>
      </c>
      <c r="E47" s="175"/>
    </row>
    <row r="48" spans="1:5" ht="25.2" thickBot="1"/>
    <row r="49" spans="1:6" ht="25.2" thickBot="1">
      <c r="A49" s="608" t="s">
        <v>215</v>
      </c>
      <c r="B49" s="608"/>
      <c r="C49" s="608"/>
      <c r="D49" s="608"/>
    </row>
    <row r="50" spans="1:6" ht="25.2" thickBot="1">
      <c r="A50" s="621" t="str">
        <f>'Dados Gerais'!C13</f>
        <v>LUCRO REAL</v>
      </c>
      <c r="B50" s="608"/>
      <c r="C50" s="608"/>
      <c r="D50" s="608"/>
    </row>
    <row r="51" spans="1:6">
      <c r="C51" s="173" t="s">
        <v>205</v>
      </c>
      <c r="D51" s="173" t="s">
        <v>114</v>
      </c>
    </row>
    <row r="53" spans="1:6">
      <c r="A53" s="173" t="s">
        <v>207</v>
      </c>
      <c r="C53" s="174">
        <f ca="1">C47</f>
        <v>249288.34880740481</v>
      </c>
    </row>
    <row r="54" spans="1:6">
      <c r="A54" s="173" t="s">
        <v>217</v>
      </c>
      <c r="B54" s="613">
        <f ca="1">SUM(C54+C55+C56+C57+C58)</f>
        <v>249288.34880740481</v>
      </c>
      <c r="C54" s="174">
        <f ca="1">C53-C55-C56-C57-C58</f>
        <v>203596.04853344403</v>
      </c>
      <c r="D54" s="177"/>
      <c r="E54" s="174"/>
    </row>
    <row r="55" spans="1:6">
      <c r="A55" s="173" t="s">
        <v>208</v>
      </c>
      <c r="B55" s="614"/>
      <c r="C55" s="174">
        <f ca="1">IF(OR('Dados Gerais'!B11="S",'Dados Gerais'!B13="S"),0,C33+C38)</f>
        <v>14595.497472022671</v>
      </c>
      <c r="D55" s="177"/>
      <c r="E55" s="174"/>
      <c r="F55" s="181"/>
    </row>
    <row r="56" spans="1:6">
      <c r="A56" s="173" t="s">
        <v>209</v>
      </c>
      <c r="B56" s="614"/>
      <c r="C56" s="174">
        <f ca="1">IF(OR('Dados Gerais'!B11="S",'Dados Gerais'!B13="S"),0,IF(A50="LUCRO REAL",1.65%*C45,0))</f>
        <v>3872.4320470338057</v>
      </c>
      <c r="D56" s="177"/>
      <c r="E56" s="174"/>
      <c r="F56" s="181"/>
    </row>
    <row r="57" spans="1:6">
      <c r="A57" s="173" t="s">
        <v>210</v>
      </c>
      <c r="B57" s="614"/>
      <c r="C57" s="174">
        <f ca="1">IF(OR('Dados Gerais'!B11="S",'Dados Gerais'!B13="S"),0,IF(A50="LUCRO REAL",7.6%*C45,0))</f>
        <v>17836.656701489042</v>
      </c>
      <c r="D57" s="177"/>
      <c r="E57" s="174"/>
      <c r="F57" s="181"/>
    </row>
    <row r="58" spans="1:6">
      <c r="A58" s="173" t="s">
        <v>211</v>
      </c>
      <c r="B58" s="615"/>
      <c r="C58" s="174">
        <f ca="1">IF(OR('Dados Gerais'!B11="S",'Dados Gerais'!B13="S"),0,D41*C45)</f>
        <v>9387.7140534152859</v>
      </c>
      <c r="D58" s="177"/>
      <c r="E58" s="174"/>
      <c r="F58" s="181"/>
    </row>
    <row r="59" spans="1:6">
      <c r="C59" s="174"/>
      <c r="D59" s="177"/>
      <c r="E59" s="174"/>
      <c r="F59" s="181"/>
    </row>
    <row r="60" spans="1:6">
      <c r="A60" s="173" t="s">
        <v>218</v>
      </c>
      <c r="B60" s="616">
        <f ca="1">SUM(C60:C65)</f>
        <v>83609.71325598791</v>
      </c>
      <c r="C60" s="174">
        <f ca="1">IF('Dados Gerais'!B13="S",0,'Dados Gerais'!B162*C$68-C55)</f>
        <v>4895.2362366807247</v>
      </c>
      <c r="D60" s="177"/>
      <c r="E60" s="174"/>
      <c r="F60" s="181"/>
    </row>
    <row r="61" spans="1:6">
      <c r="A61" s="173" t="s">
        <v>219</v>
      </c>
      <c r="B61" s="617"/>
      <c r="C61" s="174">
        <f ca="1">D61*C$68-C56</f>
        <v>1298.7888708185687</v>
      </c>
      <c r="D61" s="177">
        <f>IF('Dados Gerais'!B13="S",0,IF(A50="LUCRO REAL",1.65%,0.65%))</f>
        <v>1.6500000000000001E-2</v>
      </c>
      <c r="E61" s="174"/>
      <c r="F61" s="181"/>
    </row>
    <row r="62" spans="1:6">
      <c r="A62" s="173" t="s">
        <v>220</v>
      </c>
      <c r="B62" s="617"/>
      <c r="C62" s="174">
        <f ca="1">D62*C$68-C57</f>
        <v>5982.3002534673469</v>
      </c>
      <c r="D62" s="177">
        <f>IF('Dados Gerais'!B13="S",0,IF(A50="LUCRO REAL",7.6%,3%))</f>
        <v>7.5999999999999998E-2</v>
      </c>
      <c r="E62" s="174"/>
      <c r="F62" s="181"/>
    </row>
    <row r="63" spans="1:6">
      <c r="A63" s="173" t="s">
        <v>221</v>
      </c>
      <c r="B63" s="617"/>
      <c r="C63" s="174">
        <f ca="1">D63*C$68-C58</f>
        <v>59561.898184616366</v>
      </c>
      <c r="D63" s="177">
        <f>IF('Dados Gerais'!B13="S",0,IF('Dados Gerais'!B159="S",0,'Dados Gerais'!B159))</f>
        <v>0.22</v>
      </c>
      <c r="E63" s="174"/>
    </row>
    <row r="64" spans="1:6">
      <c r="A64" s="173" t="s">
        <v>302</v>
      </c>
      <c r="B64" s="617"/>
      <c r="C64" s="174">
        <f ca="1">'Dados Gerais'!C160*D64</f>
        <v>0</v>
      </c>
      <c r="D64" s="177">
        <f>IF('Dados Gerais'!B13="S",'Dados Gerais'!B14,0)</f>
        <v>0</v>
      </c>
      <c r="E64" s="174"/>
    </row>
    <row r="65" spans="1:5">
      <c r="A65" s="173" t="s">
        <v>201</v>
      </c>
      <c r="B65" s="618"/>
      <c r="C65" s="174">
        <f ca="1">D65*C$68-C59</f>
        <v>11871.4897104049</v>
      </c>
      <c r="D65" s="177">
        <f>IF('Dados Gerais'!B13="S",'Dados Gerais'!C19,IF('Dados Gerais'!B13="R",'Dados Gerais'!C19/0.66,('Dados Gerais'!C19+3.08%)))</f>
        <v>3.787878787878788E-2</v>
      </c>
      <c r="E65" s="174"/>
    </row>
    <row r="66" spans="1:5">
      <c r="C66" s="182"/>
    </row>
    <row r="68" spans="1:5">
      <c r="A68" s="173" t="s">
        <v>225</v>
      </c>
      <c r="B68" s="173" t="s">
        <v>93</v>
      </c>
      <c r="C68" s="174">
        <f ca="1">C54/(1-D68)</f>
        <v>313407.32835468935</v>
      </c>
      <c r="D68" s="177">
        <f>D61+D62+D63+D64+D65</f>
        <v>0.3503787878787879</v>
      </c>
      <c r="E68" s="174"/>
    </row>
    <row r="69" spans="1:5">
      <c r="B69" s="173" t="s">
        <v>224</v>
      </c>
      <c r="C69" s="174">
        <f ca="1">C55+C60</f>
        <v>19490.733708703396</v>
      </c>
      <c r="D69" s="177"/>
      <c r="E69" s="174"/>
    </row>
    <row r="70" spans="1:5">
      <c r="B70" s="173" t="s">
        <v>335</v>
      </c>
      <c r="C70" s="174">
        <f>'Saída 2 - Encomendante'!C53</f>
        <v>0</v>
      </c>
      <c r="D70" s="177"/>
      <c r="E70" s="174"/>
    </row>
    <row r="71" spans="1:5">
      <c r="B71" s="173" t="s">
        <v>102</v>
      </c>
      <c r="C71" s="174">
        <f ca="1">SUM(C68:C70)</f>
        <v>332898.06206339272</v>
      </c>
      <c r="D71" s="174"/>
      <c r="E71" s="175"/>
    </row>
    <row r="72" spans="1:5" ht="25.2" thickBot="1"/>
    <row r="73" spans="1:5" ht="25.2" thickBot="1">
      <c r="A73" s="608" t="s">
        <v>216</v>
      </c>
      <c r="B73" s="608"/>
      <c r="C73" s="608"/>
      <c r="D73" s="608"/>
    </row>
    <row r="74" spans="1:5" ht="25.2" thickBot="1">
      <c r="A74" s="621" t="str">
        <f>'Dados Gerais'!C15</f>
        <v>LUCRO PRESUMIDO</v>
      </c>
      <c r="B74" s="608"/>
      <c r="C74" s="608"/>
      <c r="D74" s="608"/>
    </row>
    <row r="75" spans="1:5">
      <c r="C75" s="173" t="s">
        <v>205</v>
      </c>
      <c r="D75" s="173" t="s">
        <v>114</v>
      </c>
    </row>
    <row r="77" spans="1:5">
      <c r="A77" s="173" t="s">
        <v>212</v>
      </c>
      <c r="C77" s="174">
        <f ca="1">C68+C69</f>
        <v>332898.06206339272</v>
      </c>
    </row>
    <row r="79" spans="1:5">
      <c r="A79" s="173" t="s">
        <v>217</v>
      </c>
      <c r="B79" s="613">
        <f ca="1">SUM(C79:C82)</f>
        <v>332898.06206339272</v>
      </c>
      <c r="C79" s="174">
        <f ca="1">C77-C80-C81-C82</f>
        <v>263948.44982536108</v>
      </c>
      <c r="D79" s="177"/>
      <c r="E79" s="174"/>
    </row>
    <row r="80" spans="1:5">
      <c r="A80" s="173" t="s">
        <v>209</v>
      </c>
      <c r="B80" s="614"/>
      <c r="C80" s="174">
        <f>IF(OR('Dados Gerais'!B13="S",'Dados Gerais'!B15="S"),0,IF('Dados Gerais'!B15="R",1.65%*C68,0))</f>
        <v>0</v>
      </c>
      <c r="D80" s="177"/>
      <c r="E80" s="174"/>
    </row>
    <row r="81" spans="1:5">
      <c r="A81" s="173" t="s">
        <v>210</v>
      </c>
      <c r="B81" s="614"/>
      <c r="C81" s="174">
        <f>IF(OR('Dados Gerais'!B13="S",'Dados Gerais'!B15="S"),0,IF('Dados Gerais'!B15="R",7.6%*C68,0))</f>
        <v>0</v>
      </c>
      <c r="D81" s="177"/>
      <c r="E81" s="174"/>
    </row>
    <row r="82" spans="1:5">
      <c r="A82" s="173" t="s">
        <v>211</v>
      </c>
      <c r="B82" s="615"/>
      <c r="C82" s="174">
        <f ca="1">IF(OR('Dados Gerais'!B13="S",'Dados Gerais'!B15="S"),0,C63+C58)</f>
        <v>68949.612238031652</v>
      </c>
      <c r="D82" s="177"/>
      <c r="E82" s="174"/>
    </row>
    <row r="83" spans="1:5">
      <c r="C83" s="174"/>
      <c r="D83" s="177"/>
      <c r="E83" s="174"/>
    </row>
    <row r="84" spans="1:5">
      <c r="A84" s="173" t="s">
        <v>219</v>
      </c>
      <c r="B84" s="616" t="e">
        <f ca="1">SUM(C84:C88)</f>
        <v>#REF!</v>
      </c>
      <c r="C84" s="174" t="e">
        <f ca="1">D84*C$90-C80</f>
        <v>#REF!</v>
      </c>
      <c r="D84" s="177">
        <f>IF('Dados Gerais'!B15="S",0,IF('Dados Gerais'!B15="R",1.65%,0.65%))</f>
        <v>6.5000000000000006E-3</v>
      </c>
      <c r="E84" s="174"/>
    </row>
    <row r="85" spans="1:5">
      <c r="A85" s="173" t="s">
        <v>220</v>
      </c>
      <c r="B85" s="617"/>
      <c r="C85" s="174" t="e">
        <f ca="1">D85*C$90-C81</f>
        <v>#REF!</v>
      </c>
      <c r="D85" s="177">
        <f>IF('Dados Gerais'!B15="S",0,IF('Dados Gerais'!B15="R",7.6%,3%))</f>
        <v>0.03</v>
      </c>
      <c r="E85" s="174"/>
    </row>
    <row r="86" spans="1:5">
      <c r="A86" s="173" t="s">
        <v>221</v>
      </c>
      <c r="B86" s="617"/>
      <c r="C86" s="174" t="e">
        <f ca="1">D86*C$90-C82</f>
        <v>#REF!</v>
      </c>
      <c r="D86" s="177" t="e">
        <f>IF(Adições!BO7="N",IF('Dados Gerais'!B15="S",0,IF('Dados Gerais'!#REF!="S",0,'Dados Gerais'!#REF!)),IF('Dados Gerais'!B15="S",0,IF('Dados Gerais'!#REF!="S",0,'Dados Gerais'!#REF!)))</f>
        <v>#REF!</v>
      </c>
      <c r="E86" s="174"/>
    </row>
    <row r="87" spans="1:5">
      <c r="A87" s="173" t="s">
        <v>302</v>
      </c>
      <c r="B87" s="617"/>
      <c r="C87" s="174" t="e">
        <f>D87*'Dados Gerais'!#REF!</f>
        <v>#REF!</v>
      </c>
      <c r="D87" s="177">
        <f>IF('Dados Gerais'!B15="S",'Dados Gerais'!B16,0)</f>
        <v>0</v>
      </c>
      <c r="E87" s="174"/>
    </row>
    <row r="88" spans="1:5">
      <c r="A88" s="173" t="s">
        <v>201</v>
      </c>
      <c r="B88" s="618"/>
      <c r="C88" s="174" t="e">
        <f ca="1">D88*C$90</f>
        <v>#REF!</v>
      </c>
      <c r="D88" s="177" t="e">
        <f>IF('Dados Gerais'!B15="S",'Dados Gerais'!#REF!,IF('Dados Gerais'!B15="R",'Dados Gerais'!#REF!/0.66,IF('Dados Gerais'!B15="P",('Dados Gerais'!#REF!+3.08%),'Dados Gerais'!#REF!)))</f>
        <v>#REF!</v>
      </c>
      <c r="E88" s="174"/>
    </row>
    <row r="90" spans="1:5">
      <c r="A90" s="173" t="s">
        <v>301</v>
      </c>
      <c r="B90" s="173" t="s">
        <v>93</v>
      </c>
      <c r="C90" s="174" t="e">
        <f ca="1">C79/(1-D90)</f>
        <v>#REF!</v>
      </c>
      <c r="D90" s="177" t="e">
        <f>D84+D85+D86+D87+D88</f>
        <v>#REF!</v>
      </c>
      <c r="E90" s="174"/>
    </row>
    <row r="91" spans="1:5" ht="25.2" thickBot="1">
      <c r="A91" s="179"/>
      <c r="B91" s="179" t="s">
        <v>102</v>
      </c>
      <c r="C91" s="180" t="e">
        <f ca="1">SUM(C90:C90)</f>
        <v>#REF!</v>
      </c>
      <c r="D91" s="179"/>
      <c r="E91" s="175"/>
    </row>
    <row r="92" spans="1:5">
      <c r="C92" s="174"/>
    </row>
    <row r="95" spans="1:5">
      <c r="C95" s="174"/>
    </row>
  </sheetData>
  <sheetProtection formatColumns="0" selectLockedCells="1"/>
  <mergeCells count="17">
    <mergeCell ref="A27:D27"/>
    <mergeCell ref="A50:D50"/>
    <mergeCell ref="A74:D74"/>
    <mergeCell ref="B38:B43"/>
    <mergeCell ref="B54:B58"/>
    <mergeCell ref="B32:B36"/>
    <mergeCell ref="B79:B82"/>
    <mergeCell ref="B84:B88"/>
    <mergeCell ref="A73:D73"/>
    <mergeCell ref="A49:D49"/>
    <mergeCell ref="B60:B65"/>
    <mergeCell ref="A1:D1"/>
    <mergeCell ref="A2:D2"/>
    <mergeCell ref="A3:D3"/>
    <mergeCell ref="A10:D10"/>
    <mergeCell ref="A26:D26"/>
    <mergeCell ref="B14:B20"/>
  </mergeCells>
  <phoneticPr fontId="16" type="noConversion"/>
  <printOptions horizontalCentered="1" verticalCentered="1"/>
  <pageMargins left="0.511811024" right="0.511811024" top="0.78740157499999996" bottom="0.78740157499999996" header="0.31496062000000002" footer="0.31496062000000002"/>
  <pageSetup paperSize="9" scale="33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L55"/>
  <sheetViews>
    <sheetView topLeftCell="A17" zoomScaleNormal="100" workbookViewId="0">
      <selection activeCell="H61" sqref="H61"/>
    </sheetView>
  </sheetViews>
  <sheetFormatPr defaultColWidth="20.77734375" defaultRowHeight="25.05" customHeight="1"/>
  <cols>
    <col min="1" max="5" width="20.77734375" style="39"/>
    <col min="6" max="6" width="20.77734375" style="232"/>
    <col min="7" max="8" width="20.77734375" style="39"/>
    <col min="9" max="11" width="20.77734375" style="49"/>
    <col min="12" max="16384" width="20.77734375" style="39"/>
  </cols>
  <sheetData>
    <row r="1" spans="1:12" s="238" customFormat="1" ht="30" customHeight="1" thickBot="1">
      <c r="A1" s="658" t="s">
        <v>68</v>
      </c>
      <c r="B1" s="659"/>
      <c r="C1" s="659"/>
      <c r="D1" s="659"/>
      <c r="E1" s="659"/>
      <c r="F1" s="659"/>
      <c r="G1" s="659"/>
      <c r="H1" s="659"/>
      <c r="I1" s="659"/>
      <c r="J1" s="660"/>
    </row>
    <row r="2" spans="1:12" s="238" customFormat="1" ht="30" customHeight="1" thickBot="1">
      <c r="A2" s="661" t="str">
        <f>'Dados Gerais'!A2</f>
        <v>IMPORTAÇÃO DE MERCADORIAS PARA REVENDA</v>
      </c>
      <c r="B2" s="659"/>
      <c r="C2" s="659"/>
      <c r="D2" s="659"/>
      <c r="E2" s="659"/>
      <c r="F2" s="659"/>
      <c r="G2" s="659"/>
      <c r="H2" s="659"/>
      <c r="I2" s="659"/>
      <c r="J2" s="660"/>
    </row>
    <row r="3" spans="1:12" s="242" customFormat="1" ht="30" customHeight="1" thickBot="1">
      <c r="A3" s="662" t="s">
        <v>69</v>
      </c>
      <c r="B3" s="663"/>
      <c r="C3" s="662" t="s">
        <v>205</v>
      </c>
      <c r="D3" s="664"/>
      <c r="E3" s="664"/>
      <c r="F3" s="664"/>
      <c r="G3" s="664"/>
      <c r="H3" s="664"/>
      <c r="I3" s="664"/>
      <c r="J3" s="663"/>
    </row>
    <row r="4" spans="1:12" s="242" customFormat="1" ht="30" customHeight="1" thickBot="1">
      <c r="A4" s="243" t="s">
        <v>32</v>
      </c>
      <c r="B4" s="244" t="s">
        <v>25</v>
      </c>
      <c r="C4" s="245" t="s">
        <v>32</v>
      </c>
      <c r="D4" s="245" t="s">
        <v>45</v>
      </c>
      <c r="E4" s="245" t="s">
        <v>24</v>
      </c>
      <c r="F4" s="243" t="s">
        <v>25</v>
      </c>
      <c r="G4" s="246" t="s">
        <v>238</v>
      </c>
      <c r="H4" s="247" t="s">
        <v>202</v>
      </c>
      <c r="I4" s="248" t="s">
        <v>203</v>
      </c>
      <c r="J4" s="247" t="s">
        <v>231</v>
      </c>
    </row>
    <row r="5" spans="1:12" s="242" customFormat="1" ht="30" customHeight="1" thickBot="1">
      <c r="A5" s="241"/>
      <c r="B5" s="240"/>
      <c r="C5" s="249"/>
      <c r="D5" s="249"/>
      <c r="E5" s="249"/>
      <c r="F5" s="241"/>
      <c r="G5" s="241"/>
      <c r="H5" s="248"/>
      <c r="I5" s="248"/>
      <c r="J5" s="248"/>
    </row>
    <row r="6" spans="1:12" s="242" customFormat="1" ht="30" customHeight="1">
      <c r="A6" s="250" t="str">
        <f>'Dados Gerais'!B59</f>
        <v>DIFERIDO</v>
      </c>
      <c r="B6" s="251">
        <f>'Dados Gerais'!B51</f>
        <v>6.2189782896988746E-2</v>
      </c>
      <c r="C6" s="252">
        <f>IF(A6="DIFERIDO",0,A6*C10)</f>
        <v>0</v>
      </c>
      <c r="D6" s="252"/>
      <c r="E6" s="252">
        <f>'Dados Gerais'!C50</f>
        <v>21886.71</v>
      </c>
      <c r="F6" s="252">
        <f>'Dados Gerais'!C51</f>
        <v>11239.62</v>
      </c>
      <c r="G6" s="253">
        <f>'Dados Gerais'!C49+'Dados Gerais'!C56+'Dados Gerais'!C57+'Dados Gerais'!C58</f>
        <v>3497.9183999999973</v>
      </c>
      <c r="H6" s="254">
        <f>'Dados Gerais'!C52</f>
        <v>3335.7295319040009</v>
      </c>
      <c r="I6" s="255">
        <f>'Dados Gerais'!C53+'Dados Gerais'!C54</f>
        <v>15328.471420415997</v>
      </c>
      <c r="J6" s="254">
        <f>'Dados Gerais'!C72</f>
        <v>1102.6721280000002</v>
      </c>
    </row>
    <row r="7" spans="1:12" s="242" customFormat="1" ht="30" customHeight="1" thickBot="1">
      <c r="A7" s="256"/>
      <c r="B7" s="257"/>
      <c r="C7" s="258"/>
      <c r="D7" s="259"/>
      <c r="E7" s="259"/>
      <c r="F7" s="259"/>
      <c r="G7" s="259"/>
      <c r="H7" s="260"/>
      <c r="I7" s="261"/>
      <c r="J7" s="262"/>
    </row>
    <row r="8" spans="1:12" s="242" customFormat="1" ht="30" customHeight="1" thickBot="1">
      <c r="A8" s="239"/>
      <c r="B8" s="241"/>
      <c r="C8" s="241"/>
      <c r="D8" s="241"/>
      <c r="E8" s="241"/>
      <c r="F8" s="241"/>
      <c r="G8" s="241"/>
      <c r="H8" s="241"/>
      <c r="I8" s="241"/>
      <c r="J8" s="240"/>
    </row>
    <row r="9" spans="1:12" s="242" customFormat="1" ht="30" customHeight="1">
      <c r="A9" s="637" t="s">
        <v>237</v>
      </c>
      <c r="B9" s="638"/>
      <c r="C9" s="264" t="s">
        <v>233</v>
      </c>
      <c r="D9" s="265" t="s">
        <v>70</v>
      </c>
      <c r="E9" s="266" t="s">
        <v>234</v>
      </c>
      <c r="F9" s="267" t="s">
        <v>235</v>
      </c>
      <c r="G9" s="267" t="s">
        <v>72</v>
      </c>
      <c r="H9" s="265" t="s">
        <v>93</v>
      </c>
      <c r="I9" s="628"/>
      <c r="J9" s="629"/>
    </row>
    <row r="10" spans="1:12" s="242" customFormat="1" ht="30" customHeight="1" thickBot="1">
      <c r="A10" s="639" t="str">
        <f>'Dados Gerais'!C4</f>
        <v>SANTAX_AMIGÃO_001_2024</v>
      </c>
      <c r="B10" s="640"/>
      <c r="C10" s="268" t="str">
        <f>'Dados Gerais'!C64</f>
        <v>DIFERIDO</v>
      </c>
      <c r="D10" s="268"/>
      <c r="E10" s="269">
        <f>'Dados Gerais'!C46</f>
        <v>158844.26342399998</v>
      </c>
      <c r="F10" s="270">
        <f>E10+E6</f>
        <v>180730.97342399997</v>
      </c>
      <c r="G10" s="634">
        <f>'Dados Gerais'!C6</f>
        <v>3102</v>
      </c>
      <c r="H10" s="271">
        <f>E10</f>
        <v>158844.26342399998</v>
      </c>
      <c r="I10" s="630"/>
      <c r="J10" s="631"/>
    </row>
    <row r="11" spans="1:12" s="242" customFormat="1" ht="30" customHeight="1">
      <c r="A11" s="637"/>
      <c r="B11" s="638"/>
      <c r="C11" s="265"/>
      <c r="D11" s="265"/>
      <c r="E11" s="263"/>
      <c r="F11" s="265"/>
      <c r="G11" s="635"/>
      <c r="H11" s="272" t="s">
        <v>102</v>
      </c>
      <c r="I11" s="630"/>
      <c r="J11" s="631"/>
    </row>
    <row r="12" spans="1:12" s="242" customFormat="1" ht="30" customHeight="1" thickBot="1">
      <c r="A12" s="626"/>
      <c r="B12" s="627"/>
      <c r="C12" s="273"/>
      <c r="D12" s="274"/>
      <c r="E12" s="261"/>
      <c r="F12" s="274"/>
      <c r="G12" s="636"/>
      <c r="H12" s="273">
        <f>C6+E6+F6+G6+H6+I6+J6+H10</f>
        <v>215235.38490431997</v>
      </c>
      <c r="I12" s="632"/>
      <c r="J12" s="633"/>
    </row>
    <row r="13" spans="1:12" ht="25.05" customHeight="1">
      <c r="G13" s="275"/>
    </row>
    <row r="15" spans="1:12" ht="25.05" customHeight="1" thickBot="1"/>
    <row r="16" spans="1:12" s="238" customFormat="1" ht="30" customHeight="1" thickBot="1">
      <c r="A16" s="658" t="s">
        <v>73</v>
      </c>
      <c r="B16" s="659"/>
      <c r="C16" s="659"/>
      <c r="D16" s="659"/>
      <c r="E16" s="659"/>
      <c r="F16" s="659"/>
      <c r="G16" s="659"/>
      <c r="H16" s="659"/>
      <c r="I16" s="659"/>
      <c r="J16" s="660"/>
      <c r="L16" s="349"/>
    </row>
    <row r="17" spans="1:10" s="238" customFormat="1" ht="30" customHeight="1" thickBot="1">
      <c r="A17" s="661" t="str">
        <f>'Dados Gerais'!A115</f>
        <v>VENDA DE MERC. IMPORTADA, PARA OUTRO ESTADO</v>
      </c>
      <c r="B17" s="659"/>
      <c r="C17" s="659"/>
      <c r="D17" s="659"/>
      <c r="E17" s="659"/>
      <c r="F17" s="659"/>
      <c r="G17" s="659"/>
      <c r="H17" s="659"/>
      <c r="I17" s="659"/>
      <c r="J17" s="660"/>
    </row>
    <row r="18" spans="1:10" s="242" customFormat="1" ht="30" customHeight="1" thickBot="1">
      <c r="A18" s="662" t="s">
        <v>69</v>
      </c>
      <c r="B18" s="663"/>
      <c r="C18" s="662" t="s">
        <v>205</v>
      </c>
      <c r="D18" s="664"/>
      <c r="E18" s="664"/>
      <c r="F18" s="664"/>
      <c r="G18" s="664"/>
      <c r="H18" s="664"/>
      <c r="I18" s="664"/>
      <c r="J18" s="663"/>
    </row>
    <row r="19" spans="1:10" s="242" customFormat="1" ht="30" customHeight="1" thickBot="1">
      <c r="A19" s="243" t="s">
        <v>32</v>
      </c>
      <c r="B19" s="244" t="s">
        <v>25</v>
      </c>
      <c r="C19" s="245" t="s">
        <v>32</v>
      </c>
      <c r="D19" s="245" t="s">
        <v>45</v>
      </c>
      <c r="E19" s="245" t="s">
        <v>24</v>
      </c>
      <c r="F19" s="243" t="s">
        <v>25</v>
      </c>
      <c r="G19" s="652" t="str">
        <f>'Dados Gerais'!C11</f>
        <v>LUCRO REAL</v>
      </c>
      <c r="H19" s="653"/>
      <c r="I19" s="653"/>
      <c r="J19" s="654"/>
    </row>
    <row r="20" spans="1:10" s="242" customFormat="1" ht="30" customHeight="1" thickBot="1">
      <c r="A20" s="241"/>
      <c r="B20" s="240"/>
      <c r="C20" s="249"/>
      <c r="D20" s="249"/>
      <c r="E20" s="249"/>
      <c r="F20" s="276"/>
      <c r="G20" s="655"/>
      <c r="H20" s="655"/>
      <c r="I20" s="655"/>
      <c r="J20" s="640"/>
    </row>
    <row r="21" spans="1:10" s="242" customFormat="1" ht="30" customHeight="1">
      <c r="A21" s="250">
        <f>'Dados Gerais'!B109</f>
        <v>0.04</v>
      </c>
      <c r="B21" s="251">
        <f>'Dados Gerais'!B111</f>
        <v>6.2189782896988746E-2</v>
      </c>
      <c r="C21" s="252">
        <f ca="1">'Dados Gerais'!C109</f>
        <v>9498.0150905968476</v>
      </c>
      <c r="D21" s="252"/>
      <c r="E21" s="252"/>
      <c r="F21" s="252">
        <f ca="1">'Dados Gerais'!C111</f>
        <v>14766.98741091352</v>
      </c>
      <c r="G21" s="655"/>
      <c r="H21" s="655"/>
      <c r="I21" s="655"/>
      <c r="J21" s="640"/>
    </row>
    <row r="22" spans="1:10" s="242" customFormat="1" ht="30" customHeight="1" thickBot="1">
      <c r="A22" s="256"/>
      <c r="B22" s="257"/>
      <c r="C22" s="258"/>
      <c r="D22" s="259"/>
      <c r="E22" s="259"/>
      <c r="F22" s="259"/>
      <c r="G22" s="656"/>
      <c r="H22" s="656"/>
      <c r="I22" s="656"/>
      <c r="J22" s="657"/>
    </row>
    <row r="23" spans="1:10" s="242" customFormat="1" ht="30" customHeight="1" thickBot="1">
      <c r="A23" s="239"/>
      <c r="B23" s="241"/>
      <c r="C23" s="241"/>
      <c r="D23" s="241"/>
      <c r="E23" s="241"/>
      <c r="F23" s="241"/>
      <c r="G23" s="241"/>
      <c r="H23" s="241"/>
      <c r="I23" s="241"/>
      <c r="J23" s="240"/>
    </row>
    <row r="24" spans="1:10" s="242" customFormat="1" ht="30" customHeight="1">
      <c r="A24" s="637" t="s">
        <v>237</v>
      </c>
      <c r="B24" s="638"/>
      <c r="C24" s="264" t="s">
        <v>233</v>
      </c>
      <c r="D24" s="265" t="s">
        <v>70</v>
      </c>
      <c r="E24" s="266" t="s">
        <v>234</v>
      </c>
      <c r="F24" s="267" t="s">
        <v>235</v>
      </c>
      <c r="G24" s="267" t="s">
        <v>72</v>
      </c>
      <c r="H24" s="265" t="s">
        <v>93</v>
      </c>
      <c r="I24" s="628"/>
      <c r="J24" s="629"/>
    </row>
    <row r="25" spans="1:10" s="242" customFormat="1" ht="30" customHeight="1" thickBot="1">
      <c r="A25" s="639" t="str">
        <f>A10</f>
        <v>SANTAX_AMIGÃO_001_2024</v>
      </c>
      <c r="B25" s="640"/>
      <c r="C25" s="268">
        <f ca="1">'Dados Gerais'!C108</f>
        <v>237450.37726492118</v>
      </c>
      <c r="D25" s="268"/>
      <c r="E25" s="269"/>
      <c r="F25" s="270">
        <f ca="1">'Dados Gerais'!C110</f>
        <v>237450.37726492118</v>
      </c>
      <c r="G25" s="634">
        <f>'Dados Gerais'!C7</f>
        <v>6102</v>
      </c>
      <c r="H25" s="271">
        <f ca="1">'Dados Gerais'!C110</f>
        <v>237450.37726492118</v>
      </c>
      <c r="I25" s="630"/>
      <c r="J25" s="631"/>
    </row>
    <row r="26" spans="1:10" s="242" customFormat="1" ht="30" customHeight="1">
      <c r="A26" s="637"/>
      <c r="B26" s="638"/>
      <c r="C26" s="265"/>
      <c r="D26" s="265"/>
      <c r="E26" s="263"/>
      <c r="F26" s="265"/>
      <c r="G26" s="635"/>
      <c r="H26" s="272" t="s">
        <v>102</v>
      </c>
      <c r="I26" s="630"/>
      <c r="J26" s="631"/>
    </row>
    <row r="27" spans="1:10" s="242" customFormat="1" ht="30" customHeight="1" thickBot="1">
      <c r="A27" s="626"/>
      <c r="B27" s="627"/>
      <c r="C27" s="273"/>
      <c r="D27" s="274"/>
      <c r="E27" s="261"/>
      <c r="F27" s="274"/>
      <c r="G27" s="636"/>
      <c r="H27" s="273">
        <f ca="1">E21+F21+G21+H21+I21+J21+H25</f>
        <v>252217.36467583469</v>
      </c>
      <c r="I27" s="632"/>
      <c r="J27" s="633"/>
    </row>
    <row r="29" spans="1:10" ht="25.05" customHeight="1" thickBot="1"/>
    <row r="30" spans="1:10" s="238" customFormat="1" ht="30" customHeight="1" thickBot="1">
      <c r="A30" s="622" t="s">
        <v>244</v>
      </c>
      <c r="B30" s="623"/>
      <c r="C30" s="623"/>
      <c r="D30" s="623"/>
      <c r="E30" s="623"/>
      <c r="F30" s="623"/>
      <c r="G30" s="623"/>
      <c r="H30" s="623"/>
      <c r="I30" s="623"/>
      <c r="J30" s="624"/>
    </row>
    <row r="31" spans="1:10" s="238" customFormat="1" ht="30" customHeight="1" thickBot="1">
      <c r="A31" s="625" t="str">
        <f>'Dados Gerais'!A170</f>
        <v>VENDA DE MERC. IMPORTADA, PARA OUTRO ESTADO</v>
      </c>
      <c r="B31" s="623"/>
      <c r="C31" s="623"/>
      <c r="D31" s="623"/>
      <c r="E31" s="623"/>
      <c r="F31" s="623"/>
      <c r="G31" s="623"/>
      <c r="H31" s="623"/>
      <c r="I31" s="623"/>
      <c r="J31" s="624"/>
    </row>
    <row r="32" spans="1:10" s="242" customFormat="1" ht="30" customHeight="1" thickBot="1">
      <c r="A32" s="670" t="s">
        <v>69</v>
      </c>
      <c r="B32" s="671"/>
      <c r="C32" s="670" t="s">
        <v>205</v>
      </c>
      <c r="D32" s="672"/>
      <c r="E32" s="672"/>
      <c r="F32" s="672"/>
      <c r="G32" s="672"/>
      <c r="H32" s="672"/>
      <c r="I32" s="672"/>
      <c r="J32" s="671"/>
    </row>
    <row r="33" spans="1:10" s="242" customFormat="1" ht="30" customHeight="1" thickBot="1">
      <c r="A33" s="280" t="s">
        <v>32</v>
      </c>
      <c r="B33" s="281" t="s">
        <v>25</v>
      </c>
      <c r="C33" s="282" t="s">
        <v>32</v>
      </c>
      <c r="D33" s="282" t="s">
        <v>45</v>
      </c>
      <c r="E33" s="282" t="s">
        <v>24</v>
      </c>
      <c r="F33" s="283" t="s">
        <v>25</v>
      </c>
      <c r="G33" s="641" t="str">
        <f>'Dados Gerais'!C13</f>
        <v>LUCRO REAL</v>
      </c>
      <c r="H33" s="642"/>
      <c r="I33" s="642"/>
      <c r="J33" s="643"/>
    </row>
    <row r="34" spans="1:10" s="242" customFormat="1" ht="30" customHeight="1" thickBot="1">
      <c r="A34" s="279"/>
      <c r="B34" s="278"/>
      <c r="C34" s="284"/>
      <c r="D34" s="284"/>
      <c r="E34" s="284"/>
      <c r="F34" s="279"/>
      <c r="G34" s="644"/>
      <c r="H34" s="645"/>
      <c r="I34" s="645"/>
      <c r="J34" s="646"/>
    </row>
    <row r="35" spans="1:10" s="242" customFormat="1" ht="30" customHeight="1">
      <c r="A35" s="285">
        <f>'Dados Gerais'!B159</f>
        <v>0.22</v>
      </c>
      <c r="B35" s="286">
        <f>'Dados Gerais'!B162</f>
        <v>6.2189782896988746E-2</v>
      </c>
      <c r="C35" s="287">
        <f ca="1">IF(A35="S","",'Dados Gerais'!C159)</f>
        <v>67929.320371857975</v>
      </c>
      <c r="D35" s="287">
        <f>'Dados Gerais'!C166</f>
        <v>0</v>
      </c>
      <c r="E35" s="287"/>
      <c r="F35" s="288">
        <f ca="1">IF(B35="S","",'Dados Gerais'!C162)</f>
        <v>19202.316755753829</v>
      </c>
      <c r="G35" s="644"/>
      <c r="H35" s="645"/>
      <c r="I35" s="645"/>
      <c r="J35" s="646"/>
    </row>
    <row r="36" spans="1:10" s="242" customFormat="1" ht="30" customHeight="1" thickBot="1">
      <c r="A36" s="289"/>
      <c r="B36" s="290"/>
      <c r="C36" s="291"/>
      <c r="D36" s="292"/>
      <c r="E36" s="292"/>
      <c r="F36" s="293"/>
      <c r="G36" s="647"/>
      <c r="H36" s="648"/>
      <c r="I36" s="648"/>
      <c r="J36" s="649"/>
    </row>
    <row r="37" spans="1:10" s="242" customFormat="1" ht="30" customHeight="1" thickBot="1">
      <c r="A37" s="277"/>
      <c r="B37" s="279"/>
      <c r="C37" s="279"/>
      <c r="D37" s="279"/>
      <c r="E37" s="279"/>
      <c r="F37" s="279"/>
      <c r="G37" s="279"/>
      <c r="H37" s="279"/>
      <c r="I37" s="279"/>
      <c r="J37" s="278"/>
    </row>
    <row r="38" spans="1:10" s="242" customFormat="1" ht="30" customHeight="1">
      <c r="A38" s="650" t="s">
        <v>237</v>
      </c>
      <c r="B38" s="651"/>
      <c r="C38" s="295" t="s">
        <v>233</v>
      </c>
      <c r="D38" s="296" t="s">
        <v>70</v>
      </c>
      <c r="E38" s="297" t="s">
        <v>234</v>
      </c>
      <c r="F38" s="298" t="s">
        <v>235</v>
      </c>
      <c r="G38" s="298" t="s">
        <v>72</v>
      </c>
      <c r="H38" s="296" t="s">
        <v>93</v>
      </c>
      <c r="I38" s="628"/>
      <c r="J38" s="629"/>
    </row>
    <row r="39" spans="1:10" s="242" customFormat="1" ht="30" customHeight="1" thickBot="1">
      <c r="A39" s="673" t="str">
        <f>'Dados Gerais'!C4</f>
        <v>SANTAX_AMIGÃO_001_2024</v>
      </c>
      <c r="B39" s="646"/>
      <c r="C39" s="299">
        <f ca="1">IF(A35="S","",'Dados Gerais'!C158)</f>
        <v>308769.63805389986</v>
      </c>
      <c r="D39" s="299">
        <f>'Dados Gerais'!C161</f>
        <v>0</v>
      </c>
      <c r="E39" s="300"/>
      <c r="F39" s="301">
        <f ca="1">IF(B35="S","",'Dados Gerais'!C160)</f>
        <v>308769.63805389986</v>
      </c>
      <c r="G39" s="667">
        <f>'Dados Gerais'!C8</f>
        <v>5102</v>
      </c>
      <c r="H39" s="302">
        <f ca="1">'Dados Gerais'!C160</f>
        <v>308769.63805389986</v>
      </c>
      <c r="I39" s="630"/>
      <c r="J39" s="631"/>
    </row>
    <row r="40" spans="1:10" s="242" customFormat="1" ht="30" customHeight="1">
      <c r="A40" s="650"/>
      <c r="B40" s="651"/>
      <c r="C40" s="296"/>
      <c r="D40" s="296"/>
      <c r="E40" s="294"/>
      <c r="F40" s="296"/>
      <c r="G40" s="668"/>
      <c r="H40" s="303" t="s">
        <v>102</v>
      </c>
      <c r="I40" s="630"/>
      <c r="J40" s="631"/>
    </row>
    <row r="41" spans="1:10" s="242" customFormat="1" ht="30" customHeight="1" thickBot="1">
      <c r="A41" s="665"/>
      <c r="B41" s="666"/>
      <c r="C41" s="304"/>
      <c r="D41" s="305"/>
      <c r="E41" s="306"/>
      <c r="F41" s="305"/>
      <c r="G41" s="669"/>
      <c r="H41" s="304">
        <f ca="1">H39+F35+D35</f>
        <v>327971.95480965369</v>
      </c>
      <c r="I41" s="632"/>
      <c r="J41" s="633"/>
    </row>
    <row r="43" spans="1:10" ht="25.05" customHeight="1" thickBot="1"/>
    <row r="44" spans="1:10" s="238" customFormat="1" ht="30" customHeight="1" thickBot="1">
      <c r="A44" s="622" t="s">
        <v>319</v>
      </c>
      <c r="B44" s="623"/>
      <c r="C44" s="623"/>
      <c r="D44" s="623"/>
      <c r="E44" s="623"/>
      <c r="F44" s="623"/>
      <c r="G44" s="623"/>
      <c r="H44" s="623"/>
      <c r="I44" s="623"/>
      <c r="J44" s="624"/>
    </row>
    <row r="45" spans="1:10" s="238" customFormat="1" ht="30" customHeight="1" thickBot="1">
      <c r="A45" s="625" t="e">
        <f>'Dados Gerais'!#REF!</f>
        <v>#REF!</v>
      </c>
      <c r="B45" s="623"/>
      <c r="C45" s="623"/>
      <c r="D45" s="623"/>
      <c r="E45" s="623"/>
      <c r="F45" s="623"/>
      <c r="G45" s="623"/>
      <c r="H45" s="623"/>
      <c r="I45" s="623"/>
      <c r="J45" s="624"/>
    </row>
    <row r="46" spans="1:10" s="242" customFormat="1" ht="30" customHeight="1" thickBot="1">
      <c r="A46" s="670" t="s">
        <v>69</v>
      </c>
      <c r="B46" s="671"/>
      <c r="C46" s="670" t="s">
        <v>205</v>
      </c>
      <c r="D46" s="672"/>
      <c r="E46" s="672"/>
      <c r="F46" s="672"/>
      <c r="G46" s="672"/>
      <c r="H46" s="672"/>
      <c r="I46" s="672"/>
      <c r="J46" s="671"/>
    </row>
    <row r="47" spans="1:10" s="242" customFormat="1" ht="30" customHeight="1" thickBot="1">
      <c r="A47" s="280" t="s">
        <v>32</v>
      </c>
      <c r="B47" s="281" t="s">
        <v>25</v>
      </c>
      <c r="C47" s="282" t="s">
        <v>32</v>
      </c>
      <c r="D47" s="282" t="s">
        <v>45</v>
      </c>
      <c r="E47" s="282"/>
      <c r="F47" s="283" t="s">
        <v>25</v>
      </c>
      <c r="G47" s="641" t="str">
        <f>'Dados Gerais'!C13</f>
        <v>LUCRO REAL</v>
      </c>
      <c r="H47" s="642"/>
      <c r="I47" s="642"/>
      <c r="J47" s="643"/>
    </row>
    <row r="48" spans="1:10" s="242" customFormat="1" ht="30" customHeight="1" thickBot="1">
      <c r="A48" s="279"/>
      <c r="B48" s="278"/>
      <c r="C48" s="284"/>
      <c r="D48" s="284"/>
      <c r="E48" s="284"/>
      <c r="F48" s="279"/>
      <c r="G48" s="644"/>
      <c r="H48" s="645"/>
      <c r="I48" s="645"/>
      <c r="J48" s="646"/>
    </row>
    <row r="49" spans="1:10" s="242" customFormat="1" ht="30" customHeight="1">
      <c r="A49" s="285" t="e">
        <f>'Dados Gerais'!#REF!</f>
        <v>#REF!</v>
      </c>
      <c r="B49" s="286"/>
      <c r="C49" s="287" t="e">
        <f>IF(A49="S","",'Dados Gerais'!#REF!)</f>
        <v>#REF!</v>
      </c>
      <c r="D49" s="287"/>
      <c r="E49" s="287"/>
      <c r="F49" s="288"/>
      <c r="G49" s="644"/>
      <c r="H49" s="645"/>
      <c r="I49" s="645"/>
      <c r="J49" s="646"/>
    </row>
    <row r="50" spans="1:10" s="242" customFormat="1" ht="30" customHeight="1" thickBot="1">
      <c r="A50" s="289"/>
      <c r="B50" s="290"/>
      <c r="C50" s="291"/>
      <c r="D50" s="292"/>
      <c r="E50" s="292"/>
      <c r="F50" s="293"/>
      <c r="G50" s="647"/>
      <c r="H50" s="648"/>
      <c r="I50" s="648"/>
      <c r="J50" s="649"/>
    </row>
    <row r="51" spans="1:10" s="242" customFormat="1" ht="30" customHeight="1" thickBot="1">
      <c r="A51" s="277"/>
      <c r="B51" s="279"/>
      <c r="C51" s="279"/>
      <c r="D51" s="279"/>
      <c r="E51" s="279"/>
      <c r="F51" s="279"/>
      <c r="G51" s="279"/>
      <c r="H51" s="279"/>
      <c r="I51" s="279"/>
      <c r="J51" s="278"/>
    </row>
    <row r="52" spans="1:10" s="242" customFormat="1" ht="30" customHeight="1">
      <c r="A52" s="650" t="s">
        <v>232</v>
      </c>
      <c r="B52" s="651"/>
      <c r="C52" s="295" t="s">
        <v>233</v>
      </c>
      <c r="D52" s="296" t="s">
        <v>70</v>
      </c>
      <c r="E52" s="297"/>
      <c r="F52" s="298" t="s">
        <v>235</v>
      </c>
      <c r="G52" s="298" t="s">
        <v>72</v>
      </c>
      <c r="H52" s="296" t="s">
        <v>93</v>
      </c>
      <c r="I52" s="628"/>
      <c r="J52" s="629"/>
    </row>
    <row r="53" spans="1:10" s="242" customFormat="1" ht="30" customHeight="1" thickBot="1">
      <c r="A53" s="673"/>
      <c r="B53" s="646"/>
      <c r="C53" s="299" t="e">
        <f>IF(A49="S","",'Dados Gerais'!#REF!)</f>
        <v>#REF!</v>
      </c>
      <c r="D53" s="299"/>
      <c r="E53" s="300"/>
      <c r="F53" s="301"/>
      <c r="G53" s="667" t="e">
        <f>'Dados Gerais'!#REF!</f>
        <v>#REF!</v>
      </c>
      <c r="H53" s="302" t="e">
        <f>'Dados Gerais'!#REF!</f>
        <v>#REF!</v>
      </c>
      <c r="I53" s="630"/>
      <c r="J53" s="631"/>
    </row>
    <row r="54" spans="1:10" s="242" customFormat="1" ht="30" customHeight="1">
      <c r="A54" s="650"/>
      <c r="B54" s="651"/>
      <c r="C54" s="296"/>
      <c r="D54" s="296"/>
      <c r="E54" s="294"/>
      <c r="F54" s="296"/>
      <c r="G54" s="668"/>
      <c r="H54" s="303" t="s">
        <v>102</v>
      </c>
      <c r="I54" s="630"/>
      <c r="J54" s="631"/>
    </row>
    <row r="55" spans="1:10" s="242" customFormat="1" ht="30" customHeight="1" thickBot="1">
      <c r="A55" s="665"/>
      <c r="B55" s="666"/>
      <c r="C55" s="304"/>
      <c r="D55" s="305"/>
      <c r="E55" s="306"/>
      <c r="F55" s="305"/>
      <c r="G55" s="669"/>
      <c r="H55" s="304" t="e">
        <f>H53</f>
        <v>#REF!</v>
      </c>
      <c r="I55" s="632"/>
      <c r="J55" s="633"/>
    </row>
  </sheetData>
  <sheetProtection formatColumns="0" selectLockedCells="1"/>
  <mergeCells count="43">
    <mergeCell ref="G47:J50"/>
    <mergeCell ref="A55:B55"/>
    <mergeCell ref="G53:G55"/>
    <mergeCell ref="I52:J55"/>
    <mergeCell ref="A32:B32"/>
    <mergeCell ref="C32:J32"/>
    <mergeCell ref="A38:B38"/>
    <mergeCell ref="A39:B39"/>
    <mergeCell ref="A40:B40"/>
    <mergeCell ref="A41:B41"/>
    <mergeCell ref="G39:G41"/>
    <mergeCell ref="I38:J41"/>
    <mergeCell ref="A46:B46"/>
    <mergeCell ref="C46:J46"/>
    <mergeCell ref="A52:B52"/>
    <mergeCell ref="A53:B53"/>
    <mergeCell ref="A54:B54"/>
    <mergeCell ref="G19:J22"/>
    <mergeCell ref="A1:J1"/>
    <mergeCell ref="A2:J2"/>
    <mergeCell ref="A3:B3"/>
    <mergeCell ref="C3:J3"/>
    <mergeCell ref="A9:B9"/>
    <mergeCell ref="A10:B10"/>
    <mergeCell ref="A11:B11"/>
    <mergeCell ref="A12:B12"/>
    <mergeCell ref="I9:J12"/>
    <mergeCell ref="G10:G12"/>
    <mergeCell ref="A16:J16"/>
    <mergeCell ref="A17:J17"/>
    <mergeCell ref="A18:B18"/>
    <mergeCell ref="C18:J18"/>
    <mergeCell ref="A30:J30"/>
    <mergeCell ref="A31:J31"/>
    <mergeCell ref="A44:J44"/>
    <mergeCell ref="A45:J45"/>
    <mergeCell ref="A27:B27"/>
    <mergeCell ref="I24:J27"/>
    <mergeCell ref="G25:G27"/>
    <mergeCell ref="A24:B24"/>
    <mergeCell ref="A25:B25"/>
    <mergeCell ref="A26:B26"/>
    <mergeCell ref="G33:J36"/>
  </mergeCells>
  <phoneticPr fontId="7" type="noConversion"/>
  <printOptions horizontalCentered="1" verticalCentered="1"/>
  <pageMargins left="0.78740157480314998" right="0.78740157480314998" top="0.98425196850393704" bottom="0.98425196850393704" header="0.511811023622047" footer="0.511811023622047"/>
  <pageSetup paperSize="9" scale="38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A64A-1016-4249-A0DB-805100343147}">
  <dimension ref="A1:AK38"/>
  <sheetViews>
    <sheetView topLeftCell="V11" zoomScale="50" zoomScaleNormal="70" workbookViewId="0">
      <selection activeCell="Z34" sqref="Z34"/>
    </sheetView>
  </sheetViews>
  <sheetFormatPr defaultColWidth="25.77734375" defaultRowHeight="17.399999999999999"/>
  <cols>
    <col min="1" max="1" width="8.6640625" style="410" customWidth="1"/>
    <col min="2" max="2" width="14.6640625" style="410" customWidth="1"/>
    <col min="3" max="3" width="94.77734375" style="437" customWidth="1"/>
    <col min="4" max="4" width="21" style="437" customWidth="1"/>
    <col min="5" max="6" width="25.77734375" style="410"/>
    <col min="7" max="7" width="27.44140625" style="410" bestFit="1" customWidth="1"/>
    <col min="8" max="8" width="5.44140625" style="410" customWidth="1"/>
    <col min="9" max="9" width="21.109375" style="410" customWidth="1"/>
    <col min="10" max="18" width="25.77734375" style="410"/>
    <col min="19" max="19" width="7" style="410" customWidth="1"/>
    <col min="20" max="20" width="25.77734375" style="410"/>
    <col min="21" max="24" width="25.77734375" style="438"/>
    <col min="25" max="25" width="5.44140625" style="410" customWidth="1"/>
    <col min="26" max="28" width="26" style="410" bestFit="1" customWidth="1"/>
    <col min="29" max="30" width="26" style="409" bestFit="1" customWidth="1"/>
    <col min="31" max="31" width="26" style="409" customWidth="1"/>
    <col min="32" max="32" width="26" style="409" bestFit="1" customWidth="1"/>
    <col min="33" max="33" width="26.44140625" style="409" bestFit="1" customWidth="1"/>
    <col min="34" max="16384" width="25.77734375" style="410"/>
  </cols>
  <sheetData>
    <row r="1" spans="1:37" ht="37.799999999999997" thickBot="1">
      <c r="A1" s="704" t="str">
        <f>'Dados Gerais'!C4</f>
        <v>SANTAX_AMIGÃO_001_2024</v>
      </c>
      <c r="B1" s="684"/>
      <c r="C1" s="684"/>
      <c r="D1" s="684"/>
      <c r="E1" s="684"/>
      <c r="F1" s="684"/>
      <c r="G1" s="705"/>
      <c r="H1" s="674"/>
      <c r="I1" s="677" t="s">
        <v>320</v>
      </c>
      <c r="J1" s="678"/>
      <c r="K1" s="678"/>
      <c r="L1" s="678"/>
      <c r="M1" s="678"/>
      <c r="N1" s="678"/>
      <c r="O1" s="678"/>
      <c r="P1" s="678"/>
      <c r="Q1" s="678"/>
      <c r="R1" s="678"/>
      <c r="S1" s="678"/>
      <c r="T1" s="678"/>
      <c r="U1" s="678"/>
      <c r="V1" s="678"/>
      <c r="W1" s="678"/>
      <c r="X1" s="679"/>
      <c r="Y1" s="674"/>
      <c r="Z1" s="680" t="s">
        <v>281</v>
      </c>
      <c r="AA1" s="681"/>
      <c r="AB1" s="681"/>
      <c r="AC1" s="681"/>
      <c r="AD1" s="681"/>
      <c r="AE1" s="681"/>
      <c r="AF1" s="681"/>
      <c r="AG1" s="682"/>
    </row>
    <row r="2" spans="1:37" ht="37.799999999999997" thickBot="1">
      <c r="A2" s="683" t="s">
        <v>321</v>
      </c>
      <c r="B2" s="684"/>
      <c r="C2" s="685"/>
      <c r="D2" s="686" t="s">
        <v>322</v>
      </c>
      <c r="E2" s="687"/>
      <c r="F2" s="687"/>
      <c r="G2" s="411" t="str">
        <f>'Dados Gerais'!C5</f>
        <v>FOB</v>
      </c>
      <c r="H2" s="675"/>
      <c r="I2" s="677" t="s">
        <v>323</v>
      </c>
      <c r="J2" s="678"/>
      <c r="K2" s="678"/>
      <c r="L2" s="678"/>
      <c r="M2" s="678"/>
      <c r="N2" s="678"/>
      <c r="O2" s="678"/>
      <c r="P2" s="678"/>
      <c r="Q2" s="678"/>
      <c r="R2" s="679"/>
      <c r="S2" s="688"/>
      <c r="T2" s="677" t="s">
        <v>324</v>
      </c>
      <c r="U2" s="678"/>
      <c r="V2" s="678"/>
      <c r="W2" s="678"/>
      <c r="X2" s="679"/>
      <c r="Y2" s="675"/>
      <c r="Z2" s="692" t="s">
        <v>324</v>
      </c>
      <c r="AA2" s="693"/>
      <c r="AB2" s="693"/>
      <c r="AC2" s="693"/>
      <c r="AD2" s="693"/>
      <c r="AE2" s="693"/>
      <c r="AF2" s="693"/>
      <c r="AG2" s="694"/>
    </row>
    <row r="3" spans="1:37" s="173" customFormat="1" ht="61.8" thickBot="1">
      <c r="A3" s="412" t="s">
        <v>104</v>
      </c>
      <c r="B3" s="413" t="s">
        <v>311</v>
      </c>
      <c r="C3" s="414" t="s">
        <v>53</v>
      </c>
      <c r="D3" s="414" t="s">
        <v>325</v>
      </c>
      <c r="E3" s="415" t="s">
        <v>326</v>
      </c>
      <c r="F3" s="416" t="s">
        <v>327</v>
      </c>
      <c r="G3" s="417" t="s">
        <v>37</v>
      </c>
      <c r="H3" s="675"/>
      <c r="I3" s="418" t="s">
        <v>325</v>
      </c>
      <c r="J3" s="400" t="s">
        <v>362</v>
      </c>
      <c r="K3" s="415" t="s">
        <v>24</v>
      </c>
      <c r="L3" s="481" t="s">
        <v>363</v>
      </c>
      <c r="M3" s="415" t="s">
        <v>202</v>
      </c>
      <c r="N3" s="415" t="s">
        <v>203</v>
      </c>
      <c r="O3" s="415" t="s">
        <v>32</v>
      </c>
      <c r="P3" s="415" t="s">
        <v>231</v>
      </c>
      <c r="Q3" s="415" t="s">
        <v>25</v>
      </c>
      <c r="R3" s="400" t="s">
        <v>34</v>
      </c>
      <c r="S3" s="689"/>
      <c r="T3" s="418" t="s">
        <v>325</v>
      </c>
      <c r="U3" s="400" t="s">
        <v>362</v>
      </c>
      <c r="V3" s="415" t="s">
        <v>32</v>
      </c>
      <c r="W3" s="415" t="s">
        <v>25</v>
      </c>
      <c r="X3" s="400" t="s">
        <v>34</v>
      </c>
      <c r="Y3" s="675"/>
      <c r="Z3" s="472" t="s">
        <v>325</v>
      </c>
      <c r="AA3" s="473" t="s">
        <v>362</v>
      </c>
      <c r="AB3" s="470" t="s">
        <v>32</v>
      </c>
      <c r="AC3" s="474" t="s">
        <v>25</v>
      </c>
      <c r="AD3" s="474" t="s">
        <v>353</v>
      </c>
      <c r="AE3" s="474" t="s">
        <v>364</v>
      </c>
      <c r="AF3" s="474" t="s">
        <v>330</v>
      </c>
      <c r="AG3" s="473" t="s">
        <v>34</v>
      </c>
      <c r="AK3" s="173">
        <v>6</v>
      </c>
    </row>
    <row r="4" spans="1:37" ht="18" thickBot="1">
      <c r="A4" s="695"/>
      <c r="B4" s="696"/>
      <c r="C4" s="696"/>
      <c r="D4" s="696"/>
      <c r="E4" s="696"/>
      <c r="F4" s="696"/>
      <c r="G4" s="697"/>
      <c r="H4" s="675"/>
      <c r="I4" s="519"/>
      <c r="J4" s="520"/>
      <c r="K4" s="520"/>
      <c r="L4" s="520"/>
      <c r="M4" s="520"/>
      <c r="N4" s="520"/>
      <c r="O4" s="520"/>
      <c r="P4" s="520"/>
      <c r="Q4" s="520"/>
      <c r="R4" s="521"/>
      <c r="S4" s="689"/>
      <c r="T4" s="519"/>
      <c r="U4" s="520"/>
      <c r="V4" s="520"/>
      <c r="W4" s="520"/>
      <c r="X4" s="521"/>
      <c r="Y4" s="675"/>
      <c r="Z4" s="698"/>
      <c r="AA4" s="699"/>
      <c r="AB4" s="699"/>
      <c r="AC4" s="699"/>
      <c r="AD4" s="699"/>
      <c r="AE4" s="699"/>
      <c r="AF4" s="699"/>
      <c r="AG4" s="700"/>
    </row>
    <row r="5" spans="1:37" ht="60" customHeight="1">
      <c r="A5" s="419">
        <v>1</v>
      </c>
      <c r="B5" s="420" t="str">
        <f>IF(Adições!H14&lt;&gt;"",Adições!H14,"")</f>
        <v xml:space="preserve"> BP00064 </v>
      </c>
      <c r="C5" s="421" t="str">
        <f>Adições!K14</f>
        <v xml:space="preserve">RÉGUA 15/30 cm </v>
      </c>
      <c r="D5" s="466">
        <f>IF(B5&lt;&gt;"",Adições!D14,"")</f>
        <v>0.12</v>
      </c>
      <c r="E5" s="422">
        <f>IF(B5&lt;&gt;"",Adições!I14,"")</f>
        <v>6696</v>
      </c>
      <c r="F5" s="423" t="str">
        <f>IF(B5&lt;&gt;"",Adições!J14,"")</f>
        <v>Un.</v>
      </c>
      <c r="G5" s="424">
        <f>IF(B5&lt;&gt;"",D5*E5,"")</f>
        <v>803.52</v>
      </c>
      <c r="H5" s="675"/>
      <c r="I5" s="425">
        <f>IF(B5&lt;&gt;"",Adições!AQ14,"")</f>
        <v>0.63404482051558064</v>
      </c>
      <c r="J5" s="426">
        <f>IF(B5&lt;&gt;"",E5*I5,"")</f>
        <v>4245.5641181723277</v>
      </c>
      <c r="K5" s="426">
        <f>IF(B5&lt;&gt;"",Adições!T14,"")</f>
        <v>611.36123301681516</v>
      </c>
      <c r="L5" s="426">
        <f>IF(B5&lt;&gt;"",Adições!AC14,"")</f>
        <v>93.491804659600589</v>
      </c>
      <c r="M5" s="426">
        <f>IF(B5&lt;&gt;"",Adições!Z14,"")</f>
        <v>89.156846481618885</v>
      </c>
      <c r="N5" s="426">
        <f>IF(B5&lt;&gt;"",Adições!AB14,"")</f>
        <v>409.69693740362965</v>
      </c>
      <c r="O5" s="426">
        <f>IF(B5&lt;&gt;"",Adições!AP14,"")</f>
        <v>0</v>
      </c>
      <c r="P5" s="426">
        <f>IF(B5&lt;&gt;"",Adições!AD14,"")</f>
        <v>29.472044629332178</v>
      </c>
      <c r="Q5" s="426">
        <f>IF(B5&lt;&gt;"",Adições!X14,"")</f>
        <v>473.55022174094142</v>
      </c>
      <c r="R5" s="427">
        <f>IF(B5&lt;&gt;"",J5+K5+L5+M5+N5+O5+P5+Q5,"")</f>
        <v>5952.2932061042657</v>
      </c>
      <c r="S5" s="689"/>
      <c r="T5" s="467">
        <f ca="1">IF(B5&lt;&gt;"",Adições!BD14,"")</f>
        <v>0.94781000326352627</v>
      </c>
      <c r="U5" s="426">
        <f ca="1">IF(B5&lt;&gt;"",E5*T5,"")</f>
        <v>6346.5357818525717</v>
      </c>
      <c r="V5" s="426">
        <f ca="1">IF(B5&lt;&gt;"",Adições!BC14,"")</f>
        <v>253.86143127410287</v>
      </c>
      <c r="W5" s="426">
        <f ca="1">IF(B5&lt;&gt;"",Adições!BF14,"")</f>
        <v>618.78723873062575</v>
      </c>
      <c r="X5" s="468">
        <f ca="1">IF(B5&lt;&gt;"",U5+W5,"")</f>
        <v>6965.3230205831978</v>
      </c>
      <c r="Y5" s="675"/>
      <c r="Z5" s="425">
        <f ca="1">IF(B5&lt;&gt;"",Adições!BL14,"")</f>
        <v>1.2324888889312322</v>
      </c>
      <c r="AA5" s="426">
        <f t="shared" ref="AA5:AA34" ca="1" si="0">IF(B5&lt;&gt;"",E5*Z5,"")</f>
        <v>8252.7456002835315</v>
      </c>
      <c r="AB5" s="426">
        <f ca="1">IF(B5&lt;&gt;"",Adições!BK14,"")</f>
        <v>1815.604032062377</v>
      </c>
      <c r="AC5" s="475">
        <f ca="1">IF(B5&lt;&gt;"",Adições!BN14,"")</f>
        <v>804.64269602764432</v>
      </c>
      <c r="AD5" s="428" t="str">
        <f>IF(B5&lt;&gt;"",Adições!BO14,"")</f>
        <v>N</v>
      </c>
      <c r="AE5" s="475" t="str">
        <f>IF(B5&lt;&gt;"",Adições!BP14,"")</f>
        <v>N</v>
      </c>
      <c r="AF5" s="475" t="str">
        <f>IF(B5&lt;&gt;"",Adições!BQ14,"")</f>
        <v>N</v>
      </c>
      <c r="AG5" s="476">
        <f ca="1">IF(B5&lt;&gt;"",IF(Adições!AE14="N",AA5+AC5,AA5+AC5+AF5),"")</f>
        <v>9057.3882963111755</v>
      </c>
      <c r="AH5" s="507">
        <f ca="1">AK5+Z5</f>
        <v>1.8887388889312322</v>
      </c>
      <c r="AI5" s="410">
        <v>0.25</v>
      </c>
      <c r="AJ5" s="410">
        <f>AI5/0.8</f>
        <v>0.3125</v>
      </c>
      <c r="AK5" s="410">
        <f>(AJ5*15%+(AJ5-AI5))*$AK$3</f>
        <v>0.65625</v>
      </c>
    </row>
    <row r="6" spans="1:37" ht="60" customHeight="1">
      <c r="A6" s="429">
        <v>2</v>
      </c>
      <c r="B6" s="420" t="str">
        <f>IF(Adições!H15&lt;&gt;"",Adições!H15,"")</f>
        <v>BP00068</v>
      </c>
      <c r="C6" s="421" t="str">
        <f>Adições!K15</f>
        <v>RÉGUA ALUMÍNIO 30CM</v>
      </c>
      <c r="D6" s="466">
        <f>IF(B6&lt;&gt;"",Adições!D15,"")</f>
        <v>0.04</v>
      </c>
      <c r="E6" s="422">
        <f>IF(B6&lt;&gt;"",Adições!I15,"")</f>
        <v>21168</v>
      </c>
      <c r="F6" s="423" t="str">
        <f>IF(B6&lt;&gt;"",Adições!J15,"")</f>
        <v>Un.</v>
      </c>
      <c r="G6" s="424">
        <f t="shared" ref="G6:G34" si="1">IF(B6&lt;&gt;"",D6*E6,"")</f>
        <v>846.72</v>
      </c>
      <c r="H6" s="675"/>
      <c r="I6" s="425">
        <f>IF(B6&lt;&gt;"",Adições!AQ15,"")</f>
        <v>0.21404675801389869</v>
      </c>
      <c r="J6" s="426">
        <f t="shared" ref="J6:J34" si="2">IF(B6&lt;&gt;"",E6*I6,"")</f>
        <v>4530.9417736382075</v>
      </c>
      <c r="K6" s="426">
        <f>IF(B6&lt;&gt;"",Adições!T15,"")</f>
        <v>652.45561540390179</v>
      </c>
      <c r="L6" s="426">
        <f>IF(B6&lt;&gt;"",Adições!AC15,"")</f>
        <v>99.776121955582568</v>
      </c>
      <c r="M6" s="426">
        <f>IF(B6&lt;&gt;"",Adições!Z15,"")</f>
        <v>95.149777246402365</v>
      </c>
      <c r="N6" s="426">
        <f>IF(B6&lt;&gt;"",Adições!AB15,"")</f>
        <v>437.23588115608703</v>
      </c>
      <c r="O6" s="426">
        <f>IF(B6&lt;&gt;"",Adições!AP15,"")</f>
        <v>0</v>
      </c>
      <c r="P6" s="426">
        <f>IF(B6&lt;&gt;"",Adições!AD15,"")</f>
        <v>31.45309185038446</v>
      </c>
      <c r="Q6" s="426">
        <f>IF(B6&lt;&gt;"",Adições!X15,"")</f>
        <v>505.38124543160569</v>
      </c>
      <c r="R6" s="427">
        <f t="shared" ref="R6:R34" si="3">IF(B6&lt;&gt;"",J6+K6+L6+M6+N6+O6+P6+Q6,"")</f>
        <v>6352.3935066821714</v>
      </c>
      <c r="S6" s="689"/>
      <c r="T6" s="467">
        <f ca="1">IF(B6&lt;&gt;"",Adições!BD15,"")</f>
        <v>0.31997053180992779</v>
      </c>
      <c r="U6" s="426">
        <f t="shared" ref="U6:U34" ca="1" si="4">IF(B6&lt;&gt;"",E6*T6,"")</f>
        <v>6773.1362173525513</v>
      </c>
      <c r="V6" s="426">
        <f ca="1">IF(B6&lt;&gt;"",Adições!BC15,"")</f>
        <v>270.92544869410204</v>
      </c>
      <c r="W6" s="426">
        <f ca="1">IF(B6&lt;&gt;"",Adições!BF15,"")</f>
        <v>660.38078119187378</v>
      </c>
      <c r="X6" s="468">
        <f t="shared" ref="X6:X34" ca="1" si="5">IF(B6&lt;&gt;"",U6+W6,"")</f>
        <v>7433.5169985444254</v>
      </c>
      <c r="Y6" s="675"/>
      <c r="Z6" s="425">
        <f ca="1">IF(B6&lt;&gt;"",Adições!BL15,"")</f>
        <v>0.41607508243559521</v>
      </c>
      <c r="AA6" s="426">
        <f t="shared" ca="1" si="0"/>
        <v>8807.4773449966797</v>
      </c>
      <c r="AB6" s="426">
        <f ca="1">IF(B6&lt;&gt;"",Adições!BK15,"")</f>
        <v>1937.6450158992695</v>
      </c>
      <c r="AC6" s="475">
        <f ca="1">IF(B6&lt;&gt;"",Adições!BN15,"")</f>
        <v>858.7290411371763</v>
      </c>
      <c r="AD6" s="428" t="str">
        <f>IF(B6&lt;&gt;"",Adições!BO15,"")</f>
        <v>N</v>
      </c>
      <c r="AE6" s="475" t="str">
        <f>IF(B6&lt;&gt;"",Adições!BP15,"")</f>
        <v>N</v>
      </c>
      <c r="AF6" s="475" t="str">
        <f>IF(B6&lt;&gt;"",Adições!BQ15,"")</f>
        <v>N</v>
      </c>
      <c r="AG6" s="476">
        <f ca="1">IF(B6&lt;&gt;"",IF(Adições!AE15="N",AA6+AC6,AA6+AC6+AF6),"")</f>
        <v>9666.2063861338556</v>
      </c>
      <c r="AH6" s="507">
        <f t="shared" ref="AH6:AH11" ca="1" si="6">AK6+Z6</f>
        <v>0.75732508243559526</v>
      </c>
      <c r="AI6" s="410">
        <v>0.13</v>
      </c>
      <c r="AJ6" s="410">
        <f t="shared" ref="AJ6:AJ11" si="7">AI6/0.8</f>
        <v>0.16250000000000001</v>
      </c>
      <c r="AK6" s="410">
        <f t="shared" ref="AK6:AK11" si="8">(AJ6*15%+(AJ6-AI6))*$AK$3</f>
        <v>0.34125</v>
      </c>
    </row>
    <row r="7" spans="1:37" ht="60" customHeight="1">
      <c r="A7" s="429">
        <v>3</v>
      </c>
      <c r="B7" s="420" t="str">
        <f>IF(Adições!H16&lt;&gt;"",Adições!H16,"")</f>
        <v>BP00069</v>
      </c>
      <c r="C7" s="421" t="str">
        <f>Adições!K16</f>
        <v>RÉGUA ALUMÍNIO 30CM</v>
      </c>
      <c r="D7" s="466">
        <f>IF(B7&lt;&gt;"",Adições!D16,"")</f>
        <v>0.05</v>
      </c>
      <c r="E7" s="422">
        <f>IF(B7&lt;&gt;"",Adições!I16,"")</f>
        <v>7056</v>
      </c>
      <c r="F7" s="423" t="str">
        <f>IF(B7&lt;&gt;"",Adições!J16,"")</f>
        <v>Un.</v>
      </c>
      <c r="G7" s="424">
        <f t="shared" si="1"/>
        <v>352.8</v>
      </c>
      <c r="H7" s="675"/>
      <c r="I7" s="425">
        <f>IF(B7&lt;&gt;"",Adições!AQ16,"")</f>
        <v>0.26222280769334272</v>
      </c>
      <c r="J7" s="426">
        <f t="shared" si="2"/>
        <v>1850.2441310842262</v>
      </c>
      <c r="K7" s="426">
        <f>IF(B7&lt;&gt;"",Adições!T16,"")</f>
        <v>266.43515487612859</v>
      </c>
      <c r="L7" s="426">
        <f>IF(B7&lt;&gt;"",Adições!AC16,"")</f>
        <v>40.744329389698677</v>
      </c>
      <c r="M7" s="426">
        <f>IF(B7&lt;&gt;"",Adições!Z16,"")</f>
        <v>38.855126752768754</v>
      </c>
      <c r="N7" s="426">
        <f>IF(B7&lt;&gt;"",Adições!AB16,"")</f>
        <v>178.54855864962786</v>
      </c>
      <c r="O7" s="426">
        <f>IF(B7&lt;&gt;"",Adições!AP16,"")</f>
        <v>0</v>
      </c>
      <c r="P7" s="426">
        <f>IF(B7&lt;&gt;"",Adições!AD16,"")</f>
        <v>12.84410648117807</v>
      </c>
      <c r="Q7" s="426">
        <f>IF(B7&lt;&gt;"",Adições!X16,"")</f>
        <v>206.37623038113463</v>
      </c>
      <c r="R7" s="427">
        <f t="shared" si="3"/>
        <v>2594.0476376147626</v>
      </c>
      <c r="S7" s="689"/>
      <c r="T7" s="467">
        <f ca="1">IF(B7&lt;&gt;"",Adições!BD16,"")</f>
        <v>0.39198711538010395</v>
      </c>
      <c r="U7" s="426">
        <f t="shared" ca="1" si="4"/>
        <v>2765.8610861220136</v>
      </c>
      <c r="V7" s="426">
        <f ca="1">IF(B7&lt;&gt;"",Adições!BC16,"")</f>
        <v>110.63444344488055</v>
      </c>
      <c r="W7" s="426">
        <f ca="1">IF(B7&lt;&gt;"",Adições!BF16,"")</f>
        <v>269.67145589689636</v>
      </c>
      <c r="X7" s="468">
        <f t="shared" ca="1" si="5"/>
        <v>3035.5325420189101</v>
      </c>
      <c r="Y7" s="675"/>
      <c r="Z7" s="425">
        <f ca="1">IF(B7&lt;&gt;"",Adições!BL16,"")</f>
        <v>0.50972216229697032</v>
      </c>
      <c r="AA7" s="426">
        <f t="shared" ca="1" si="0"/>
        <v>3596.5995771674225</v>
      </c>
      <c r="AB7" s="426">
        <f ca="1">IF(B7&lt;&gt;"",Adições!BK16,"")</f>
        <v>791.25190697683308</v>
      </c>
      <c r="AC7" s="475">
        <f ca="1">IF(B7&lt;&gt;"",Adições!BN16,"")</f>
        <v>350.66845877382377</v>
      </c>
      <c r="AD7" s="428" t="str">
        <f>IF(B7&lt;&gt;"",Adições!BO16,"")</f>
        <v>N</v>
      </c>
      <c r="AE7" s="475" t="str">
        <f>IF(B7&lt;&gt;"",Adições!BP16,"")</f>
        <v>N</v>
      </c>
      <c r="AF7" s="475" t="str">
        <f>IF(B7&lt;&gt;"",Adições!BQ16,"")</f>
        <v>N</v>
      </c>
      <c r="AG7" s="476">
        <f ca="1">IF(B7&lt;&gt;"",IF(Adições!AE16="N",AA7+AC7,AA7+AC7+AF7),"")</f>
        <v>3947.2680359412461</v>
      </c>
      <c r="AH7" s="507">
        <f t="shared" ca="1" si="6"/>
        <v>0.85097216229697037</v>
      </c>
      <c r="AI7" s="410">
        <v>0.13</v>
      </c>
      <c r="AJ7" s="410">
        <f t="shared" si="7"/>
        <v>0.16250000000000001</v>
      </c>
      <c r="AK7" s="410">
        <f t="shared" si="8"/>
        <v>0.34125</v>
      </c>
    </row>
    <row r="8" spans="1:37" ht="60" customHeight="1">
      <c r="A8" s="429">
        <v>4</v>
      </c>
      <c r="B8" s="420" t="str">
        <f>IF(Adições!H17&lt;&gt;"",Adições!H17,"")</f>
        <v>BP00025</v>
      </c>
      <c r="C8" s="421" t="str">
        <f>Adições!K17</f>
        <v>COMPASSO</v>
      </c>
      <c r="D8" s="466">
        <f>IF(B8&lt;&gt;"",Adições!D17,"")</f>
        <v>0.11</v>
      </c>
      <c r="E8" s="422">
        <f>IF(B8&lt;&gt;"",Adições!I17,"")</f>
        <v>13464</v>
      </c>
      <c r="F8" s="423" t="str">
        <f>IF(B8&lt;&gt;"",Adições!J17,"")</f>
        <v>Un.</v>
      </c>
      <c r="G8" s="424">
        <f t="shared" si="1"/>
        <v>1481.04</v>
      </c>
      <c r="H8" s="675"/>
      <c r="I8" s="425">
        <f>IF(B8&lt;&gt;"",Adições!AQ17,"")</f>
        <v>0.57865645769468821</v>
      </c>
      <c r="J8" s="426">
        <f t="shared" si="2"/>
        <v>7791.0305464012818</v>
      </c>
      <c r="K8" s="426">
        <f>IF(B8&lt;&gt;"",Adições!T17,"")</f>
        <v>1121.9083986817845</v>
      </c>
      <c r="L8" s="426">
        <f>IF(B8&lt;&gt;"",Adições!AC17,"")</f>
        <v>171.56671897224763</v>
      </c>
      <c r="M8" s="426">
        <f>IF(B8&lt;&gt;"",Adições!Z17,"")</f>
        <v>163.61164147442693</v>
      </c>
      <c r="N8" s="426">
        <f>IF(B8&lt;&gt;"",Adições!AB17,"")</f>
        <v>751.83444772772384</v>
      </c>
      <c r="O8" s="426">
        <f>IF(B8&lt;&gt;"",Adições!AP17,"")</f>
        <v>0</v>
      </c>
      <c r="P8" s="426">
        <f>IF(B8&lt;&gt;"",Adições!AD17,"")</f>
        <v>54.084120173617094</v>
      </c>
      <c r="Q8" s="426">
        <f>IF(B8&lt;&gt;"",Adições!X17,"")</f>
        <v>869.01154714559914</v>
      </c>
      <c r="R8" s="427">
        <f t="shared" si="3"/>
        <v>10923.04742057668</v>
      </c>
      <c r="S8" s="689"/>
      <c r="T8" s="467">
        <f ca="1">IF(B8&lt;&gt;"",Adições!BD17,"")</f>
        <v>0.8650120012179574</v>
      </c>
      <c r="U8" s="426">
        <f t="shared" ca="1" si="4"/>
        <v>11646.521584398579</v>
      </c>
      <c r="V8" s="426">
        <f ca="1">IF(B8&lt;&gt;"",Adições!BC17,"")</f>
        <v>465.86086337594315</v>
      </c>
      <c r="W8" s="426">
        <f ca="1">IF(B8&lt;&gt;"",Adições!BF17,"")</f>
        <v>1135.5358544788614</v>
      </c>
      <c r="X8" s="468">
        <f t="shared" ca="1" si="5"/>
        <v>12782.05743887744</v>
      </c>
      <c r="Y8" s="675"/>
      <c r="Z8" s="425">
        <f ca="1">IF(B8&lt;&gt;"",Adições!BL17,"")</f>
        <v>1.1248221443352735</v>
      </c>
      <c r="AA8" s="426">
        <f t="shared" ca="1" si="0"/>
        <v>15144.605351330123</v>
      </c>
      <c r="AB8" s="426">
        <f ca="1">IF(B8&lt;&gt;"",Adições!BK17,"")</f>
        <v>3331.8131772926272</v>
      </c>
      <c r="AC8" s="475">
        <f ca="1">IF(B8&lt;&gt;"",Adições!BN17,"")</f>
        <v>1476.5990217546871</v>
      </c>
      <c r="AD8" s="428" t="str">
        <f>IF(B8&lt;&gt;"",Adições!BO17,"")</f>
        <v>N</v>
      </c>
      <c r="AE8" s="475" t="str">
        <f>IF(B8&lt;&gt;"",Adições!BP17,"")</f>
        <v>N</v>
      </c>
      <c r="AF8" s="475" t="str">
        <f>IF(B8&lt;&gt;"",Adições!BQ17,"")</f>
        <v>N</v>
      </c>
      <c r="AG8" s="476">
        <f ca="1">IF(B8&lt;&gt;"",IF(Adições!AE17="N",AA8+AC8,AA8+AC8+AF8),"")</f>
        <v>16621.204373084809</v>
      </c>
      <c r="AH8" s="507">
        <f t="shared" ca="1" si="6"/>
        <v>2.3323221443352731</v>
      </c>
      <c r="AI8" s="410">
        <v>0.46</v>
      </c>
      <c r="AJ8" s="410">
        <f t="shared" si="7"/>
        <v>0.57499999999999996</v>
      </c>
      <c r="AK8" s="410">
        <f t="shared" si="8"/>
        <v>1.2074999999999996</v>
      </c>
    </row>
    <row r="9" spans="1:37" ht="60" customHeight="1">
      <c r="A9" s="429">
        <v>5</v>
      </c>
      <c r="B9" s="420" t="str">
        <f>IF(Adições!H18&lt;&gt;"",Adições!H18,"")</f>
        <v>BP00039</v>
      </c>
      <c r="C9" s="421" t="str">
        <f>Adições!K18</f>
        <v>MARCADOR DE TEXTO - AMARELO</v>
      </c>
      <c r="D9" s="466">
        <f>IF(B9&lt;&gt;"",Adições!D18,"")</f>
        <v>0.05</v>
      </c>
      <c r="E9" s="422">
        <f>IF(B9&lt;&gt;"",Adições!I18,"")</f>
        <v>65280</v>
      </c>
      <c r="F9" s="423" t="str">
        <f>IF(B9&lt;&gt;"",Adições!J18,"")</f>
        <v>Un.</v>
      </c>
      <c r="G9" s="424">
        <f t="shared" si="1"/>
        <v>3264</v>
      </c>
      <c r="H9" s="675"/>
      <c r="I9" s="425">
        <f>IF(B9&lt;&gt;"",Adições!AQ18,"")</f>
        <v>0.26608654687626149</v>
      </c>
      <c r="J9" s="426">
        <f t="shared" si="2"/>
        <v>17370.129780082349</v>
      </c>
      <c r="K9" s="426">
        <f>IF(B9&lt;&gt;"",Adições!T18,"")</f>
        <v>2501.2986883318581</v>
      </c>
      <c r="L9" s="426">
        <f>IF(B9&lt;&gt;"",Adições!AC18,"")</f>
        <v>382.50859841223416</v>
      </c>
      <c r="M9" s="426">
        <f>IF(B9&lt;&gt;"",Adições!Z18,"")</f>
        <v>364.77272538172934</v>
      </c>
      <c r="N9" s="426">
        <f>IF(B9&lt;&gt;"",Adições!AB18,"")</f>
        <v>1676.2175237779468</v>
      </c>
      <c r="O9" s="426">
        <f>IF(B9&lt;&gt;"",Adições!AP18,"")</f>
        <v>0</v>
      </c>
      <c r="P9" s="426">
        <f>IF(B9&lt;&gt;"",Adições!AD18,"")</f>
        <v>120.58073458475077</v>
      </c>
      <c r="Q9" s="426">
        <f>IF(B9&lt;&gt;"",Adições!X18,"")</f>
        <v>1937.4642756703854</v>
      </c>
      <c r="R9" s="427">
        <f t="shared" si="3"/>
        <v>24352.972326241255</v>
      </c>
      <c r="S9" s="689"/>
      <c r="T9" s="467">
        <f ca="1">IF(B9&lt;&gt;"",Adições!BD18,"")</f>
        <v>0.39776287527763576</v>
      </c>
      <c r="U9" s="426">
        <f t="shared" ca="1" si="4"/>
        <v>25965.960498124063</v>
      </c>
      <c r="V9" s="426">
        <f ca="1">IF(B9&lt;&gt;"",Adições!BC18,"")</f>
        <v>1038.6384199249626</v>
      </c>
      <c r="W9" s="426">
        <f ca="1">IF(B9&lt;&gt;"",Adições!BF18,"")</f>
        <v>2531.681148567096</v>
      </c>
      <c r="X9" s="468">
        <f t="shared" ca="1" si="5"/>
        <v>28497.641646691158</v>
      </c>
      <c r="Y9" s="675"/>
      <c r="Z9" s="425">
        <f ca="1">IF(B9&lt;&gt;"",Adições!BL18,"")</f>
        <v>0.51723269697621166</v>
      </c>
      <c r="AA9" s="426">
        <f t="shared" ca="1" si="0"/>
        <v>33764.950458607098</v>
      </c>
      <c r="AB9" s="426">
        <f ca="1">IF(B9&lt;&gt;"",Adições!BK18,"")</f>
        <v>7428.2891008935612</v>
      </c>
      <c r="AC9" s="475">
        <f ca="1">IF(B9&lt;&gt;"",Adições!BN18,"")</f>
        <v>3292.082669714192</v>
      </c>
      <c r="AD9" s="428" t="str">
        <f>IF(B9&lt;&gt;"",Adições!BO18,"")</f>
        <v>N</v>
      </c>
      <c r="AE9" s="475" t="str">
        <f>IF(B9&lt;&gt;"",Adições!BP18,"")</f>
        <v>N</v>
      </c>
      <c r="AF9" s="475" t="str">
        <f>IF(B9&lt;&gt;"",Adições!BQ18,"")</f>
        <v>N</v>
      </c>
      <c r="AG9" s="476">
        <f ca="1">IF(B9&lt;&gt;"",IF(Adições!AE18="N",AA9+AC9,AA9+AC9+AF9),"")</f>
        <v>37057.033128321287</v>
      </c>
      <c r="AH9" s="507">
        <f t="shared" ca="1" si="6"/>
        <v>1.7247326969762113</v>
      </c>
      <c r="AI9" s="410">
        <v>0.46</v>
      </c>
      <c r="AJ9" s="410">
        <f t="shared" si="7"/>
        <v>0.57499999999999996</v>
      </c>
      <c r="AK9" s="410">
        <f t="shared" si="8"/>
        <v>1.2074999999999996</v>
      </c>
    </row>
    <row r="10" spans="1:37" ht="60" customHeight="1">
      <c r="A10" s="429">
        <v>6</v>
      </c>
      <c r="B10" s="420" t="str">
        <f>IF(Adições!H19&lt;&gt;"",Adições!H19,"")</f>
        <v>BP00065</v>
      </c>
      <c r="C10" s="421" t="str">
        <f>Adições!K19</f>
        <v>RÉGUA 20 cm</v>
      </c>
      <c r="D10" s="466">
        <f>IF(B10&lt;&gt;"",Adições!D19,"")</f>
        <v>0.04</v>
      </c>
      <c r="E10" s="422">
        <f>IF(B10&lt;&gt;"",Adições!I19,"")</f>
        <v>30240</v>
      </c>
      <c r="F10" s="423" t="str">
        <f>IF(B10&lt;&gt;"",Adições!J19,"")</f>
        <v>Un.</v>
      </c>
      <c r="G10" s="424">
        <f t="shared" si="1"/>
        <v>1209.6000000000001</v>
      </c>
      <c r="H10" s="675"/>
      <c r="I10" s="425">
        <f>IF(B10&lt;&gt;"",Adições!AQ19,"")</f>
        <v>0.20852713060972911</v>
      </c>
      <c r="J10" s="426">
        <f t="shared" si="2"/>
        <v>6305.8604296382082</v>
      </c>
      <c r="K10" s="426">
        <f>IF(B10&lt;&gt;"",Adições!T19,"")</f>
        <v>908.04390186790192</v>
      </c>
      <c r="L10" s="426">
        <f>IF(B10&lt;&gt;"",Adições!AC19,"")</f>
        <v>138.86170484977484</v>
      </c>
      <c r="M10" s="426">
        <f>IF(B10&lt;&gt;"",Adições!Z19,"")</f>
        <v>132.42306902240239</v>
      </c>
      <c r="N10" s="426">
        <f>IF(B10&lt;&gt;"",Adições!AB19,"")</f>
        <v>608.51553146008712</v>
      </c>
      <c r="O10" s="426">
        <f>IF(B10&lt;&gt;"",Adições!AP19,"")</f>
        <v>0</v>
      </c>
      <c r="P10" s="426">
        <f>IF(B10&lt;&gt;"",Adições!AD19,"")</f>
        <v>43.774300619594015</v>
      </c>
      <c r="Q10" s="426">
        <f>IF(B10&lt;&gt;"",Adições!X19,"")</f>
        <v>937.80756309579431</v>
      </c>
      <c r="R10" s="427">
        <f t="shared" si="3"/>
        <v>9075.2865005537624</v>
      </c>
      <c r="S10" s="689"/>
      <c r="T10" s="467">
        <f ca="1">IF(B10&lt;&gt;"",Adições!BD19,"")</f>
        <v>0.3117194462420253</v>
      </c>
      <c r="U10" s="426">
        <f t="shared" ca="1" si="4"/>
        <v>9426.3960543588455</v>
      </c>
      <c r="V10" s="426">
        <f ca="1">IF(B10&lt;&gt;"",Adições!BC19,"")</f>
        <v>377.05584217435381</v>
      </c>
      <c r="W10" s="426">
        <f ca="1">IF(B10&lt;&gt;"",Adições!BF19,"")</f>
        <v>1225.4314870666499</v>
      </c>
      <c r="X10" s="468">
        <f t="shared" ca="1" si="5"/>
        <v>10651.827541425495</v>
      </c>
      <c r="Y10" s="675"/>
      <c r="Z10" s="425">
        <f ca="1">IF(B10&lt;&gt;"",Adições!BL19,"")</f>
        <v>0.40534574717953631</v>
      </c>
      <c r="AA10" s="426">
        <f t="shared" ca="1" si="0"/>
        <v>12257.655394709178</v>
      </c>
      <c r="AB10" s="426">
        <f ca="1">IF(B10&lt;&gt;"",Adições!BK19,"")</f>
        <v>2696.6841868360193</v>
      </c>
      <c r="AC10" s="475">
        <f ca="1">IF(B10&lt;&gt;"",Adições!BN19,"")</f>
        <v>1593.4952013121931</v>
      </c>
      <c r="AD10" s="428" t="str">
        <f>IF(B10&lt;&gt;"",Adições!BO19,"")</f>
        <v>N</v>
      </c>
      <c r="AE10" s="475" t="str">
        <f>IF(B10&lt;&gt;"",Adições!BP19,"")</f>
        <v>N</v>
      </c>
      <c r="AF10" s="475" t="str">
        <f>IF(B10&lt;&gt;"",Adições!BQ19,"")</f>
        <v>N</v>
      </c>
      <c r="AG10" s="476">
        <f ca="1">IF(B10&lt;&gt;"",IF(Adições!AE19="N",AA10+AC10,AA10+AC10+AF10),"")</f>
        <v>13851.150596021371</v>
      </c>
      <c r="AH10" s="507">
        <f t="shared" ca="1" si="6"/>
        <v>0.87784574717953623</v>
      </c>
      <c r="AI10" s="410">
        <v>0.18</v>
      </c>
      <c r="AJ10" s="410">
        <f t="shared" si="7"/>
        <v>0.22499999999999998</v>
      </c>
      <c r="AK10" s="410">
        <f t="shared" si="8"/>
        <v>0.47249999999999992</v>
      </c>
    </row>
    <row r="11" spans="1:37" ht="60" customHeight="1">
      <c r="A11" s="429">
        <v>7</v>
      </c>
      <c r="B11" s="420" t="str">
        <f>IF(Adições!H20&lt;&gt;"",Adições!H20,"")</f>
        <v>BP00066</v>
      </c>
      <c r="C11" s="421" t="str">
        <f>Adições!K20</f>
        <v>RÉGUA 30 cm COLOR</v>
      </c>
      <c r="D11" s="466">
        <f>IF(B11&lt;&gt;"",Adições!D20,"")</f>
        <v>0.06</v>
      </c>
      <c r="E11" s="422">
        <f>IF(B11&lt;&gt;"",Adições!I20,"")</f>
        <v>24624</v>
      </c>
      <c r="F11" s="423" t="str">
        <f>IF(B11&lt;&gt;"",Adições!J20,"")</f>
        <v>Un.</v>
      </c>
      <c r="G11" s="424">
        <f t="shared" si="1"/>
        <v>1477.44</v>
      </c>
      <c r="H11" s="675"/>
      <c r="I11" s="425">
        <f>IF(B11&lt;&gt;"",Adições!AQ20,"")</f>
        <v>0.31474096426406689</v>
      </c>
      <c r="J11" s="426">
        <f t="shared" si="2"/>
        <v>7750.1815040383835</v>
      </c>
      <c r="K11" s="426">
        <f>IF(B11&lt;&gt;"",Adições!T20,"")</f>
        <v>1116.0261365815272</v>
      </c>
      <c r="L11" s="426">
        <f>IF(B11&lt;&gt;"",Adições!AC20,"")</f>
        <v>170.66717992800679</v>
      </c>
      <c r="M11" s="426">
        <f>IF(B11&lt;&gt;"",Adições!Z20,"")</f>
        <v>162.75381158480607</v>
      </c>
      <c r="N11" s="426">
        <f>IF(B11&lt;&gt;"",Adições!AB20,"")</f>
        <v>747.89251513970407</v>
      </c>
      <c r="O11" s="426">
        <f>IF(B11&lt;&gt;"",Adições!AP20,"")</f>
        <v>0</v>
      </c>
      <c r="P11" s="426">
        <f>IF(B11&lt;&gt;"",Adições!AD20,"")</f>
        <v>53.800552486008336</v>
      </c>
      <c r="Q11" s="426">
        <f>IF(B11&lt;&gt;"",Adições!X20,"")</f>
        <v>864.45524496044129</v>
      </c>
      <c r="R11" s="427">
        <f t="shared" si="3"/>
        <v>10865.776944718877</v>
      </c>
      <c r="S11" s="689"/>
      <c r="T11" s="467">
        <f ca="1">IF(B11&lt;&gt;"",Adições!BD20,"")</f>
        <v>0.47049455293036352</v>
      </c>
      <c r="U11" s="426">
        <f t="shared" ca="1" si="4"/>
        <v>11585.457871357272</v>
      </c>
      <c r="V11" s="426">
        <f ca="1">IF(B11&lt;&gt;"",Adições!BC20,"")</f>
        <v>463.41831485429088</v>
      </c>
      <c r="W11" s="426">
        <f ca="1">IF(B11&lt;&gt;"",Adições!BF20,"")</f>
        <v>1129.5821424573342</v>
      </c>
      <c r="X11" s="468">
        <f t="shared" ca="1" si="5"/>
        <v>12715.040013814607</v>
      </c>
      <c r="Y11" s="675"/>
      <c r="Z11" s="425">
        <f ca="1">IF(B11&lt;&gt;"",Adições!BL20,"")</f>
        <v>0.6118096525597787</v>
      </c>
      <c r="AA11" s="426">
        <f t="shared" ca="1" si="0"/>
        <v>15065.200884631991</v>
      </c>
      <c r="AB11" s="426">
        <f ca="1">IF(B11&lt;&gt;"",Adições!BK20,"")</f>
        <v>3314.3441946190378</v>
      </c>
      <c r="AC11" s="475">
        <f ca="1">IF(B11&lt;&gt;"",Adições!BN20,"")</f>
        <v>1468.857086251619</v>
      </c>
      <c r="AD11" s="428" t="str">
        <f>IF(B11&lt;&gt;"",Adições!BO20,"")</f>
        <v>N</v>
      </c>
      <c r="AE11" s="475" t="str">
        <f>IF(B11&lt;&gt;"",Adições!BP20,"")</f>
        <v>N</v>
      </c>
      <c r="AF11" s="475" t="str">
        <f>IF(B11&lt;&gt;"",Adições!BQ20,"")</f>
        <v>N</v>
      </c>
      <c r="AG11" s="476">
        <f ca="1">IF(B11&lt;&gt;"",IF(Adições!AE20="N",AA11+AC11,AA11+AC11+AF11),"")</f>
        <v>16534.057970883609</v>
      </c>
      <c r="AH11" s="507">
        <f t="shared" ca="1" si="6"/>
        <v>3.9718096525597777</v>
      </c>
      <c r="AI11" s="410">
        <v>1.28</v>
      </c>
      <c r="AJ11" s="410">
        <f t="shared" si="7"/>
        <v>1.5999999999999999</v>
      </c>
      <c r="AK11" s="410">
        <f t="shared" si="8"/>
        <v>3.359999999999999</v>
      </c>
    </row>
    <row r="12" spans="1:37" ht="60" customHeight="1">
      <c r="A12" s="429">
        <v>8</v>
      </c>
      <c r="B12" s="420" t="str">
        <f>IF(Adições!H21&lt;&gt;"",Adições!H21,"")</f>
        <v>BP00067</v>
      </c>
      <c r="C12" s="421" t="str">
        <f>Adições!K21</f>
        <v>RÉGUA 30 cm TRANSPARENTE</v>
      </c>
      <c r="D12" s="466">
        <f>IF(B12&lt;&gt;"",Adições!D21,"")</f>
        <v>0.06</v>
      </c>
      <c r="E12" s="422">
        <f>IF(B12&lt;&gt;"",Adições!I21,"")</f>
        <v>15984</v>
      </c>
      <c r="F12" s="423" t="str">
        <f>IF(B12&lt;&gt;"",Adições!J21,"")</f>
        <v>Un.</v>
      </c>
      <c r="G12" s="424">
        <f t="shared" si="1"/>
        <v>959.04</v>
      </c>
      <c r="H12" s="675"/>
      <c r="I12" s="425">
        <f>IF(B12&lt;&gt;"",Adições!AQ21,"")</f>
        <v>0.31474096426406684</v>
      </c>
      <c r="J12" s="426">
        <f t="shared" si="2"/>
        <v>5030.8195727968441</v>
      </c>
      <c r="K12" s="426">
        <f>IF(B12&lt;&gt;"",Adições!T21,"")</f>
        <v>724.43801848274552</v>
      </c>
      <c r="L12" s="426">
        <f>IF(B12&lt;&gt;"",Adições!AC21,"")</f>
        <v>110.78395890063595</v>
      </c>
      <c r="M12" s="426">
        <f>IF(B12&lt;&gt;"",Adições!Z21,"")</f>
        <v>105.64721102873374</v>
      </c>
      <c r="N12" s="426">
        <f>IF(B12&lt;&gt;"",Adições!AB21,"")</f>
        <v>485.47408877489545</v>
      </c>
      <c r="O12" s="426">
        <f>IF(B12&lt;&gt;"",Adições!AP21,"")</f>
        <v>0</v>
      </c>
      <c r="P12" s="426">
        <f>IF(B12&lt;&gt;"",Adições!AD21,"")</f>
        <v>34.923165648812422</v>
      </c>
      <c r="Q12" s="426">
        <f>IF(B12&lt;&gt;"",Adições!X21,"")</f>
        <v>561.13761514975999</v>
      </c>
      <c r="R12" s="427">
        <f t="shared" si="3"/>
        <v>7053.2236307824278</v>
      </c>
      <c r="S12" s="689"/>
      <c r="T12" s="467">
        <f ca="1">IF(B12&lt;&gt;"",Adições!BD21,"")</f>
        <v>0.47049455293036335</v>
      </c>
      <c r="U12" s="426">
        <f t="shared" ca="1" si="4"/>
        <v>7520.3849340389279</v>
      </c>
      <c r="V12" s="426">
        <f ca="1">IF(B12&lt;&gt;"",Adições!BC21,"")</f>
        <v>300.81539736155713</v>
      </c>
      <c r="W12" s="426">
        <f ca="1">IF(B12&lt;&gt;"",Adições!BF21,"")</f>
        <v>733.23753106879553</v>
      </c>
      <c r="X12" s="468">
        <f t="shared" ca="1" si="5"/>
        <v>8253.6224651077227</v>
      </c>
      <c r="Y12" s="675"/>
      <c r="Z12" s="425">
        <f ca="1">IF(B12&lt;&gt;"",Adições!BL21,"")</f>
        <v>0.61180965255977837</v>
      </c>
      <c r="AA12" s="426">
        <f t="shared" ca="1" si="0"/>
        <v>9779.1654865154978</v>
      </c>
      <c r="AB12" s="426">
        <f ca="1">IF(B12&lt;&gt;"",Adições!BK21,"")</f>
        <v>2151.4164070334095</v>
      </c>
      <c r="AC12" s="475">
        <f ca="1">IF(B12&lt;&gt;"",Adições!BN21,"")</f>
        <v>953.46863493526109</v>
      </c>
      <c r="AD12" s="428" t="str">
        <f>IF(B12&lt;&gt;"",Adições!BO21,"")</f>
        <v>N</v>
      </c>
      <c r="AE12" s="475" t="str">
        <f>IF(B12&lt;&gt;"",Adições!BP21,"")</f>
        <v>N</v>
      </c>
      <c r="AF12" s="475" t="str">
        <f>IF(B12&lt;&gt;"",Adições!BQ21,"")</f>
        <v>N</v>
      </c>
      <c r="AG12" s="476">
        <f ca="1">IF(B12&lt;&gt;"",IF(Adições!AE21="N",AA12+AC12,AA12+AC12+AF12),"")</f>
        <v>10732.634121450759</v>
      </c>
      <c r="AH12" s="507"/>
    </row>
    <row r="13" spans="1:37" ht="60" customHeight="1">
      <c r="A13" s="429">
        <v>9</v>
      </c>
      <c r="B13" s="420" t="str">
        <f>IF(Adições!H22&lt;&gt;"",Adições!H22,"")</f>
        <v>BP00119</v>
      </c>
      <c r="C13" s="421" t="str">
        <f>Adições!K22</f>
        <v>KIT 1 COMPASSO/1 BORRACHA/1 APONTADOR/4 RÉGUAS)</v>
      </c>
      <c r="D13" s="466">
        <f>IF(B13&lt;&gt;"",Adições!D22,"")</f>
        <v>0.43</v>
      </c>
      <c r="E13" s="422">
        <f>IF(B13&lt;&gt;"",Adições!I22,"")</f>
        <v>5136</v>
      </c>
      <c r="F13" s="423" t="str">
        <f>IF(B13&lt;&gt;"",Adições!J22,"")</f>
        <v>Un.</v>
      </c>
      <c r="G13" s="424">
        <f t="shared" si="1"/>
        <v>2208.48</v>
      </c>
      <c r="H13" s="675"/>
      <c r="I13" s="425">
        <f>IF(B13&lt;&gt;"",Adições!AQ22,"")</f>
        <v>2.2736620942407577</v>
      </c>
      <c r="J13" s="426">
        <f t="shared" si="2"/>
        <v>11677.528516020531</v>
      </c>
      <c r="K13" s="426">
        <f>IF(B13&lt;&gt;"",Adições!T22,"")</f>
        <v>1681.5641063069563</v>
      </c>
      <c r="L13" s="426">
        <f>IF(B13&lt;&gt;"",Adições!AC22,"")</f>
        <v>257.15150791237983</v>
      </c>
      <c r="M13" s="426">
        <f>IF(B13&lt;&gt;"",Adições!Z22,"")</f>
        <v>245.22809883643117</v>
      </c>
      <c r="N13" s="426">
        <f>IF(B13&lt;&gt;"",Adições!AB22,"")</f>
        <v>1126.8815017959812</v>
      </c>
      <c r="O13" s="426">
        <f>IF(B13&lt;&gt;"",Adições!AP22,"")</f>
        <v>0</v>
      </c>
      <c r="P13" s="426">
        <f>IF(B13&lt;&gt;"",Adições!AD22,"")</f>
        <v>81.063583543902269</v>
      </c>
      <c r="Q13" s="426">
        <f>IF(B13&lt;&gt;"",Adições!X22,"")</f>
        <v>1302.5115306769301</v>
      </c>
      <c r="R13" s="427">
        <f t="shared" si="3"/>
        <v>16371.928845093111</v>
      </c>
      <c r="S13" s="689"/>
      <c r="T13" s="467">
        <f ca="1">IF(B13&lt;&gt;"",Adições!BD22,"")</f>
        <v>3.398812839777047</v>
      </c>
      <c r="U13" s="426">
        <f t="shared" ca="1" si="4"/>
        <v>17456.302745094912</v>
      </c>
      <c r="V13" s="426">
        <f ca="1">IF(B13&lt;&gt;"",Adições!BC22,"")</f>
        <v>698.25210980379654</v>
      </c>
      <c r="W13" s="426">
        <f ca="1">IF(B13&lt;&gt;"",Adições!BF22,"")</f>
        <v>1701.9895176467539</v>
      </c>
      <c r="X13" s="468">
        <f t="shared" ca="1" si="5"/>
        <v>19158.292262741666</v>
      </c>
      <c r="Y13" s="675"/>
      <c r="Z13" s="425">
        <f ca="1">IF(B13&lt;&gt;"",Adições!BL22,"")</f>
        <v>4.4196611622143038</v>
      </c>
      <c r="AA13" s="426">
        <f t="shared" ca="1" si="0"/>
        <v>22699.379729132663</v>
      </c>
      <c r="AB13" s="426">
        <f ca="1">IF(B13&lt;&gt;"",Adições!BK22,"")</f>
        <v>4993.8635404091856</v>
      </c>
      <c r="AC13" s="475">
        <f ca="1">IF(B13&lt;&gt;"",Adições!BN22,"")</f>
        <v>2213.1895235904349</v>
      </c>
      <c r="AD13" s="428" t="str">
        <f>IF(B13&lt;&gt;"",Adições!BO22,"")</f>
        <v>N</v>
      </c>
      <c r="AE13" s="475" t="str">
        <f>IF(B13&lt;&gt;"",Adições!BP22,"")</f>
        <v>N</v>
      </c>
      <c r="AF13" s="475" t="str">
        <f>IF(B13&lt;&gt;"",Adições!BQ22,"")</f>
        <v>N</v>
      </c>
      <c r="AG13" s="476">
        <f ca="1">IF(B13&lt;&gt;"",IF(Adições!AE22="N",AA13+AC13,AA13+AC13+AF13),"")</f>
        <v>24912.569252723097</v>
      </c>
      <c r="AH13" s="507"/>
    </row>
    <row r="14" spans="1:37" ht="60" customHeight="1">
      <c r="A14" s="429">
        <v>10</v>
      </c>
      <c r="B14" s="420" t="str">
        <f>IF(Adições!H23&lt;&gt;"",Adições!H23,"")</f>
        <v xml:space="preserve"> BP00015 </v>
      </c>
      <c r="C14" s="421" t="str">
        <f>Adições!K23</f>
        <v>APONTADOR  GUITARRA - 2 UNIDADES</v>
      </c>
      <c r="D14" s="466">
        <f>IF(B14&lt;&gt;"",Adições!D23,"")</f>
        <v>0.05</v>
      </c>
      <c r="E14" s="422">
        <f>IF(B14&lt;&gt;"",Adições!I23,"")</f>
        <v>11328</v>
      </c>
      <c r="F14" s="423" t="str">
        <f>IF(B14&lt;&gt;"",Adições!J23,"")</f>
        <v>Un.</v>
      </c>
      <c r="G14" s="424">
        <f t="shared" si="1"/>
        <v>566.4</v>
      </c>
      <c r="H14" s="675"/>
      <c r="I14" s="425">
        <f>IF(B14&lt;&gt;"",Adições!AQ23,"")</f>
        <v>0.26487222884734413</v>
      </c>
      <c r="J14" s="426">
        <f t="shared" si="2"/>
        <v>3000.472608382714</v>
      </c>
      <c r="K14" s="426">
        <f>IF(B14&lt;&gt;"",Adições!T23,"")</f>
        <v>432.06805560711086</v>
      </c>
      <c r="L14" s="426">
        <f>IF(B14&lt;&gt;"",Adições!AC23,"")</f>
        <v>66.073574955254671</v>
      </c>
      <c r="M14" s="426">
        <f>IF(B14&lt;&gt;"",Adições!Z23,"")</f>
        <v>63.00992477603701</v>
      </c>
      <c r="N14" s="426">
        <f>IF(B14&lt;&gt;"",Adições!AB23,"")</f>
        <v>289.54560670893198</v>
      </c>
      <c r="O14" s="426">
        <f>IF(B14&lt;&gt;"",Adições!AP23,"")</f>
        <v>0</v>
      </c>
      <c r="P14" s="426">
        <f>IF(B14&lt;&gt;"",Adições!AD23,"")</f>
        <v>20.828813359533555</v>
      </c>
      <c r="Q14" s="426">
        <f>IF(B14&lt;&gt;"",Adições!X23,"")</f>
        <v>334.67271473900803</v>
      </c>
      <c r="R14" s="427">
        <f t="shared" si="3"/>
        <v>4206.6712985285903</v>
      </c>
      <c r="S14" s="689"/>
      <c r="T14" s="467">
        <f ca="1">IF(B14&lt;&gt;"",Adições!BD23,"")</f>
        <v>0.39594763645269715</v>
      </c>
      <c r="U14" s="426">
        <f t="shared" ca="1" si="4"/>
        <v>4485.2948257361531</v>
      </c>
      <c r="V14" s="426">
        <f ca="1">IF(B14&lt;&gt;"",Adições!BC23,"")</f>
        <v>179.41179302944613</v>
      </c>
      <c r="W14" s="426">
        <f ca="1">IF(B14&lt;&gt;"",Adições!BF23,"")</f>
        <v>437.31624550927495</v>
      </c>
      <c r="X14" s="468">
        <f t="shared" ca="1" si="5"/>
        <v>4922.6110712454283</v>
      </c>
      <c r="Y14" s="675"/>
      <c r="Z14" s="425">
        <f ca="1">IF(B14&lt;&gt;"",Adições!BL23,"")</f>
        <v>0.51487224321987868</v>
      </c>
      <c r="AA14" s="426">
        <f t="shared" ca="1" si="0"/>
        <v>5832.4727711947853</v>
      </c>
      <c r="AB14" s="426">
        <f ca="1">IF(B14&lt;&gt;"",Adições!BK23,"")</f>
        <v>1283.1440096628528</v>
      </c>
      <c r="AC14" s="475">
        <f ca="1">IF(B14&lt;&gt;"",Adições!BN23,"")</f>
        <v>568.66609519149154</v>
      </c>
      <c r="AD14" s="428" t="str">
        <f>IF(B14&lt;&gt;"",Adições!BO23,"")</f>
        <v>N</v>
      </c>
      <c r="AE14" s="475" t="str">
        <f>IF(B14&lt;&gt;"",Adições!BP23,"")</f>
        <v>N</v>
      </c>
      <c r="AF14" s="475" t="str">
        <f>IF(B14&lt;&gt;"",Adições!BQ23,"")</f>
        <v>N</v>
      </c>
      <c r="AG14" s="476">
        <f ca="1">IF(B14&lt;&gt;"",IF(Adições!AE23="N",AA14+AC14,AA14+AC14+AF14),"")</f>
        <v>6401.1388663862772</v>
      </c>
      <c r="AH14" s="507"/>
    </row>
    <row r="15" spans="1:37" ht="60" customHeight="1">
      <c r="A15" s="429">
        <v>11</v>
      </c>
      <c r="B15" s="420" t="str">
        <f>IF(Adições!H24&lt;&gt;"",Adições!H24,"")</f>
        <v>BP00011</v>
      </c>
      <c r="C15" s="421" t="str">
        <f>Adições!K24</f>
        <v>KIT  BORRACHA + APONTADOR C/ DEPÓSITO</v>
      </c>
      <c r="D15" s="466">
        <f>IF(B15&lt;&gt;"",Adições!D24,"")</f>
        <v>0.1</v>
      </c>
      <c r="E15" s="422">
        <f>IF(B15&lt;&gt;"",Adições!I24,"")</f>
        <v>30672</v>
      </c>
      <c r="F15" s="423" t="str">
        <f>IF(B15&lt;&gt;"",Adições!J24,"")</f>
        <v>Un.</v>
      </c>
      <c r="G15" s="424">
        <f t="shared" si="1"/>
        <v>3067.2000000000003</v>
      </c>
      <c r="H15" s="675"/>
      <c r="I15" s="425">
        <f>IF(B15&lt;&gt;"",Adições!AQ24,"")</f>
        <v>0.53585284535530264</v>
      </c>
      <c r="J15" s="426">
        <f t="shared" si="2"/>
        <v>16435.678472737844</v>
      </c>
      <c r="K15" s="426">
        <f>IF(B15&lt;&gt;"",Adições!T24,"")</f>
        <v>2366.7377000742495</v>
      </c>
      <c r="L15" s="426">
        <f>IF(B15&lt;&gt;"",Adições!AC24,"")</f>
        <v>361.93099396239961</v>
      </c>
      <c r="M15" s="426">
        <f>IF(B15&lt;&gt;"",Adições!Z24,"")</f>
        <v>345.14924792749474</v>
      </c>
      <c r="N15" s="426">
        <f>IF(B15&lt;&gt;"",Adições!AB24,"")</f>
        <v>1586.0429726192019</v>
      </c>
      <c r="O15" s="426">
        <f>IF(B15&lt;&gt;"",Adições!AP24,"")</f>
        <v>0</v>
      </c>
      <c r="P15" s="426">
        <f>IF(B15&lt;&gt;"",Adições!AD24,"")</f>
        <v>114.09391920110964</v>
      </c>
      <c r="Q15" s="426">
        <f>IF(B15&lt;&gt;"",Adições!X24,"")</f>
        <v>1222.157051232786</v>
      </c>
      <c r="R15" s="427">
        <f t="shared" si="3"/>
        <v>22431.790357755082</v>
      </c>
      <c r="S15" s="689"/>
      <c r="T15" s="467">
        <f ca="1">IF(B15&lt;&gt;"",Adições!BD24,"")</f>
        <v>0.80102647426720641</v>
      </c>
      <c r="U15" s="426">
        <f t="shared" ca="1" si="4"/>
        <v>24569.084018723755</v>
      </c>
      <c r="V15" s="426">
        <f ca="1">IF(B15&lt;&gt;"",Adições!BC24,"")</f>
        <v>982.76336074895028</v>
      </c>
      <c r="W15" s="426">
        <f ca="1">IF(B15&lt;&gt;"",Adições!BF24,"")</f>
        <v>1596.9904612170442</v>
      </c>
      <c r="X15" s="468">
        <f t="shared" ca="1" si="5"/>
        <v>26166.074479940798</v>
      </c>
      <c r="Y15" s="675"/>
      <c r="Z15" s="425">
        <f ca="1">IF(B15&lt;&gt;"",Adições!BL24,"")</f>
        <v>1.0416182841231292</v>
      </c>
      <c r="AA15" s="426">
        <f t="shared" ca="1" si="0"/>
        <v>31948.516010624619</v>
      </c>
      <c r="AB15" s="426">
        <f ca="1">IF(B15&lt;&gt;"",Adições!BK24,"")</f>
        <v>7028.6735223374162</v>
      </c>
      <c r="AC15" s="475">
        <f ca="1">IF(B15&lt;&gt;"",Adições!BN24,"")</f>
        <v>2076.6535406906005</v>
      </c>
      <c r="AD15" s="428" t="str">
        <f>IF(B15&lt;&gt;"",Adições!BO24,"")</f>
        <v>N</v>
      </c>
      <c r="AE15" s="475" t="str">
        <f>IF(B15&lt;&gt;"",Adições!BP24,"")</f>
        <v>N</v>
      </c>
      <c r="AF15" s="475" t="str">
        <f>IF(B15&lt;&gt;"",Adições!BQ24,"")</f>
        <v>N</v>
      </c>
      <c r="AG15" s="476">
        <f ca="1">IF(B15&lt;&gt;"",IF(Adições!AE24="N",AA15+AC15,AA15+AC15+AF15),"")</f>
        <v>34025.169551315223</v>
      </c>
    </row>
    <row r="16" spans="1:37" ht="60" customHeight="1">
      <c r="A16" s="429">
        <v>12</v>
      </c>
      <c r="B16" s="420" t="str">
        <f>IF(Adições!H25&lt;&gt;"",Adições!H25,"")</f>
        <v>BP00013</v>
      </c>
      <c r="C16" s="421" t="str">
        <f>Adições!K25</f>
        <v>APONTADOR CORAÇÃO C/ DEPÓSITO 1 UNIDADE</v>
      </c>
      <c r="D16" s="466">
        <f>IF(B16&lt;&gt;"",Adições!D25,"")</f>
        <v>0.05</v>
      </c>
      <c r="E16" s="422">
        <f>IF(B16&lt;&gt;"",Adições!I25,"")</f>
        <v>10080</v>
      </c>
      <c r="F16" s="423" t="str">
        <f>IF(B16&lt;&gt;"",Adições!J25,"")</f>
        <v>Un.</v>
      </c>
      <c r="G16" s="424">
        <f t="shared" si="1"/>
        <v>504</v>
      </c>
      <c r="H16" s="675"/>
      <c r="I16" s="425">
        <f>IF(B16&lt;&gt;"",Adições!AQ25,"")</f>
        <v>0.26972950096301335</v>
      </c>
      <c r="J16" s="426">
        <f t="shared" si="2"/>
        <v>2718.8733697071743</v>
      </c>
      <c r="K16" s="426">
        <f>IF(B16&lt;&gt;"",Adições!T25,"")</f>
        <v>391.51776523783315</v>
      </c>
      <c r="L16" s="426">
        <f>IF(B16&lt;&gt;"",Adições!AC25,"")</f>
        <v>59.872462386525086</v>
      </c>
      <c r="M16" s="426">
        <f>IF(B16&lt;&gt;"",Adições!Z25,"")</f>
        <v>57.096340763850677</v>
      </c>
      <c r="N16" s="426">
        <f>IF(B16&lt;&gt;"",Adições!AB25,"")</f>
        <v>262.37128017674235</v>
      </c>
      <c r="O16" s="426">
        <f>IF(B16&lt;&gt;"",Adições!AP25,"")</f>
        <v>0</v>
      </c>
      <c r="P16" s="426">
        <f>IF(B16&lt;&gt;"",Adições!AD25,"")</f>
        <v>18.873995319144562</v>
      </c>
      <c r="Q16" s="426">
        <f>IF(B16&lt;&gt;"",Adições!X25,"")</f>
        <v>202.17542377142553</v>
      </c>
      <c r="R16" s="427">
        <f t="shared" si="3"/>
        <v>3710.780637362695</v>
      </c>
      <c r="S16" s="689"/>
      <c r="T16" s="467">
        <f ca="1">IF(B16&lt;&gt;"",Adições!BD25,"")</f>
        <v>0.40320859175245133</v>
      </c>
      <c r="U16" s="426">
        <f t="shared" ca="1" si="4"/>
        <v>4064.3426048647093</v>
      </c>
      <c r="V16" s="426">
        <f ca="1">IF(B16&lt;&gt;"",Adições!BC25,"")</f>
        <v>162.57370419458837</v>
      </c>
      <c r="W16" s="426">
        <f ca="1">IF(B16&lt;&gt;"",Adições!BF25,"")</f>
        <v>264.18226931620609</v>
      </c>
      <c r="X16" s="468">
        <f t="shared" ca="1" si="5"/>
        <v>4328.5248741809155</v>
      </c>
      <c r="Y16" s="675"/>
      <c r="Z16" s="425">
        <f ca="1">IF(B16&lt;&gt;"",Adições!BL25,"")</f>
        <v>0.52431405824521049</v>
      </c>
      <c r="AA16" s="426">
        <f t="shared" ca="1" si="0"/>
        <v>5285.0857071117216</v>
      </c>
      <c r="AB16" s="426">
        <f ca="1">IF(B16&lt;&gt;"",Adições!BK25,"")</f>
        <v>1162.7188555645787</v>
      </c>
      <c r="AC16" s="475">
        <f ca="1">IF(B16&lt;&gt;"",Adições!BN25,"")</f>
        <v>343.53057096226189</v>
      </c>
      <c r="AD16" s="428" t="str">
        <f>IF(B16&lt;&gt;"",Adições!BO25,"")</f>
        <v>N</v>
      </c>
      <c r="AE16" s="475" t="str">
        <f>IF(B16&lt;&gt;"",Adições!BP25,"")</f>
        <v>N</v>
      </c>
      <c r="AF16" s="475" t="str">
        <f>IF(B16&lt;&gt;"",Adições!BQ25,"")</f>
        <v>N</v>
      </c>
      <c r="AG16" s="476">
        <f ca="1">IF(B16&lt;&gt;"",IF(Adições!AE25="N",AA16+AC16,AA16+AC16+AF16),"")</f>
        <v>5628.6162780739833</v>
      </c>
    </row>
    <row r="17" spans="1:33" ht="60" customHeight="1">
      <c r="A17" s="429">
        <v>13</v>
      </c>
      <c r="B17" s="420" t="str">
        <f>IF(Adições!H26&lt;&gt;"",Adições!H26,"")</f>
        <v>BP00016</v>
      </c>
      <c r="C17" s="421" t="str">
        <f>Adições!K26</f>
        <v>APONTADOR C/ DEPÓSITO - 1 UNIDADE</v>
      </c>
      <c r="D17" s="466">
        <f>IF(B17&lt;&gt;"",Adições!D26,"")</f>
        <v>7.0000000000000007E-2</v>
      </c>
      <c r="E17" s="422">
        <f>IF(B17&lt;&gt;"",Adições!I26,"")</f>
        <v>15456</v>
      </c>
      <c r="F17" s="423" t="str">
        <f>IF(B17&lt;&gt;"",Adições!J26,"")</f>
        <v>Un.</v>
      </c>
      <c r="G17" s="424">
        <f t="shared" si="1"/>
        <v>1081.92</v>
      </c>
      <c r="H17" s="675"/>
      <c r="I17" s="425">
        <f>IF(B17&lt;&gt;"",Adições!AQ26,"")</f>
        <v>0.37450823149226709</v>
      </c>
      <c r="J17" s="426">
        <f t="shared" si="2"/>
        <v>5788.3992259444803</v>
      </c>
      <c r="K17" s="426">
        <f>IF(B17&lt;&gt;"",Adições!T26,"")</f>
        <v>833.52948853600515</v>
      </c>
      <c r="L17" s="426">
        <f>IF(B17&lt;&gt;"",Adições!AC26,"")</f>
        <v>127.46666277101285</v>
      </c>
      <c r="M17" s="426">
        <f>IF(B17&lt;&gt;"",Adições!Z26,"")</f>
        <v>121.55638374483409</v>
      </c>
      <c r="N17" s="426">
        <f>IF(B17&lt;&gt;"",Adições!AB26,"")</f>
        <v>558.58052530364239</v>
      </c>
      <c r="O17" s="426">
        <f>IF(B17&lt;&gt;"",Adições!AP26,"")</f>
        <v>0</v>
      </c>
      <c r="P17" s="426">
        <f>IF(B17&lt;&gt;"",Adições!AD26,"")</f>
        <v>40.182165566461258</v>
      </c>
      <c r="Q17" s="426">
        <f>IF(B17&lt;&gt;"",Adições!X26,"")</f>
        <v>430.42536644123157</v>
      </c>
      <c r="R17" s="427">
        <f t="shared" si="3"/>
        <v>7900.139818307669</v>
      </c>
      <c r="S17" s="689"/>
      <c r="T17" s="467">
        <f ca="1">IF(B17&lt;&gt;"",Adições!BD26,"")</f>
        <v>0.5598384161931349</v>
      </c>
      <c r="U17" s="426">
        <f t="shared" ca="1" si="4"/>
        <v>8652.8625606810929</v>
      </c>
      <c r="V17" s="426">
        <f ca="1">IF(B17&lt;&gt;"",Adições!BC26,"")</f>
        <v>346.11450242724374</v>
      </c>
      <c r="W17" s="426">
        <f ca="1">IF(B17&lt;&gt;"",Adições!BF26,"")</f>
        <v>562.43606644427109</v>
      </c>
      <c r="X17" s="468">
        <f t="shared" ca="1" si="5"/>
        <v>9215.2986271253649</v>
      </c>
      <c r="Y17" s="675"/>
      <c r="Z17" s="425">
        <f ca="1">IF(B17&lt;&gt;"",Adições!BL26,"")</f>
        <v>0.72798833645887751</v>
      </c>
      <c r="AA17" s="426">
        <f t="shared" ca="1" si="0"/>
        <v>11251.787728308411</v>
      </c>
      <c r="AB17" s="426">
        <f ca="1">IF(B17&lt;&gt;"",Adições!BK26,"")</f>
        <v>2475.3933002278504</v>
      </c>
      <c r="AC17" s="475">
        <f ca="1">IF(B17&lt;&gt;"",Adições!BN26,"")</f>
        <v>731.3662023400467</v>
      </c>
      <c r="AD17" s="428" t="str">
        <f>IF(B17&lt;&gt;"",Adições!BO26,"")</f>
        <v>N</v>
      </c>
      <c r="AE17" s="475" t="str">
        <f>IF(B17&lt;&gt;"",Adições!BP26,"")</f>
        <v>N</v>
      </c>
      <c r="AF17" s="475" t="str">
        <f>IF(B17&lt;&gt;"",Adições!BQ26,"")</f>
        <v>N</v>
      </c>
      <c r="AG17" s="476">
        <f ca="1">IF(B17&lt;&gt;"",IF(Adições!AE26="N",AA17+AC17,AA17+AC17+AF17),"")</f>
        <v>11983.153930648457</v>
      </c>
    </row>
    <row r="18" spans="1:33" ht="60" customHeight="1">
      <c r="A18" s="429">
        <v>14</v>
      </c>
      <c r="B18" s="420" t="str">
        <f>IF(Adições!H27&lt;&gt;"",Adições!H27,"")</f>
        <v>BP00017</v>
      </c>
      <c r="C18" s="421" t="str">
        <f>Adições!K27</f>
        <v>APONTADOR DUPLO SEM DEPÓSITO - 1 UNIDADE</v>
      </c>
      <c r="D18" s="466">
        <f>IF(B18&lt;&gt;"",Adições!D27,"")</f>
        <v>0.1</v>
      </c>
      <c r="E18" s="422">
        <f>IF(B18&lt;&gt;"",Adições!I27,"")</f>
        <v>5040</v>
      </c>
      <c r="F18" s="423" t="str">
        <f>IF(B18&lt;&gt;"",Adições!J27,"")</f>
        <v>Un.</v>
      </c>
      <c r="G18" s="424">
        <f t="shared" si="1"/>
        <v>504</v>
      </c>
      <c r="H18" s="675"/>
      <c r="I18" s="425">
        <f>IF(B18&lt;&gt;"",Adições!AQ27,"")</f>
        <v>0.52915569743824353</v>
      </c>
      <c r="J18" s="426">
        <f t="shared" si="2"/>
        <v>2666.9447150887472</v>
      </c>
      <c r="K18" s="426">
        <f>IF(B18&lt;&gt;"",Adições!T27,"")</f>
        <v>384.0400389727796</v>
      </c>
      <c r="L18" s="426">
        <f>IF(B18&lt;&gt;"",Adições!AC27,"")</f>
        <v>58.728938581751663</v>
      </c>
      <c r="M18" s="426">
        <f>IF(B18&lt;&gt;"",Adições!Z27,"")</f>
        <v>56.005839016863696</v>
      </c>
      <c r="N18" s="426">
        <f>IF(B18&lt;&gt;"",Adições!AB27,"")</f>
        <v>257.36016500606411</v>
      </c>
      <c r="O18" s="426">
        <f>IF(B18&lt;&gt;"",Adições!AP27,"")</f>
        <v>0</v>
      </c>
      <c r="P18" s="426">
        <f>IF(B18&lt;&gt;"",Adições!AD27,"")</f>
        <v>18.513514689514047</v>
      </c>
      <c r="Q18" s="426">
        <f>IF(B18&lt;&gt;"",Adições!X27,"")</f>
        <v>198.31400901399925</v>
      </c>
      <c r="R18" s="427">
        <f t="shared" si="3"/>
        <v>3639.9072203697197</v>
      </c>
      <c r="S18" s="689"/>
      <c r="T18" s="467">
        <f ca="1">IF(B18&lt;&gt;"",Adições!BD27,"")</f>
        <v>0.79101515711148473</v>
      </c>
      <c r="U18" s="426">
        <f t="shared" ca="1" si="4"/>
        <v>3986.7163918418833</v>
      </c>
      <c r="V18" s="426">
        <f ca="1">IF(B18&lt;&gt;"",Adições!BC27,"")</f>
        <v>159.46865567367533</v>
      </c>
      <c r="W18" s="426">
        <f ca="1">IF(B18&lt;&gt;"",Adições!BF27,"")</f>
        <v>259.13656546972237</v>
      </c>
      <c r="X18" s="468">
        <f t="shared" ca="1" si="5"/>
        <v>4245.8529573116057</v>
      </c>
      <c r="Y18" s="675"/>
      <c r="Z18" s="425">
        <f ca="1">IF(B18&lt;&gt;"",Adições!BL27,"")</f>
        <v>1.0286000240124444</v>
      </c>
      <c r="AA18" s="426">
        <f t="shared" ca="1" si="0"/>
        <v>5184.1441210227204</v>
      </c>
      <c r="AB18" s="426">
        <f ca="1">IF(B18&lt;&gt;"",Adições!BK27,"")</f>
        <v>1140.5117066249984</v>
      </c>
      <c r="AC18" s="475">
        <f ca="1">IF(B18&lt;&gt;"",Adições!BN27,"")</f>
        <v>336.96936786647677</v>
      </c>
      <c r="AD18" s="428" t="str">
        <f>IF(B18&lt;&gt;"",Adições!BO27,"")</f>
        <v>N</v>
      </c>
      <c r="AE18" s="475" t="str">
        <f>IF(B18&lt;&gt;"",Adições!BP27,"")</f>
        <v>N</v>
      </c>
      <c r="AF18" s="475" t="str">
        <f>IF(B18&lt;&gt;"",Adições!BQ27,"")</f>
        <v>N</v>
      </c>
      <c r="AG18" s="476">
        <f ca="1">IF(B18&lt;&gt;"",IF(Adições!AE27="N",AA18+AC18,AA18+AC18+AF18),"")</f>
        <v>5521.1134888891975</v>
      </c>
    </row>
    <row r="19" spans="1:33" ht="60" customHeight="1">
      <c r="A19" s="429">
        <v>15</v>
      </c>
      <c r="B19" s="420" t="str">
        <f>IF(Adições!H28&lt;&gt;"",Adições!H28,"")</f>
        <v>BP00035</v>
      </c>
      <c r="C19" s="421" t="str">
        <f>Adições!K28</f>
        <v>COLA BASTÃO 9 gr</v>
      </c>
      <c r="D19" s="466">
        <f>IF(B19&lt;&gt;"",Adições!D28,"")</f>
        <v>0.04</v>
      </c>
      <c r="E19" s="422">
        <f>IF(B19&lt;&gt;"",Adições!I28,"")</f>
        <v>30384</v>
      </c>
      <c r="F19" s="423" t="str">
        <f>IF(B19&lt;&gt;"",Adições!J28,"")</f>
        <v>Un.</v>
      </c>
      <c r="G19" s="424">
        <f t="shared" si="1"/>
        <v>1215.3600000000001</v>
      </c>
      <c r="H19" s="675"/>
      <c r="I19" s="425">
        <f>IF(B19&lt;&gt;"",Adições!AQ28,"")</f>
        <v>0.21684336923201131</v>
      </c>
      <c r="J19" s="426">
        <f t="shared" si="2"/>
        <v>6588.5689307454313</v>
      </c>
      <c r="K19" s="426">
        <f>IF(B19&lt;&gt;"",Adições!T28,"")</f>
        <v>843.33682313541522</v>
      </c>
      <c r="L19" s="426">
        <f>IF(B19&lt;&gt;"",Adições!AC28,"")</f>
        <v>145.08724454849062</v>
      </c>
      <c r="M19" s="426">
        <f>IF(B19&lt;&gt;"",Adições!Z28,"")</f>
        <v>138.35994754565408</v>
      </c>
      <c r="N19" s="426">
        <f>IF(B19&lt;&gt;"",Adições!AB28,"")</f>
        <v>635.79690181693411</v>
      </c>
      <c r="O19" s="426">
        <f>IF(B19&lt;&gt;"",Adições!AP28,"")</f>
        <v>0</v>
      </c>
      <c r="P19" s="426">
        <f>IF(B19&lt;&gt;"",Adições!AD28,"")</f>
        <v>45.736818986955413</v>
      </c>
      <c r="Q19" s="426">
        <f>IF(B19&lt;&gt;"",Adições!X28,"")</f>
        <v>483.07387400225502</v>
      </c>
      <c r="R19" s="427">
        <f t="shared" si="3"/>
        <v>8879.9605407811359</v>
      </c>
      <c r="S19" s="689"/>
      <c r="T19" s="467">
        <f ca="1">IF(B19&lt;&gt;"",Adições!BD28,"")</f>
        <v>0.32415108183099839</v>
      </c>
      <c r="U19" s="426">
        <f t="shared" ca="1" si="4"/>
        <v>9849.0064703530552</v>
      </c>
      <c r="V19" s="426">
        <f ca="1">IF(B19&lt;&gt;"",Adições!BC28,"")</f>
        <v>393.9602588141222</v>
      </c>
      <c r="W19" s="426">
        <f ca="1">IF(B19&lt;&gt;"",Adições!BF28,"")</f>
        <v>640.1854205729486</v>
      </c>
      <c r="X19" s="468">
        <f t="shared" ca="1" si="5"/>
        <v>10489.191890926004</v>
      </c>
      <c r="Y19" s="675"/>
      <c r="Z19" s="425">
        <f ca="1">IF(B19&lt;&gt;"",Adições!BL28,"")</f>
        <v>0.42151127896533175</v>
      </c>
      <c r="AA19" s="426">
        <f t="shared" ca="1" si="0"/>
        <v>12807.198700082639</v>
      </c>
      <c r="AB19" s="426">
        <f ca="1">IF(B19&lt;&gt;"",Adições!BK28,"")</f>
        <v>2817.5837140181807</v>
      </c>
      <c r="AC19" s="475">
        <f ca="1">IF(B19&lt;&gt;"",Adições!BN28,"")</f>
        <v>832.46791550537159</v>
      </c>
      <c r="AD19" s="428" t="str">
        <f>IF(B19&lt;&gt;"",Adições!BO28,"")</f>
        <v>N</v>
      </c>
      <c r="AE19" s="475" t="str">
        <f>IF(B19&lt;&gt;"",Adições!BP28,"")</f>
        <v>N</v>
      </c>
      <c r="AF19" s="475" t="str">
        <f>IF(B19&lt;&gt;"",Adições!BQ28,"")</f>
        <v>N</v>
      </c>
      <c r="AG19" s="476">
        <f ca="1">IF(B19&lt;&gt;"",IF(Adições!AE28="N",AA19+AC19,AA19+AC19+AF19),"")</f>
        <v>13639.66661558801</v>
      </c>
    </row>
    <row r="20" spans="1:33" ht="60" customHeight="1">
      <c r="A20" s="429">
        <v>16</v>
      </c>
      <c r="B20" s="420" t="str">
        <f>IF(Adições!H29&lt;&gt;"",Adições!H29,"")</f>
        <v>BP00036</v>
      </c>
      <c r="C20" s="421" t="str">
        <f>Adições!K29</f>
        <v>COLA BASTÃO 9 gr 3 UND</v>
      </c>
      <c r="D20" s="466">
        <f>IF(B20&lt;&gt;"",Adições!D29,"")</f>
        <v>0.14000000000000001</v>
      </c>
      <c r="E20" s="422">
        <f>IF(B20&lt;&gt;"",Adições!I29,"")</f>
        <v>25200</v>
      </c>
      <c r="F20" s="423" t="str">
        <f>IF(B20&lt;&gt;"",Adições!J29,"")</f>
        <v>Un.</v>
      </c>
      <c r="G20" s="424">
        <f t="shared" si="1"/>
        <v>3528.0000000000005</v>
      </c>
      <c r="H20" s="675"/>
      <c r="I20" s="425">
        <f>IF(B20&lt;&gt;"",Adições!AQ29,"")</f>
        <v>0.7557872059336489</v>
      </c>
      <c r="J20" s="426">
        <f t="shared" si="2"/>
        <v>19045.837589527953</v>
      </c>
      <c r="K20" s="426">
        <f>IF(B20&lt;&gt;"",Adições!T29,"")</f>
        <v>2437.8672114595779</v>
      </c>
      <c r="L20" s="426">
        <f>IF(B20&lt;&gt;"",Adições!AC29,"")</f>
        <v>419.40945371122291</v>
      </c>
      <c r="M20" s="426">
        <f>IF(B20&lt;&gt;"",Adições!Z29,"")</f>
        <v>399.96258938008702</v>
      </c>
      <c r="N20" s="426">
        <f>IF(B20&lt;&gt;"",Adições!AB29,"")</f>
        <v>1837.9233273894474</v>
      </c>
      <c r="O20" s="426">
        <f>IF(B20&lt;&gt;"",Adições!AP29,"")</f>
        <v>0</v>
      </c>
      <c r="P20" s="426">
        <f>IF(B20&lt;&gt;"",Adições!AD29,"")</f>
        <v>132.21323711470001</v>
      </c>
      <c r="Q20" s="426">
        <f>IF(B20&lt;&gt;"",Adições!X29,"")</f>
        <v>0</v>
      </c>
      <c r="R20" s="427">
        <f t="shared" si="3"/>
        <v>24273.213408582989</v>
      </c>
      <c r="S20" s="689"/>
      <c r="T20" s="467">
        <f ca="1">IF(B20&lt;&gt;"",Adições!BD29,"")</f>
        <v>1.1297981640162302</v>
      </c>
      <c r="U20" s="426">
        <f t="shared" ca="1" si="4"/>
        <v>28470.913733209003</v>
      </c>
      <c r="V20" s="426">
        <f ca="1">IF(B20&lt;&gt;"",Adições!BC29,"")</f>
        <v>1138.8365493283602</v>
      </c>
      <c r="W20" s="426">
        <f ca="1">IF(B20&lt;&gt;"",Adições!BF29,"")</f>
        <v>0</v>
      </c>
      <c r="X20" s="468">
        <f t="shared" ca="1" si="5"/>
        <v>28470.913733209003</v>
      </c>
      <c r="Y20" s="675"/>
      <c r="Z20" s="425">
        <f ca="1">IF(B20&lt;&gt;"",Adições!BL29,"")</f>
        <v>1.469137990831854</v>
      </c>
      <c r="AA20" s="426">
        <f t="shared" ca="1" si="0"/>
        <v>37022.277368962721</v>
      </c>
      <c r="AB20" s="426">
        <f ca="1">IF(B20&lt;&gt;"",Adições!BK29,"")</f>
        <v>8144.9010211717987</v>
      </c>
      <c r="AC20" s="475">
        <f ca="1">IF(B20&lt;&gt;"",Adições!BN29,"")</f>
        <v>0</v>
      </c>
      <c r="AD20" s="428" t="str">
        <f>IF(B20&lt;&gt;"",Adições!BO29,"")</f>
        <v>N</v>
      </c>
      <c r="AE20" s="475" t="str">
        <f>IF(B20&lt;&gt;"",Adições!BP29,"")</f>
        <v>N</v>
      </c>
      <c r="AF20" s="475" t="str">
        <f>IF(B20&lt;&gt;"",Adições!BQ29,"")</f>
        <v>N</v>
      </c>
      <c r="AG20" s="476">
        <f ca="1">IF(B20&lt;&gt;"",IF(Adições!AE29="N",AA20+AC20,AA20+AC20+AF20),"")</f>
        <v>37022.277368962721</v>
      </c>
    </row>
    <row r="21" spans="1:33" ht="60" customHeight="1">
      <c r="A21" s="429">
        <v>17</v>
      </c>
      <c r="B21" s="420" t="str">
        <f>IF(Adições!H30&lt;&gt;"",Adições!H30,"")</f>
        <v>BP00037</v>
      </c>
      <c r="C21" s="421" t="str">
        <f>Adições!K30</f>
        <v>COLA BASTÃO 21 gr 1 UND</v>
      </c>
      <c r="D21" s="466">
        <f>IF(B21&lt;&gt;"",Adições!D30,"")</f>
        <v>7.0000000000000007E-2</v>
      </c>
      <c r="E21" s="422">
        <f>IF(B21&lt;&gt;"",Adições!I30,"")</f>
        <v>62640</v>
      </c>
      <c r="F21" s="423" t="str">
        <f>IF(B21&lt;&gt;"",Adições!J30,"")</f>
        <v>Un.</v>
      </c>
      <c r="G21" s="424">
        <f t="shared" si="1"/>
        <v>4384.8</v>
      </c>
      <c r="H21" s="675"/>
      <c r="I21" s="425">
        <f>IF(B21&lt;&gt;"",Adições!AQ30,"")</f>
        <v>0.38080060673302041</v>
      </c>
      <c r="J21" s="426">
        <f t="shared" si="2"/>
        <v>23853.350005756398</v>
      </c>
      <c r="K21" s="426">
        <f>IF(B21&lt;&gt;"",Adições!T30,"")</f>
        <v>3053.2288007368188</v>
      </c>
      <c r="L21" s="426">
        <f>IF(B21&lt;&gt;"",Adições!AC30,"")</f>
        <v>525.27595324017682</v>
      </c>
      <c r="M21" s="426">
        <f>IF(B21&lt;&gt;"",Adições!Z30,"")</f>
        <v>500.92035012088439</v>
      </c>
      <c r="N21" s="426">
        <f>IF(B21&lt;&gt;"",Adições!AB30,"")</f>
        <v>2301.8482755554924</v>
      </c>
      <c r="O21" s="426">
        <f>IF(B21&lt;&gt;"",Adições!AP30,"")</f>
        <v>0</v>
      </c>
      <c r="P21" s="426">
        <f>IF(B21&lt;&gt;"",Adições!AD30,"")</f>
        <v>165.5862392749284</v>
      </c>
      <c r="Q21" s="426">
        <f>IF(B21&lt;&gt;"",Adições!X30,"")</f>
        <v>0</v>
      </c>
      <c r="R21" s="427">
        <f t="shared" si="3"/>
        <v>30400.209624684696</v>
      </c>
      <c r="S21" s="689"/>
      <c r="T21" s="467">
        <f ca="1">IF(B21&lt;&gt;"",Adições!BD30,"")</f>
        <v>0.56924465374054367</v>
      </c>
      <c r="U21" s="426">
        <f t="shared" ca="1" si="4"/>
        <v>35657.485110307658</v>
      </c>
      <c r="V21" s="426">
        <f ca="1">IF(B21&lt;&gt;"",Adições!BC30,"")</f>
        <v>1426.2994044123063</v>
      </c>
      <c r="W21" s="426">
        <f ca="1">IF(B21&lt;&gt;"",Adições!BF30,"")</f>
        <v>0</v>
      </c>
      <c r="X21" s="468">
        <f t="shared" ca="1" si="5"/>
        <v>35657.485110307658</v>
      </c>
      <c r="Y21" s="675"/>
      <c r="Z21" s="425">
        <f ca="1">IF(B21&lt;&gt;"",Adições!BL30,"")</f>
        <v>0.74021977865078459</v>
      </c>
      <c r="AA21" s="426">
        <f t="shared" ca="1" si="0"/>
        <v>46367.366934685146</v>
      </c>
      <c r="AB21" s="426">
        <f ca="1">IF(B21&lt;&gt;"",Adições!BK30,"")</f>
        <v>10200.820725630732</v>
      </c>
      <c r="AC21" s="475">
        <f ca="1">IF(B21&lt;&gt;"",Adições!BN30,"")</f>
        <v>0</v>
      </c>
      <c r="AD21" s="428" t="str">
        <f>IF(B21&lt;&gt;"",Adições!BO30,"")</f>
        <v>N</v>
      </c>
      <c r="AE21" s="475" t="str">
        <f>IF(B21&lt;&gt;"",Adições!BP30,"")</f>
        <v>N</v>
      </c>
      <c r="AF21" s="475" t="str">
        <f>IF(B21&lt;&gt;"",Adições!BQ30,"")</f>
        <v>N</v>
      </c>
      <c r="AG21" s="476">
        <f ca="1">IF(B21&lt;&gt;"",IF(Adições!AE30="N",AA21+AC21,AA21+AC21+AF21),"")</f>
        <v>46367.366934685146</v>
      </c>
    </row>
    <row r="22" spans="1:33" ht="60" customHeight="1">
      <c r="A22" s="429">
        <v>18</v>
      </c>
      <c r="B22" s="420" t="str">
        <f>IF(Adições!H31&lt;&gt;"",Adições!H31,"")</f>
        <v>BP00053</v>
      </c>
      <c r="C22" s="421" t="str">
        <f>Adições!K31</f>
        <v>GRAMPO 5000 UNIDADES</v>
      </c>
      <c r="D22" s="466">
        <f>IF(B22&lt;&gt;"",Adições!D31,"")</f>
        <v>0.18</v>
      </c>
      <c r="E22" s="422">
        <f>IF(B22&lt;&gt;"",Adições!I31,"")</f>
        <v>8856</v>
      </c>
      <c r="F22" s="423" t="str">
        <f>IF(B22&lt;&gt;"",Adições!J31,"")</f>
        <v>Un.</v>
      </c>
      <c r="G22" s="424">
        <f t="shared" si="1"/>
        <v>1594.08</v>
      </c>
      <c r="H22" s="675"/>
      <c r="I22" s="425">
        <f>IF(B22&lt;&gt;"",Adições!AQ31,"")</f>
        <v>1.0011118525711753</v>
      </c>
      <c r="J22" s="426">
        <f t="shared" si="2"/>
        <v>8865.8465663703282</v>
      </c>
      <c r="K22" s="426">
        <f>IF(B22&lt;&gt;"",Adições!T31,"")</f>
        <v>1134.828360495402</v>
      </c>
      <c r="L22" s="426">
        <f>IF(B22&lt;&gt;"",Adições!AC31,"")</f>
        <v>195.23530260141533</v>
      </c>
      <c r="M22" s="426">
        <f>IF(B22&lt;&gt;"",Adições!Z31,"")</f>
        <v>186.18277789377692</v>
      </c>
      <c r="N22" s="426">
        <f>IF(B22&lt;&gt;"",Adições!AB31,"")</f>
        <v>855.55419365473665</v>
      </c>
      <c r="O22" s="426">
        <f>IF(B22&lt;&gt;"",Adições!AP31,"")</f>
        <v>0</v>
      </c>
      <c r="P22" s="426">
        <f>IF(B22&lt;&gt;"",Adições!AD31,"")</f>
        <v>61.54532552281001</v>
      </c>
      <c r="Q22" s="426">
        <f>IF(B22&lt;&gt;"",Adições!X31,"")</f>
        <v>0</v>
      </c>
      <c r="R22" s="427">
        <f t="shared" si="3"/>
        <v>11299.192526538467</v>
      </c>
      <c r="S22" s="689"/>
      <c r="T22" s="467">
        <f ca="1">IF(B22&lt;&gt;"",Adições!BD31,"")</f>
        <v>1.4965248473776056</v>
      </c>
      <c r="U22" s="426">
        <f t="shared" ca="1" si="4"/>
        <v>13253.224048376076</v>
      </c>
      <c r="V22" s="426">
        <f ca="1">IF(B22&lt;&gt;"",Adições!BC31,"")</f>
        <v>530.12896193504298</v>
      </c>
      <c r="W22" s="426">
        <f ca="1">IF(B22&lt;&gt;"",Adições!BF31,"")</f>
        <v>0</v>
      </c>
      <c r="X22" s="468">
        <f t="shared" ca="1" si="5"/>
        <v>13253.224048376076</v>
      </c>
      <c r="Y22" s="675"/>
      <c r="Z22" s="425">
        <f ca="1">IF(B22&lt;&gt;"",Adições!BL31,"")</f>
        <v>1.9460126397184496</v>
      </c>
      <c r="AA22" s="426">
        <f t="shared" ca="1" si="0"/>
        <v>17233.88793734659</v>
      </c>
      <c r="AB22" s="426">
        <f ca="1">IF(B22&lt;&gt;"",Adições!BK31,"")</f>
        <v>3791.4553462162498</v>
      </c>
      <c r="AC22" s="475">
        <f ca="1">IF(B22&lt;&gt;"",Adições!BN31,"")</f>
        <v>0</v>
      </c>
      <c r="AD22" s="428" t="str">
        <f>IF(B22&lt;&gt;"",Adições!BO31,"")</f>
        <v>N</v>
      </c>
      <c r="AE22" s="475" t="str">
        <f>IF(B22&lt;&gt;"",Adições!BP31,"")</f>
        <v>N</v>
      </c>
      <c r="AF22" s="475" t="str">
        <f>IF(B22&lt;&gt;"",Adições!BQ31,"")</f>
        <v>N</v>
      </c>
      <c r="AG22" s="476">
        <f ca="1">IF(B22&lt;&gt;"",IF(Adições!AE31="N",AA22+AC22,AA22+AC22+AF22),"")</f>
        <v>17233.88793734659</v>
      </c>
    </row>
    <row r="23" spans="1:33" ht="60" customHeight="1">
      <c r="A23" s="429">
        <v>19</v>
      </c>
      <c r="B23" s="420" t="str">
        <f>IF(Adições!H32&lt;&gt;"",Adições!H32,"")</f>
        <v xml:space="preserve"> BP00073 </v>
      </c>
      <c r="C23" s="421" t="str">
        <f>Adições!K32</f>
        <v>CLIPS  PEQUENO - 100 UND</v>
      </c>
      <c r="D23" s="466">
        <f>IF(B23&lt;&gt;"",Adições!D32,"")</f>
        <v>0.09</v>
      </c>
      <c r="E23" s="422">
        <f>IF(B23&lt;&gt;"",Adições!I32,"")</f>
        <v>6768</v>
      </c>
      <c r="F23" s="423" t="str">
        <f>IF(B23&lt;&gt;"",Adições!J32,"")</f>
        <v>Un.</v>
      </c>
      <c r="G23" s="424">
        <f t="shared" si="1"/>
        <v>609.12</v>
      </c>
      <c r="H23" s="675"/>
      <c r="I23" s="425">
        <f>IF(B23&lt;&gt;"",Adições!AQ32,"")</f>
        <v>0.49172452243891634</v>
      </c>
      <c r="J23" s="426">
        <f t="shared" si="2"/>
        <v>3327.9915678665857</v>
      </c>
      <c r="K23" s="426">
        <f>IF(B23&lt;&gt;"",Adições!T32,"")</f>
        <v>425.98292068692297</v>
      </c>
      <c r="L23" s="426">
        <f>IF(B23&lt;&gt;"",Adições!AC32,"")</f>
        <v>73.28588826158709</v>
      </c>
      <c r="M23" s="426">
        <f>IF(B23&lt;&gt;"",Adições!Z32,"")</f>
        <v>69.887822925198307</v>
      </c>
      <c r="N23" s="426">
        <f>IF(B23&lt;&gt;"",Adições!AB32,"")</f>
        <v>321.15118629912553</v>
      </c>
      <c r="O23" s="426">
        <f>IF(B23&lt;&gt;"",Adições!AP32,"")</f>
        <v>0</v>
      </c>
      <c r="P23" s="426">
        <f>IF(B23&lt;&gt;"",Adições!AD32,"")</f>
        <v>23.102398947263758</v>
      </c>
      <c r="Q23" s="426">
        <f>IF(B23&lt;&gt;"",Adições!X32,"")</f>
        <v>244.00834175597808</v>
      </c>
      <c r="R23" s="427">
        <f t="shared" si="3"/>
        <v>4485.4101267426613</v>
      </c>
      <c r="S23" s="689"/>
      <c r="T23" s="467">
        <f ca="1">IF(B23&lt;&gt;"",Adições!BD32,"")</f>
        <v>0.73506068678015879</v>
      </c>
      <c r="U23" s="426">
        <f t="shared" ca="1" si="4"/>
        <v>4974.8907281281145</v>
      </c>
      <c r="V23" s="426">
        <f ca="1">IF(B23&lt;&gt;"",Adições!BC32,"")</f>
        <v>198.99562912512459</v>
      </c>
      <c r="W23" s="426">
        <f ca="1">IF(B23&lt;&gt;"",Adições!BF32,"")</f>
        <v>323.36789732832744</v>
      </c>
      <c r="X23" s="468">
        <f t="shared" ca="1" si="5"/>
        <v>5298.2586254564421</v>
      </c>
      <c r="Y23" s="675"/>
      <c r="Z23" s="425">
        <f ca="1">IF(B23&lt;&gt;"",Adições!BL32,"")</f>
        <v>0.95583938344953057</v>
      </c>
      <c r="AA23" s="426">
        <f t="shared" ca="1" si="0"/>
        <v>6469.1209471864231</v>
      </c>
      <c r="AB23" s="426">
        <f ca="1">IF(B23&lt;&gt;"",Adições!BK32,"")</f>
        <v>1423.206608381013</v>
      </c>
      <c r="AC23" s="475">
        <f ca="1">IF(B23&lt;&gt;"",Adições!BN32,"")</f>
        <v>420.49286156711753</v>
      </c>
      <c r="AD23" s="428" t="str">
        <f>IF(B23&lt;&gt;"",Adições!BO32,"")</f>
        <v>N</v>
      </c>
      <c r="AE23" s="475" t="str">
        <f>IF(B23&lt;&gt;"",Adições!BP32,"")</f>
        <v>N</v>
      </c>
      <c r="AF23" s="475" t="str">
        <f>IF(B23&lt;&gt;"",Adições!BQ32,"")</f>
        <v>N</v>
      </c>
      <c r="AG23" s="476">
        <f ca="1">IF(B23&lt;&gt;"",IF(Adições!AE32="N",AA23+AC23,AA23+AC23+AF23),"")</f>
        <v>6889.613808753541</v>
      </c>
    </row>
    <row r="24" spans="1:33" ht="60" customHeight="1">
      <c r="A24" s="429">
        <v>20</v>
      </c>
      <c r="B24" s="420" t="str">
        <f>IF(Adições!H33&lt;&gt;"",Adições!H33,"")</f>
        <v/>
      </c>
      <c r="C24" s="421">
        <f>Adições!K33</f>
        <v>0</v>
      </c>
      <c r="D24" s="466" t="str">
        <f>IF(B24&lt;&gt;"",Adições!D33,"")</f>
        <v/>
      </c>
      <c r="E24" s="422" t="str">
        <f>IF(B24&lt;&gt;"",Adições!I33,"")</f>
        <v/>
      </c>
      <c r="F24" s="423" t="str">
        <f>IF(B24&lt;&gt;"",Adições!J33,"")</f>
        <v/>
      </c>
      <c r="G24" s="424" t="str">
        <f t="shared" si="1"/>
        <v/>
      </c>
      <c r="H24" s="675"/>
      <c r="I24" s="425" t="str">
        <f>IF(B24&lt;&gt;"",Adições!AQ33,"")</f>
        <v/>
      </c>
      <c r="J24" s="426" t="str">
        <f t="shared" si="2"/>
        <v/>
      </c>
      <c r="K24" s="426" t="str">
        <f>IF(B24&lt;&gt;"",Adições!T33,"")</f>
        <v/>
      </c>
      <c r="L24" s="426" t="str">
        <f>IF(B24&lt;&gt;"",Adições!AC33,"")</f>
        <v/>
      </c>
      <c r="M24" s="426" t="str">
        <f>IF(B24&lt;&gt;"",Adições!Z33,"")</f>
        <v/>
      </c>
      <c r="N24" s="426" t="str">
        <f>IF(B24&lt;&gt;"",Adições!AB33,"")</f>
        <v/>
      </c>
      <c r="O24" s="426" t="str">
        <f>IF(B24&lt;&gt;"",Adições!AP33,"")</f>
        <v/>
      </c>
      <c r="P24" s="426" t="str">
        <f>IF(B24&lt;&gt;"",Adições!AD33,"")</f>
        <v/>
      </c>
      <c r="Q24" s="426" t="str">
        <f>IF(B24&lt;&gt;"",Adições!X33,"")</f>
        <v/>
      </c>
      <c r="R24" s="427" t="str">
        <f t="shared" si="3"/>
        <v/>
      </c>
      <c r="S24" s="689"/>
      <c r="T24" s="467" t="str">
        <f>IF(B24&lt;&gt;"",Adições!BD33,"")</f>
        <v/>
      </c>
      <c r="U24" s="426" t="str">
        <f t="shared" si="4"/>
        <v/>
      </c>
      <c r="V24" s="426" t="str">
        <f>IF(B24&lt;&gt;"",Adições!BC33,"")</f>
        <v/>
      </c>
      <c r="W24" s="426" t="str">
        <f>IF(B24&lt;&gt;"",Adições!BF33,"")</f>
        <v/>
      </c>
      <c r="X24" s="468" t="str">
        <f t="shared" si="5"/>
        <v/>
      </c>
      <c r="Y24" s="675"/>
      <c r="Z24" s="425" t="str">
        <f>IF(B24&lt;&gt;"",Adições!BL33,"")</f>
        <v/>
      </c>
      <c r="AA24" s="426" t="str">
        <f t="shared" si="0"/>
        <v/>
      </c>
      <c r="AB24" s="426" t="str">
        <f>IF(B24&lt;&gt;"",Adições!BK33,"")</f>
        <v/>
      </c>
      <c r="AC24" s="475" t="str">
        <f>IF(B24&lt;&gt;"",Adições!BN33,"")</f>
        <v/>
      </c>
      <c r="AD24" s="428" t="str">
        <f>IF(B24&lt;&gt;"",Adições!BO33,"")</f>
        <v/>
      </c>
      <c r="AE24" s="475" t="str">
        <f>IF(B24&lt;&gt;"",Adições!BP33,"")</f>
        <v/>
      </c>
      <c r="AF24" s="475" t="str">
        <f>IF(B24&lt;&gt;"",Adições!BQ33,"")</f>
        <v/>
      </c>
      <c r="AG24" s="476" t="str">
        <f>IF(B24&lt;&gt;"",IF(Adições!AE33="N",AA24+AC24,AA24+AC24+AF24),"")</f>
        <v/>
      </c>
    </row>
    <row r="25" spans="1:33" ht="60" customHeight="1">
      <c r="A25" s="429">
        <v>21</v>
      </c>
      <c r="B25" s="420" t="str">
        <f>IF(Adições!H34&lt;&gt;"",Adições!H34,"")</f>
        <v/>
      </c>
      <c r="C25" s="421">
        <f>Adições!K34</f>
        <v>0</v>
      </c>
      <c r="D25" s="466" t="str">
        <f>IF(B25&lt;&gt;"",Adições!D34,"")</f>
        <v/>
      </c>
      <c r="E25" s="422" t="str">
        <f>IF(B25&lt;&gt;"",Adições!I34,"")</f>
        <v/>
      </c>
      <c r="F25" s="423" t="str">
        <f>IF(B25&lt;&gt;"",Adições!J34,"")</f>
        <v/>
      </c>
      <c r="G25" s="424" t="str">
        <f t="shared" si="1"/>
        <v/>
      </c>
      <c r="H25" s="675"/>
      <c r="I25" s="425" t="str">
        <f>IF(B25&lt;&gt;"",Adições!AQ34,"")</f>
        <v/>
      </c>
      <c r="J25" s="426" t="str">
        <f t="shared" si="2"/>
        <v/>
      </c>
      <c r="K25" s="426" t="str">
        <f>IF(B25&lt;&gt;"",Adições!T34,"")</f>
        <v/>
      </c>
      <c r="L25" s="426" t="str">
        <f>IF(B25&lt;&gt;"",Adições!AC34,"")</f>
        <v/>
      </c>
      <c r="M25" s="426" t="str">
        <f>IF(B25&lt;&gt;"",Adições!Z34,"")</f>
        <v/>
      </c>
      <c r="N25" s="426" t="str">
        <f>IF(B25&lt;&gt;"",Adições!AB34,"")</f>
        <v/>
      </c>
      <c r="O25" s="426" t="str">
        <f>IF(B25&lt;&gt;"",Adições!AP34,"")</f>
        <v/>
      </c>
      <c r="P25" s="426" t="str">
        <f>IF(B25&lt;&gt;"",Adições!AD34,"")</f>
        <v/>
      </c>
      <c r="Q25" s="426" t="str">
        <f>IF(B25&lt;&gt;"",Adições!X34,"")</f>
        <v/>
      </c>
      <c r="R25" s="427" t="str">
        <f t="shared" si="3"/>
        <v/>
      </c>
      <c r="S25" s="689"/>
      <c r="T25" s="467" t="str">
        <f>IF(B25&lt;&gt;"",Adições!BD34,"")</f>
        <v/>
      </c>
      <c r="U25" s="426" t="str">
        <f t="shared" si="4"/>
        <v/>
      </c>
      <c r="V25" s="426" t="str">
        <f>IF(B25&lt;&gt;"",Adições!BC34,"")</f>
        <v/>
      </c>
      <c r="W25" s="426" t="str">
        <f>IF(B25&lt;&gt;"",Adições!BF34,"")</f>
        <v/>
      </c>
      <c r="X25" s="468" t="str">
        <f t="shared" si="5"/>
        <v/>
      </c>
      <c r="Y25" s="675"/>
      <c r="Z25" s="425" t="str">
        <f>IF(B25&lt;&gt;"",Adições!BL34,"")</f>
        <v/>
      </c>
      <c r="AA25" s="426" t="str">
        <f t="shared" si="0"/>
        <v/>
      </c>
      <c r="AB25" s="426" t="str">
        <f>IF(B25&lt;&gt;"",Adições!BK34,"")</f>
        <v/>
      </c>
      <c r="AC25" s="475" t="str">
        <f>IF(B25&lt;&gt;"",Adições!BN34,"")</f>
        <v/>
      </c>
      <c r="AD25" s="428" t="str">
        <f>IF(B25&lt;&gt;"",Adições!BO34,"")</f>
        <v/>
      </c>
      <c r="AE25" s="475" t="str">
        <f>IF(B25&lt;&gt;"",Adições!BP34,"")</f>
        <v/>
      </c>
      <c r="AF25" s="475" t="str">
        <f>IF(B25&lt;&gt;"",Adições!BQ34,"")</f>
        <v/>
      </c>
      <c r="AG25" s="476" t="str">
        <f>IF(B25&lt;&gt;"",IF(Adições!AE34="N",AA25+AC25,AA25+AC25+AF25),"")</f>
        <v/>
      </c>
    </row>
    <row r="26" spans="1:33" ht="60" customHeight="1">
      <c r="A26" s="429">
        <v>22</v>
      </c>
      <c r="B26" s="420" t="str">
        <f>IF(Adições!H35&lt;&gt;"",Adições!H35,"")</f>
        <v/>
      </c>
      <c r="C26" s="421">
        <f>Adições!K35</f>
        <v>0</v>
      </c>
      <c r="D26" s="466" t="str">
        <f>IF(B26&lt;&gt;"",Adições!D35,"")</f>
        <v/>
      </c>
      <c r="E26" s="422" t="str">
        <f>IF(B26&lt;&gt;"",Adições!I35,"")</f>
        <v/>
      </c>
      <c r="F26" s="423" t="str">
        <f>IF(B26&lt;&gt;"",Adições!J35,"")</f>
        <v/>
      </c>
      <c r="G26" s="424" t="str">
        <f t="shared" si="1"/>
        <v/>
      </c>
      <c r="H26" s="675"/>
      <c r="I26" s="425" t="str">
        <f>IF(B26&lt;&gt;"",Adições!AQ35,"")</f>
        <v/>
      </c>
      <c r="J26" s="426" t="str">
        <f t="shared" si="2"/>
        <v/>
      </c>
      <c r="K26" s="426" t="str">
        <f>IF(B26&lt;&gt;"",Adições!T35,"")</f>
        <v/>
      </c>
      <c r="L26" s="426" t="str">
        <f>IF(B26&lt;&gt;"",Adições!AC35,"")</f>
        <v/>
      </c>
      <c r="M26" s="426" t="str">
        <f>IF(B26&lt;&gt;"",Adições!Z35,"")</f>
        <v/>
      </c>
      <c r="N26" s="426" t="str">
        <f>IF(B26&lt;&gt;"",Adições!AB35,"")</f>
        <v/>
      </c>
      <c r="O26" s="426" t="str">
        <f>IF(B26&lt;&gt;"",Adições!AP35,"")</f>
        <v/>
      </c>
      <c r="P26" s="426" t="str">
        <f>IF(B26&lt;&gt;"",Adições!AD35,"")</f>
        <v/>
      </c>
      <c r="Q26" s="426" t="str">
        <f>IF(B26&lt;&gt;"",Adições!X35,"")</f>
        <v/>
      </c>
      <c r="R26" s="427" t="str">
        <f t="shared" si="3"/>
        <v/>
      </c>
      <c r="S26" s="689"/>
      <c r="T26" s="467" t="str">
        <f>IF(B26&lt;&gt;"",Adições!BD35,"")</f>
        <v/>
      </c>
      <c r="U26" s="426" t="str">
        <f t="shared" si="4"/>
        <v/>
      </c>
      <c r="V26" s="426" t="str">
        <f>IF(B26&lt;&gt;"",Adições!BC35,"")</f>
        <v/>
      </c>
      <c r="W26" s="426" t="str">
        <f>IF(B26&lt;&gt;"",Adições!BF35,"")</f>
        <v/>
      </c>
      <c r="X26" s="468" t="str">
        <f t="shared" si="5"/>
        <v/>
      </c>
      <c r="Y26" s="675"/>
      <c r="Z26" s="425" t="str">
        <f>IF(B26&lt;&gt;"",Adições!BL35,"")</f>
        <v/>
      </c>
      <c r="AA26" s="426" t="str">
        <f t="shared" si="0"/>
        <v/>
      </c>
      <c r="AB26" s="426" t="str">
        <f>IF(B26&lt;&gt;"",Adições!BK35,"")</f>
        <v/>
      </c>
      <c r="AC26" s="475" t="str">
        <f>IF(B26&lt;&gt;"",Adições!BN35,"")</f>
        <v/>
      </c>
      <c r="AD26" s="428" t="str">
        <f>IF(B26&lt;&gt;"",Adições!BO35,"")</f>
        <v/>
      </c>
      <c r="AE26" s="475" t="str">
        <f>IF(B26&lt;&gt;"",Adições!BP35,"")</f>
        <v/>
      </c>
      <c r="AF26" s="475" t="str">
        <f>IF(B26&lt;&gt;"",Adições!BQ35,"")</f>
        <v/>
      </c>
      <c r="AG26" s="476" t="str">
        <f>IF(B26&lt;&gt;"",IF(Adições!AE35="N",AA26+AC26,AA26+AC26+AF26),"")</f>
        <v/>
      </c>
    </row>
    <row r="27" spans="1:33" ht="60" hidden="1" customHeight="1">
      <c r="A27" s="429">
        <v>23</v>
      </c>
      <c r="B27" s="420" t="str">
        <f>IF(Adições!H36&lt;&gt;"",Adições!H36,"")</f>
        <v/>
      </c>
      <c r="C27" s="421">
        <f>Adições!K36</f>
        <v>0</v>
      </c>
      <c r="D27" s="466" t="str">
        <f>IF(B27&lt;&gt;"",Adições!D36,"")</f>
        <v/>
      </c>
      <c r="E27" s="422" t="str">
        <f>IF(B27&lt;&gt;"",Adições!I36,"")</f>
        <v/>
      </c>
      <c r="F27" s="423" t="str">
        <f>IF(B27&lt;&gt;"",Adições!J36,"")</f>
        <v/>
      </c>
      <c r="G27" s="424" t="str">
        <f t="shared" si="1"/>
        <v/>
      </c>
      <c r="H27" s="675"/>
      <c r="I27" s="425" t="str">
        <f>IF(B27&lt;&gt;"",Adições!AQ36,"")</f>
        <v/>
      </c>
      <c r="J27" s="426" t="str">
        <f t="shared" si="2"/>
        <v/>
      </c>
      <c r="K27" s="426" t="str">
        <f>IF(B27&lt;&gt;"",Adições!T36,"")</f>
        <v/>
      </c>
      <c r="L27" s="426" t="str">
        <f>IF(B27&lt;&gt;"",Adições!AC36,"")</f>
        <v/>
      </c>
      <c r="M27" s="426" t="str">
        <f>IF(B27&lt;&gt;"",Adições!Z36,"")</f>
        <v/>
      </c>
      <c r="N27" s="426" t="str">
        <f>IF(B27&lt;&gt;"",Adições!AB36,"")</f>
        <v/>
      </c>
      <c r="O27" s="426" t="str">
        <f>IF(B27&lt;&gt;"",Adições!AP36,"")</f>
        <v/>
      </c>
      <c r="P27" s="426" t="str">
        <f>IF(B27&lt;&gt;"",Adições!AD36,"")</f>
        <v/>
      </c>
      <c r="Q27" s="426" t="str">
        <f>IF(B27&lt;&gt;"",Adições!X36,"")</f>
        <v/>
      </c>
      <c r="R27" s="427" t="str">
        <f t="shared" si="3"/>
        <v/>
      </c>
      <c r="S27" s="689"/>
      <c r="T27" s="467" t="str">
        <f>IF(B27&lt;&gt;"",Adições!BD36,"")</f>
        <v/>
      </c>
      <c r="U27" s="426" t="str">
        <f t="shared" si="4"/>
        <v/>
      </c>
      <c r="V27" s="426" t="str">
        <f>IF(B27&lt;&gt;"",Adições!BC36,"")</f>
        <v/>
      </c>
      <c r="W27" s="426" t="str">
        <f>IF(B27&lt;&gt;"",Adições!BF36,"")</f>
        <v/>
      </c>
      <c r="X27" s="468" t="str">
        <f t="shared" si="5"/>
        <v/>
      </c>
      <c r="Y27" s="675"/>
      <c r="Z27" s="425" t="str">
        <f>IF(B27&lt;&gt;"",Adições!BL36,"")</f>
        <v/>
      </c>
      <c r="AA27" s="426" t="str">
        <f t="shared" si="0"/>
        <v/>
      </c>
      <c r="AB27" s="426" t="str">
        <f>IF(B27&lt;&gt;"",Adições!BK36,"")</f>
        <v/>
      </c>
      <c r="AC27" s="475" t="str">
        <f>IF(B27&lt;&gt;"",Adições!BN36,"")</f>
        <v/>
      </c>
      <c r="AD27" s="428" t="str">
        <f>IF(B27&lt;&gt;"",Adições!BO36,"")</f>
        <v/>
      </c>
      <c r="AE27" s="475" t="str">
        <f>IF(B27&lt;&gt;"",Adições!BP36,"")</f>
        <v/>
      </c>
      <c r="AF27" s="475" t="str">
        <f>IF(B27&lt;&gt;"",Adições!BQ36,"")</f>
        <v/>
      </c>
      <c r="AG27" s="476" t="str">
        <f>IF(B27&lt;&gt;"",IF(Adições!AE36="N",AA27+AC27,AA27+AC27+AF27),"")</f>
        <v/>
      </c>
    </row>
    <row r="28" spans="1:33" ht="60" hidden="1" customHeight="1" thickBot="1">
      <c r="A28" s="429">
        <v>24</v>
      </c>
      <c r="B28" s="420" t="str">
        <f>IF(Adições!H37&lt;&gt;"",Adições!H37,"")</f>
        <v/>
      </c>
      <c r="C28" s="421">
        <f>Adições!K37</f>
        <v>0</v>
      </c>
      <c r="D28" s="466" t="str">
        <f>IF(B28&lt;&gt;"",Adições!D37,"")</f>
        <v/>
      </c>
      <c r="E28" s="422" t="str">
        <f>IF(B28&lt;&gt;"",Adições!I37,"")</f>
        <v/>
      </c>
      <c r="F28" s="423" t="str">
        <f>IF(B28&lt;&gt;"",Adições!J37,"")</f>
        <v/>
      </c>
      <c r="G28" s="424" t="str">
        <f t="shared" si="1"/>
        <v/>
      </c>
      <c r="H28" s="675"/>
      <c r="I28" s="425" t="str">
        <f>IF(B28&lt;&gt;"",Adições!AQ37,"")</f>
        <v/>
      </c>
      <c r="J28" s="426" t="str">
        <f t="shared" si="2"/>
        <v/>
      </c>
      <c r="K28" s="426" t="str">
        <f>IF(B28&lt;&gt;"",Adições!T37,"")</f>
        <v/>
      </c>
      <c r="L28" s="426" t="str">
        <f>IF(B28&lt;&gt;"",Adições!AC37,"")</f>
        <v/>
      </c>
      <c r="M28" s="426" t="str">
        <f>IF(B28&lt;&gt;"",Adições!Z37,"")</f>
        <v/>
      </c>
      <c r="N28" s="426" t="str">
        <f>IF(B28&lt;&gt;"",Adições!AB37,"")</f>
        <v/>
      </c>
      <c r="O28" s="426" t="str">
        <f>IF(B28&lt;&gt;"",Adições!AP37,"")</f>
        <v/>
      </c>
      <c r="P28" s="426" t="str">
        <f>IF(B28&lt;&gt;"",Adições!AD37,"")</f>
        <v/>
      </c>
      <c r="Q28" s="426" t="str">
        <f>IF(B28&lt;&gt;"",Adições!X37,"")</f>
        <v/>
      </c>
      <c r="R28" s="427" t="str">
        <f t="shared" si="3"/>
        <v/>
      </c>
      <c r="S28" s="689"/>
      <c r="T28" s="467" t="str">
        <f>IF(B28&lt;&gt;"",Adições!BD37,"")</f>
        <v/>
      </c>
      <c r="U28" s="426" t="str">
        <f t="shared" si="4"/>
        <v/>
      </c>
      <c r="V28" s="426" t="str">
        <f>IF(B28&lt;&gt;"",Adições!BC37,"")</f>
        <v/>
      </c>
      <c r="W28" s="426" t="str">
        <f>IF(B28&lt;&gt;"",Adições!BF37,"")</f>
        <v/>
      </c>
      <c r="X28" s="468" t="str">
        <f t="shared" si="5"/>
        <v/>
      </c>
      <c r="Y28" s="675"/>
      <c r="Z28" s="425" t="str">
        <f>IF(B28&lt;&gt;"",Adições!BL37,"")</f>
        <v/>
      </c>
      <c r="AA28" s="426" t="str">
        <f t="shared" si="0"/>
        <v/>
      </c>
      <c r="AB28" s="426" t="str">
        <f>IF(B28&lt;&gt;"",Adições!BK37,"")</f>
        <v/>
      </c>
      <c r="AC28" s="475" t="str">
        <f>IF(B28&lt;&gt;"",Adições!BN37,"")</f>
        <v/>
      </c>
      <c r="AD28" s="428" t="str">
        <f>IF(B28&lt;&gt;"",Adições!BO37,"")</f>
        <v/>
      </c>
      <c r="AE28" s="475" t="str">
        <f>IF(B28&lt;&gt;"",Adições!BP37,"")</f>
        <v/>
      </c>
      <c r="AF28" s="475" t="str">
        <f>IF(B28&lt;&gt;"",Adições!BQ37,"")</f>
        <v/>
      </c>
      <c r="AG28" s="476" t="str">
        <f>IF(B28&lt;&gt;"",IF(Adições!AE37="N",AA28+AC28,AA28+AC28+AF28),"")</f>
        <v/>
      </c>
    </row>
    <row r="29" spans="1:33" ht="60" hidden="1" customHeight="1" thickBot="1">
      <c r="A29" s="429">
        <v>25</v>
      </c>
      <c r="B29" s="420" t="str">
        <f>IF(Adições!H38&lt;&gt;"",Adições!H38,"")</f>
        <v/>
      </c>
      <c r="C29" s="421">
        <f>Adições!K38</f>
        <v>0</v>
      </c>
      <c r="D29" s="466" t="str">
        <f>IF(B29&lt;&gt;"",Adições!D38,"")</f>
        <v/>
      </c>
      <c r="E29" s="422" t="str">
        <f>IF(B29&lt;&gt;"",Adições!I38,"")</f>
        <v/>
      </c>
      <c r="F29" s="423" t="str">
        <f>IF(B29&lt;&gt;"",Adições!J38,"")</f>
        <v/>
      </c>
      <c r="G29" s="424" t="str">
        <f t="shared" si="1"/>
        <v/>
      </c>
      <c r="H29" s="675"/>
      <c r="I29" s="425" t="str">
        <f>IF(B29&lt;&gt;"",Adições!AQ38,"")</f>
        <v/>
      </c>
      <c r="J29" s="426" t="str">
        <f t="shared" si="2"/>
        <v/>
      </c>
      <c r="K29" s="426" t="str">
        <f>IF(B29&lt;&gt;"",Adições!T38,"")</f>
        <v/>
      </c>
      <c r="L29" s="426" t="str">
        <f>IF(B29&lt;&gt;"",Adições!AC38,"")</f>
        <v/>
      </c>
      <c r="M29" s="426" t="str">
        <f>IF(B29&lt;&gt;"",Adições!Z38,"")</f>
        <v/>
      </c>
      <c r="N29" s="426" t="str">
        <f>IF(B29&lt;&gt;"",Adições!AB38,"")</f>
        <v/>
      </c>
      <c r="O29" s="426" t="str">
        <f>IF(B29&lt;&gt;"",Adições!AP38,"")</f>
        <v/>
      </c>
      <c r="P29" s="426" t="str">
        <f>IF(B29&lt;&gt;"",Adições!AD38,"")</f>
        <v/>
      </c>
      <c r="Q29" s="426" t="str">
        <f>IF(B29&lt;&gt;"",Adições!X38,"")</f>
        <v/>
      </c>
      <c r="R29" s="427" t="str">
        <f t="shared" si="3"/>
        <v/>
      </c>
      <c r="S29" s="689"/>
      <c r="T29" s="467" t="str">
        <f>IF(B29&lt;&gt;"",Adições!BD38,"")</f>
        <v/>
      </c>
      <c r="U29" s="426" t="str">
        <f t="shared" si="4"/>
        <v/>
      </c>
      <c r="V29" s="426" t="str">
        <f>IF(B29&lt;&gt;"",Adições!BC38,"")</f>
        <v/>
      </c>
      <c r="W29" s="426" t="str">
        <f>IF(B29&lt;&gt;"",Adições!BF38,"")</f>
        <v/>
      </c>
      <c r="X29" s="468" t="str">
        <f t="shared" si="5"/>
        <v/>
      </c>
      <c r="Y29" s="675"/>
      <c r="Z29" s="425" t="str">
        <f>IF(B29&lt;&gt;"",Adições!BL38,"")</f>
        <v/>
      </c>
      <c r="AA29" s="426" t="str">
        <f t="shared" si="0"/>
        <v/>
      </c>
      <c r="AB29" s="426" t="str">
        <f>IF(B29&lt;&gt;"",Adições!BK38,"")</f>
        <v/>
      </c>
      <c r="AC29" s="475" t="str">
        <f>IF(B29&lt;&gt;"",Adições!BN38,"")</f>
        <v/>
      </c>
      <c r="AD29" s="428" t="str">
        <f>IF(B29&lt;&gt;"",Adições!BO38,"")</f>
        <v/>
      </c>
      <c r="AE29" s="475" t="str">
        <f>IF(B29&lt;&gt;"",Adições!BP38,"")</f>
        <v/>
      </c>
      <c r="AF29" s="475" t="str">
        <f>IF(B29&lt;&gt;"",Adições!BQ38,"")</f>
        <v/>
      </c>
      <c r="AG29" s="476" t="str">
        <f>IF(B29&lt;&gt;"",IF(Adições!AE38="N",AA29+AC29,AA29+AC29+AF29),"")</f>
        <v/>
      </c>
    </row>
    <row r="30" spans="1:33" ht="60" hidden="1" customHeight="1" thickBot="1">
      <c r="A30" s="429">
        <v>26</v>
      </c>
      <c r="B30" s="420" t="str">
        <f>IF(Adições!H39&lt;&gt;"",Adições!H39,"")</f>
        <v/>
      </c>
      <c r="C30" s="421">
        <f>Adições!K39</f>
        <v>0</v>
      </c>
      <c r="D30" s="466" t="str">
        <f>IF(B30&lt;&gt;"",Adições!D39,"")</f>
        <v/>
      </c>
      <c r="E30" s="422" t="str">
        <f>IF(B30&lt;&gt;"",Adições!I39,"")</f>
        <v/>
      </c>
      <c r="F30" s="423" t="str">
        <f>IF(B30&lt;&gt;"",Adições!J39,"")</f>
        <v/>
      </c>
      <c r="G30" s="424" t="str">
        <f t="shared" si="1"/>
        <v/>
      </c>
      <c r="H30" s="675"/>
      <c r="I30" s="425" t="str">
        <f>IF(B30&lt;&gt;"",Adições!AQ39,"")</f>
        <v/>
      </c>
      <c r="J30" s="426" t="str">
        <f t="shared" si="2"/>
        <v/>
      </c>
      <c r="K30" s="426" t="str">
        <f>IF(B30&lt;&gt;"",Adições!T39,"")</f>
        <v/>
      </c>
      <c r="L30" s="426" t="str">
        <f>IF(B30&lt;&gt;"",Adições!AC39,"")</f>
        <v/>
      </c>
      <c r="M30" s="426" t="str">
        <f>IF(B30&lt;&gt;"",Adições!Z39,"")</f>
        <v/>
      </c>
      <c r="N30" s="426" t="str">
        <f>IF(B30&lt;&gt;"",Adições!AB39,"")</f>
        <v/>
      </c>
      <c r="O30" s="426" t="str">
        <f>IF(B30&lt;&gt;"",Adições!AP39,"")</f>
        <v/>
      </c>
      <c r="P30" s="426" t="str">
        <f>IF(B30&lt;&gt;"",Adições!AD39,"")</f>
        <v/>
      </c>
      <c r="Q30" s="426" t="str">
        <f>IF(B30&lt;&gt;"",Adições!X39,"")</f>
        <v/>
      </c>
      <c r="R30" s="427" t="str">
        <f t="shared" si="3"/>
        <v/>
      </c>
      <c r="S30" s="689"/>
      <c r="T30" s="467" t="str">
        <f>IF(B30&lt;&gt;"",Adições!BD39,"")</f>
        <v/>
      </c>
      <c r="U30" s="426" t="str">
        <f t="shared" si="4"/>
        <v/>
      </c>
      <c r="V30" s="426" t="str">
        <f>IF(B30&lt;&gt;"",Adições!BC39,"")</f>
        <v/>
      </c>
      <c r="W30" s="426" t="str">
        <f>IF(B30&lt;&gt;"",Adições!BF39,"")</f>
        <v/>
      </c>
      <c r="X30" s="468" t="str">
        <f t="shared" si="5"/>
        <v/>
      </c>
      <c r="Y30" s="675"/>
      <c r="Z30" s="425" t="str">
        <f>IF(B30&lt;&gt;"",Adições!BL39,"")</f>
        <v/>
      </c>
      <c r="AA30" s="426" t="str">
        <f t="shared" si="0"/>
        <v/>
      </c>
      <c r="AB30" s="426" t="str">
        <f>IF(B30&lt;&gt;"",Adições!BK39,"")</f>
        <v/>
      </c>
      <c r="AC30" s="475" t="str">
        <f>IF(B30&lt;&gt;"",Adições!BN39,"")</f>
        <v/>
      </c>
      <c r="AD30" s="428" t="str">
        <f>IF(B30&lt;&gt;"",Adições!BO39,"")</f>
        <v/>
      </c>
      <c r="AE30" s="475" t="str">
        <f>IF(B30&lt;&gt;"",Adições!BP39,"")</f>
        <v/>
      </c>
      <c r="AF30" s="475" t="str">
        <f>IF(B30&lt;&gt;"",Adições!BQ39,"")</f>
        <v/>
      </c>
      <c r="AG30" s="476" t="str">
        <f>IF(B30&lt;&gt;"",IF(Adições!AE39="N",AA30+AC30,AA30+AC30+AF30),"")</f>
        <v/>
      </c>
    </row>
    <row r="31" spans="1:33" ht="60" hidden="1" customHeight="1" thickBot="1">
      <c r="A31" s="429">
        <v>27</v>
      </c>
      <c r="B31" s="420" t="str">
        <f>IF(Adições!H40&lt;&gt;"",Adições!H40,"")</f>
        <v/>
      </c>
      <c r="C31" s="421">
        <f>Adições!K40</f>
        <v>0</v>
      </c>
      <c r="D31" s="466" t="str">
        <f>IF(B31&lt;&gt;"",Adições!D40,"")</f>
        <v/>
      </c>
      <c r="E31" s="422" t="str">
        <f>IF(B31&lt;&gt;"",Adições!I40,"")</f>
        <v/>
      </c>
      <c r="F31" s="423" t="str">
        <f>IF(B31&lt;&gt;"",Adições!J40,"")</f>
        <v/>
      </c>
      <c r="G31" s="424" t="str">
        <f t="shared" si="1"/>
        <v/>
      </c>
      <c r="H31" s="675"/>
      <c r="I31" s="425" t="str">
        <f>IF(B31&lt;&gt;"",Adições!AQ40,"")</f>
        <v/>
      </c>
      <c r="J31" s="426" t="str">
        <f t="shared" si="2"/>
        <v/>
      </c>
      <c r="K31" s="426" t="str">
        <f>IF(B31&lt;&gt;"",Adições!T40,"")</f>
        <v/>
      </c>
      <c r="L31" s="426" t="str">
        <f>IF(B31&lt;&gt;"",Adições!AC40,"")</f>
        <v/>
      </c>
      <c r="M31" s="426" t="str">
        <f>IF(B31&lt;&gt;"",Adições!Z40,"")</f>
        <v/>
      </c>
      <c r="N31" s="426" t="str">
        <f>IF(B31&lt;&gt;"",Adições!AB40,"")</f>
        <v/>
      </c>
      <c r="O31" s="426" t="str">
        <f>IF(B31&lt;&gt;"",Adições!AP40,"")</f>
        <v/>
      </c>
      <c r="P31" s="426" t="str">
        <f>IF(B31&lt;&gt;"",Adições!AD40,"")</f>
        <v/>
      </c>
      <c r="Q31" s="426" t="str">
        <f>IF(B31&lt;&gt;"",Adições!X40,"")</f>
        <v/>
      </c>
      <c r="R31" s="427" t="str">
        <f t="shared" si="3"/>
        <v/>
      </c>
      <c r="S31" s="689"/>
      <c r="T31" s="467" t="str">
        <f>IF(B31&lt;&gt;"",Adições!BD40,"")</f>
        <v/>
      </c>
      <c r="U31" s="426" t="str">
        <f t="shared" si="4"/>
        <v/>
      </c>
      <c r="V31" s="426" t="str">
        <f>IF(B31&lt;&gt;"",Adições!BC40,"")</f>
        <v/>
      </c>
      <c r="W31" s="426" t="str">
        <f>IF(B31&lt;&gt;"",Adições!BF40,"")</f>
        <v/>
      </c>
      <c r="X31" s="468" t="str">
        <f t="shared" si="5"/>
        <v/>
      </c>
      <c r="Y31" s="675"/>
      <c r="Z31" s="425" t="str">
        <f>IF(B31&lt;&gt;"",Adições!BL40,"")</f>
        <v/>
      </c>
      <c r="AA31" s="426" t="str">
        <f t="shared" si="0"/>
        <v/>
      </c>
      <c r="AB31" s="426" t="str">
        <f>IF(B31&lt;&gt;"",Adições!BK40,"")</f>
        <v/>
      </c>
      <c r="AC31" s="475" t="str">
        <f>IF(B31&lt;&gt;"",Adições!BN40,"")</f>
        <v/>
      </c>
      <c r="AD31" s="428" t="str">
        <f>IF(B31&lt;&gt;"",Adições!BO40,"")</f>
        <v/>
      </c>
      <c r="AE31" s="475" t="str">
        <f>IF(B31&lt;&gt;"",Adições!BP40,"")</f>
        <v/>
      </c>
      <c r="AF31" s="475" t="str">
        <f>IF(B31&lt;&gt;"",Adições!BQ40,"")</f>
        <v/>
      </c>
      <c r="AG31" s="476" t="str">
        <f>IF(B31&lt;&gt;"",IF(Adições!AE40="N",AA31+AC31,AA31+AC31+AF31),"")</f>
        <v/>
      </c>
    </row>
    <row r="32" spans="1:33" ht="60" hidden="1" customHeight="1" thickBot="1">
      <c r="A32" s="429">
        <v>28</v>
      </c>
      <c r="B32" s="420" t="str">
        <f>IF(Adições!H41&lt;&gt;"",Adições!H41,"")</f>
        <v/>
      </c>
      <c r="C32" s="421">
        <f>Adições!K41</f>
        <v>0</v>
      </c>
      <c r="D32" s="466" t="str">
        <f>IF(B32&lt;&gt;"",Adições!D41,"")</f>
        <v/>
      </c>
      <c r="E32" s="422" t="str">
        <f>IF(B32&lt;&gt;"",Adições!I41,"")</f>
        <v/>
      </c>
      <c r="F32" s="423" t="str">
        <f>IF(B32&lt;&gt;"",Adições!J41,"")</f>
        <v/>
      </c>
      <c r="G32" s="424" t="str">
        <f t="shared" si="1"/>
        <v/>
      </c>
      <c r="H32" s="675"/>
      <c r="I32" s="425" t="str">
        <f>IF(B32&lt;&gt;"",Adições!AQ41,"")</f>
        <v/>
      </c>
      <c r="J32" s="426" t="str">
        <f t="shared" si="2"/>
        <v/>
      </c>
      <c r="K32" s="426" t="str">
        <f>IF(B32&lt;&gt;"",Adições!T41,"")</f>
        <v/>
      </c>
      <c r="L32" s="426" t="str">
        <f>IF(B32&lt;&gt;"",Adições!AC41,"")</f>
        <v/>
      </c>
      <c r="M32" s="426" t="str">
        <f>IF(B32&lt;&gt;"",Adições!Z41,"")</f>
        <v/>
      </c>
      <c r="N32" s="426" t="str">
        <f>IF(B32&lt;&gt;"",Adições!AB41,"")</f>
        <v/>
      </c>
      <c r="O32" s="426" t="str">
        <f>IF(B32&lt;&gt;"",Adições!AP41,"")</f>
        <v/>
      </c>
      <c r="P32" s="426" t="str">
        <f>IF(B32&lt;&gt;"",Adições!AD41,"")</f>
        <v/>
      </c>
      <c r="Q32" s="426" t="str">
        <f>IF(B32&lt;&gt;"",Adições!X41,"")</f>
        <v/>
      </c>
      <c r="R32" s="427" t="str">
        <f t="shared" si="3"/>
        <v/>
      </c>
      <c r="S32" s="689"/>
      <c r="T32" s="467" t="str">
        <f>IF(B32&lt;&gt;"",Adições!BD41,"")</f>
        <v/>
      </c>
      <c r="U32" s="426" t="str">
        <f t="shared" si="4"/>
        <v/>
      </c>
      <c r="V32" s="426" t="str">
        <f>IF(B32&lt;&gt;"",Adições!BC41,"")</f>
        <v/>
      </c>
      <c r="W32" s="426" t="str">
        <f>IF(B32&lt;&gt;"",Adições!BF41,"")</f>
        <v/>
      </c>
      <c r="X32" s="468" t="str">
        <f t="shared" si="5"/>
        <v/>
      </c>
      <c r="Y32" s="675"/>
      <c r="Z32" s="425" t="str">
        <f>IF(B32&lt;&gt;"",Adições!BL41,"")</f>
        <v/>
      </c>
      <c r="AA32" s="426" t="str">
        <f t="shared" si="0"/>
        <v/>
      </c>
      <c r="AB32" s="426" t="str">
        <f>IF(B32&lt;&gt;"",Adições!BK41,"")</f>
        <v/>
      </c>
      <c r="AC32" s="475" t="str">
        <f>IF(B32&lt;&gt;"",Adições!BN41,"")</f>
        <v/>
      </c>
      <c r="AD32" s="428" t="str">
        <f>IF(B32&lt;&gt;"",Adições!BO41,"")</f>
        <v/>
      </c>
      <c r="AE32" s="475" t="str">
        <f>IF(B32&lt;&gt;"",Adições!BP41,"")</f>
        <v/>
      </c>
      <c r="AF32" s="475" t="str">
        <f>IF(B32&lt;&gt;"",Adições!BQ41,"")</f>
        <v/>
      </c>
      <c r="AG32" s="476" t="str">
        <f>IF(B32&lt;&gt;"",IF(Adições!AE41="N",AA32+AC32,AA32+AC32+AF32),"")</f>
        <v/>
      </c>
    </row>
    <row r="33" spans="1:33" ht="60" hidden="1" customHeight="1" thickBot="1">
      <c r="A33" s="429">
        <v>29</v>
      </c>
      <c r="B33" s="420" t="str">
        <f>IF(Adições!H42&lt;&gt;"",Adições!H42,"")</f>
        <v/>
      </c>
      <c r="C33" s="421">
        <f>Adições!K42</f>
        <v>0</v>
      </c>
      <c r="D33" s="466" t="str">
        <f>IF(B33&lt;&gt;"",Adições!D42,"")</f>
        <v/>
      </c>
      <c r="E33" s="422" t="str">
        <f>IF(B33&lt;&gt;"",Adições!I42,"")</f>
        <v/>
      </c>
      <c r="F33" s="423" t="str">
        <f>IF(B33&lt;&gt;"",Adições!J42,"")</f>
        <v/>
      </c>
      <c r="G33" s="424" t="str">
        <f t="shared" si="1"/>
        <v/>
      </c>
      <c r="H33" s="675"/>
      <c r="I33" s="425" t="str">
        <f>IF(B33&lt;&gt;"",Adições!AQ42,"")</f>
        <v/>
      </c>
      <c r="J33" s="426" t="str">
        <f t="shared" si="2"/>
        <v/>
      </c>
      <c r="K33" s="426" t="str">
        <f>IF(B33&lt;&gt;"",Adições!T42,"")</f>
        <v/>
      </c>
      <c r="L33" s="426" t="str">
        <f>IF(B33&lt;&gt;"",Adições!AC42,"")</f>
        <v/>
      </c>
      <c r="M33" s="426" t="str">
        <f>IF(B33&lt;&gt;"",Adições!Z42,"")</f>
        <v/>
      </c>
      <c r="N33" s="426" t="str">
        <f>IF(B33&lt;&gt;"",Adições!AB42,"")</f>
        <v/>
      </c>
      <c r="O33" s="426" t="str">
        <f>IF(B33&lt;&gt;"",Adições!AP42,"")</f>
        <v/>
      </c>
      <c r="P33" s="426" t="str">
        <f>IF(B33&lt;&gt;"",Adições!AD42,"")</f>
        <v/>
      </c>
      <c r="Q33" s="426" t="str">
        <f>IF(B33&lt;&gt;"",Adições!X42,"")</f>
        <v/>
      </c>
      <c r="R33" s="427" t="str">
        <f t="shared" si="3"/>
        <v/>
      </c>
      <c r="S33" s="689"/>
      <c r="T33" s="467" t="str">
        <f>IF(B33&lt;&gt;"",Adições!BD42,"")</f>
        <v/>
      </c>
      <c r="U33" s="426" t="str">
        <f t="shared" si="4"/>
        <v/>
      </c>
      <c r="V33" s="426" t="str">
        <f>IF(B33&lt;&gt;"",Adições!BC42,"")</f>
        <v/>
      </c>
      <c r="W33" s="426" t="str">
        <f>IF(B33&lt;&gt;"",Adições!BF42,"")</f>
        <v/>
      </c>
      <c r="X33" s="468" t="str">
        <f t="shared" si="5"/>
        <v/>
      </c>
      <c r="Y33" s="675"/>
      <c r="Z33" s="425" t="str">
        <f>IF(B33&lt;&gt;"",Adições!BL42,"")</f>
        <v/>
      </c>
      <c r="AA33" s="426" t="str">
        <f t="shared" si="0"/>
        <v/>
      </c>
      <c r="AB33" s="426" t="str">
        <f>IF(B33&lt;&gt;"",Adições!BK42,"")</f>
        <v/>
      </c>
      <c r="AC33" s="475" t="str">
        <f>IF(B33&lt;&gt;"",Adições!BN42,"")</f>
        <v/>
      </c>
      <c r="AD33" s="428" t="str">
        <f>IF(B33&lt;&gt;"",Adições!BO42,"")</f>
        <v/>
      </c>
      <c r="AE33" s="475" t="str">
        <f>IF(B33&lt;&gt;"",Adições!BP42,"")</f>
        <v/>
      </c>
      <c r="AF33" s="475" t="str">
        <f>IF(B33&lt;&gt;"",Adições!BQ42,"")</f>
        <v/>
      </c>
      <c r="AG33" s="476" t="str">
        <f>IF(B33&lt;&gt;"",IF(Adições!AE42="N",AA33+AC33,AA33+AC33+AF33),"")</f>
        <v/>
      </c>
    </row>
    <row r="34" spans="1:33" ht="60" customHeight="1" thickBot="1">
      <c r="A34" s="430">
        <v>30</v>
      </c>
      <c r="B34" s="420" t="str">
        <f>IF(Adições!H43&lt;&gt;"",Adições!H43,"")</f>
        <v/>
      </c>
      <c r="C34" s="421" t="str">
        <f>IF(B34&lt;&gt;"",Adições!K43,"")</f>
        <v/>
      </c>
      <c r="D34" s="466" t="str">
        <f>IF(B34&lt;&gt;"",Adições!D43,"")</f>
        <v/>
      </c>
      <c r="E34" s="422" t="str">
        <f>IF(B34&lt;&gt;"",Adições!I43,"")</f>
        <v/>
      </c>
      <c r="F34" s="423" t="str">
        <f>IF(B34&lt;&gt;"",Adições!J43,"")</f>
        <v/>
      </c>
      <c r="G34" s="424" t="str">
        <f t="shared" si="1"/>
        <v/>
      </c>
      <c r="H34" s="675"/>
      <c r="I34" s="425" t="str">
        <f>IF(B34&lt;&gt;"",Adições!AQ43,"")</f>
        <v/>
      </c>
      <c r="J34" s="426" t="str">
        <f t="shared" si="2"/>
        <v/>
      </c>
      <c r="K34" s="426" t="str">
        <f>IF(B34&lt;&gt;"",Adições!T43,"")</f>
        <v/>
      </c>
      <c r="L34" s="426" t="str">
        <f>IF(B34&lt;&gt;"",Adições!AC43,"")</f>
        <v/>
      </c>
      <c r="M34" s="426" t="str">
        <f>IF(B34&lt;&gt;"",Adições!Z43,"")</f>
        <v/>
      </c>
      <c r="N34" s="426" t="str">
        <f>IF(B34&lt;&gt;"",Adições!AB43,"")</f>
        <v/>
      </c>
      <c r="O34" s="426" t="str">
        <f>IF(B34&lt;&gt;"",Adições!AP43,"")</f>
        <v/>
      </c>
      <c r="P34" s="426" t="str">
        <f>IF(B34&lt;&gt;"",Adições!AD43,"")</f>
        <v/>
      </c>
      <c r="Q34" s="426" t="str">
        <f>IF(B34&lt;&gt;"",Adições!X43,"")</f>
        <v/>
      </c>
      <c r="R34" s="427" t="str">
        <f t="shared" si="3"/>
        <v/>
      </c>
      <c r="S34" s="689"/>
      <c r="T34" s="467" t="str">
        <f>IF(B34&lt;&gt;"",Adições!BD43,"")</f>
        <v/>
      </c>
      <c r="U34" s="426" t="str">
        <f t="shared" si="4"/>
        <v/>
      </c>
      <c r="V34" s="426" t="str">
        <f>IF(B34&lt;&gt;"",Adições!BC43,"")</f>
        <v/>
      </c>
      <c r="W34" s="426" t="str">
        <f>IF(B34&lt;&gt;"",Adições!BF43,"")</f>
        <v/>
      </c>
      <c r="X34" s="468" t="str">
        <f t="shared" si="5"/>
        <v/>
      </c>
      <c r="Y34" s="675"/>
      <c r="Z34" s="425" t="str">
        <f>IF(B34&lt;&gt;"",Adições!BL43,"")</f>
        <v/>
      </c>
      <c r="AA34" s="426" t="str">
        <f t="shared" si="0"/>
        <v/>
      </c>
      <c r="AB34" s="426" t="str">
        <f>IF(B34&lt;&gt;"",Adições!BK43,"")</f>
        <v/>
      </c>
      <c r="AC34" s="475" t="str">
        <f>IF(B34&lt;&gt;"",Adições!BN43,"")</f>
        <v/>
      </c>
      <c r="AD34" s="428" t="str">
        <f>IF(B34&lt;&gt;"",Adições!BO43,"")</f>
        <v/>
      </c>
      <c r="AE34" s="475" t="str">
        <f>IF(B34&lt;&gt;"",Adições!BP43,"")</f>
        <v/>
      </c>
      <c r="AF34" s="475" t="str">
        <f>IF(B34&lt;&gt;"",Adições!BQ43,"")</f>
        <v/>
      </c>
      <c r="AG34" s="476" t="str">
        <f>IF(B34&lt;&gt;"",IF(Adições!AE43="N",AA34+AC34,AA34+AC34+AF34),"")</f>
        <v/>
      </c>
    </row>
    <row r="35" spans="1:33" s="173" customFormat="1" ht="61.8" thickBot="1">
      <c r="A35" s="701" t="s">
        <v>321</v>
      </c>
      <c r="B35" s="702"/>
      <c r="C35" s="702"/>
      <c r="D35" s="703"/>
      <c r="E35" s="415" t="s">
        <v>326</v>
      </c>
      <c r="F35" s="416" t="s">
        <v>327</v>
      </c>
      <c r="G35" s="417" t="s">
        <v>37</v>
      </c>
      <c r="H35" s="675"/>
      <c r="I35" s="431" t="s">
        <v>352</v>
      </c>
      <c r="J35" s="400" t="s">
        <v>362</v>
      </c>
      <c r="K35" s="415" t="s">
        <v>24</v>
      </c>
      <c r="L35" s="481" t="s">
        <v>363</v>
      </c>
      <c r="M35" s="415" t="s">
        <v>202</v>
      </c>
      <c r="N35" s="415" t="s">
        <v>203</v>
      </c>
      <c r="O35" s="415" t="s">
        <v>32</v>
      </c>
      <c r="P35" s="415" t="s">
        <v>231</v>
      </c>
      <c r="Q35" s="415" t="s">
        <v>25</v>
      </c>
      <c r="R35" s="400" t="s">
        <v>34</v>
      </c>
      <c r="S35" s="689"/>
      <c r="T35" s="469" t="s">
        <v>331</v>
      </c>
      <c r="U35" s="400" t="s">
        <v>362</v>
      </c>
      <c r="V35" s="415" t="s">
        <v>32</v>
      </c>
      <c r="W35" s="415" t="s">
        <v>25</v>
      </c>
      <c r="X35" s="400" t="s">
        <v>34</v>
      </c>
      <c r="Y35" s="675"/>
      <c r="Z35" s="469" t="s">
        <v>332</v>
      </c>
      <c r="AA35" s="473" t="s">
        <v>362</v>
      </c>
      <c r="AB35" s="470" t="s">
        <v>32</v>
      </c>
      <c r="AC35" s="474" t="s">
        <v>25</v>
      </c>
      <c r="AD35" s="474" t="s">
        <v>353</v>
      </c>
      <c r="AE35" s="474" t="s">
        <v>364</v>
      </c>
      <c r="AF35" s="474" t="s">
        <v>330</v>
      </c>
      <c r="AG35" s="473" t="s">
        <v>34</v>
      </c>
    </row>
    <row r="36" spans="1:33" s="173" customFormat="1" ht="25.2" thickBot="1">
      <c r="A36" s="607"/>
      <c r="B36" s="608"/>
      <c r="C36" s="608"/>
      <c r="D36" s="691"/>
      <c r="E36" s="432">
        <f>SUM(E5:E34)</f>
        <v>396072</v>
      </c>
      <c r="F36" s="433"/>
      <c r="G36" s="434">
        <f>SUM(G5:G34)</f>
        <v>29657.519999999993</v>
      </c>
      <c r="H36" s="676"/>
      <c r="I36" s="435"/>
      <c r="J36" s="436">
        <f t="shared" ref="J36:R36" si="9">SUM(J5:J34)</f>
        <v>158844.263424</v>
      </c>
      <c r="K36" s="436">
        <f t="shared" si="9"/>
        <v>21886.668418491736</v>
      </c>
      <c r="L36" s="436">
        <f t="shared" si="9"/>
        <v>3497.9183999999977</v>
      </c>
      <c r="M36" s="436">
        <f t="shared" si="9"/>
        <v>3335.7295319040009</v>
      </c>
      <c r="N36" s="436">
        <f t="shared" si="9"/>
        <v>15328.471420415999</v>
      </c>
      <c r="O36" s="436">
        <f t="shared" si="9"/>
        <v>0</v>
      </c>
      <c r="P36" s="436">
        <f t="shared" si="9"/>
        <v>1102.6721280000004</v>
      </c>
      <c r="Q36" s="436">
        <f t="shared" si="9"/>
        <v>10772.522255209276</v>
      </c>
      <c r="R36" s="436">
        <f t="shared" si="9"/>
        <v>214768.24557802104</v>
      </c>
      <c r="S36" s="690"/>
      <c r="T36" s="471"/>
      <c r="U36" s="436">
        <f ca="1">SUM(U5:U34)</f>
        <v>237450.37726492126</v>
      </c>
      <c r="V36" s="436">
        <f ca="1">SUM(V5:V34)</f>
        <v>9498.0150905968494</v>
      </c>
      <c r="W36" s="436">
        <f ca="1">SUM(W5:W34)</f>
        <v>14089.912082962683</v>
      </c>
      <c r="X36" s="436">
        <f ca="1">SUM(X5:X34)</f>
        <v>251540.28934788395</v>
      </c>
      <c r="Y36" s="676"/>
      <c r="Z36" s="435"/>
      <c r="AA36" s="436">
        <f ca="1">SUM(AA5:AA34)</f>
        <v>308769.63805389998</v>
      </c>
      <c r="AB36" s="436">
        <f ca="1">SUM(AB5:AB34)</f>
        <v>67929.320371857975</v>
      </c>
      <c r="AC36" s="436">
        <f ca="1">SUM(AC5:AC34)</f>
        <v>18321.878887620398</v>
      </c>
      <c r="AD36" s="477"/>
      <c r="AE36" s="436">
        <f>SUM(AE5:AE34)</f>
        <v>0</v>
      </c>
      <c r="AF36" s="436">
        <f>SUM(AF5:AF34)</f>
        <v>0</v>
      </c>
      <c r="AG36" s="436">
        <f ca="1">SUM(AG5:AG34)</f>
        <v>327091.51694152033</v>
      </c>
    </row>
    <row r="38" spans="1:33">
      <c r="V38" s="438">
        <f ca="1">V36/U36</f>
        <v>3.9999999999999994E-2</v>
      </c>
      <c r="AC38" s="509"/>
    </row>
  </sheetData>
  <mergeCells count="17">
    <mergeCell ref="A1:G1"/>
    <mergeCell ref="H1:H36"/>
    <mergeCell ref="I1:X1"/>
    <mergeCell ref="Y1:Y36"/>
    <mergeCell ref="Z1:AG1"/>
    <mergeCell ref="A2:C2"/>
    <mergeCell ref="D2:F2"/>
    <mergeCell ref="I2:R2"/>
    <mergeCell ref="S2:S36"/>
    <mergeCell ref="T2:X2"/>
    <mergeCell ref="A36:D36"/>
    <mergeCell ref="Z2:AG2"/>
    <mergeCell ref="A4:G4"/>
    <mergeCell ref="I4:R4"/>
    <mergeCell ref="T4:X4"/>
    <mergeCell ref="Z4:AG4"/>
    <mergeCell ref="A35:D35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L148"/>
  <sheetViews>
    <sheetView workbookViewId="0">
      <selection activeCell="C40" sqref="C40"/>
    </sheetView>
  </sheetViews>
  <sheetFormatPr defaultColWidth="8.77734375" defaultRowHeight="34.950000000000003" customHeight="1"/>
  <cols>
    <col min="1" max="1" width="8.77734375" style="335" customWidth="1"/>
    <col min="2" max="2" width="10.44140625" style="336" customWidth="1"/>
    <col min="3" max="3" width="132.33203125" style="335" bestFit="1" customWidth="1"/>
    <col min="4" max="5" width="9" style="335" bestFit="1" customWidth="1"/>
    <col min="6" max="6" width="8.77734375" style="335"/>
    <col min="7" max="7" width="12.33203125" style="335" customWidth="1"/>
    <col min="8" max="9" width="26.109375" style="335" customWidth="1"/>
    <col min="10" max="10" width="25" style="335" customWidth="1"/>
    <col min="11" max="11" width="31" style="335" customWidth="1"/>
    <col min="12" max="12" width="11.33203125" style="335" bestFit="1" customWidth="1"/>
    <col min="13" max="16384" width="8.77734375" style="335"/>
  </cols>
  <sheetData>
    <row r="1" spans="1:12" ht="34.950000000000003" customHeight="1">
      <c r="A1" s="706" t="s">
        <v>72</v>
      </c>
      <c r="B1" s="706"/>
      <c r="C1" s="706"/>
    </row>
    <row r="2" spans="1:12" ht="34.950000000000003" customHeight="1">
      <c r="A2" s="335" t="s">
        <v>104</v>
      </c>
      <c r="B2" s="336" t="s">
        <v>72</v>
      </c>
      <c r="C2" s="335" t="s">
        <v>105</v>
      </c>
    </row>
    <row r="3" spans="1:12" ht="34.950000000000003" customHeight="1">
      <c r="A3" s="335">
        <v>1</v>
      </c>
      <c r="B3" s="336">
        <v>3102</v>
      </c>
      <c r="C3" s="335" t="s">
        <v>106</v>
      </c>
    </row>
    <row r="4" spans="1:12" ht="34.950000000000003" customHeight="1">
      <c r="A4" s="335">
        <v>2</v>
      </c>
      <c r="B4" s="336">
        <v>5102</v>
      </c>
      <c r="C4" s="335" t="s">
        <v>107</v>
      </c>
    </row>
    <row r="5" spans="1:12" ht="34.950000000000003" customHeight="1">
      <c r="A5" s="335">
        <v>3</v>
      </c>
      <c r="B5" s="336">
        <v>5106</v>
      </c>
      <c r="C5" s="335" t="s">
        <v>108</v>
      </c>
    </row>
    <row r="6" spans="1:12" ht="34.950000000000003" customHeight="1">
      <c r="A6" s="335">
        <v>4</v>
      </c>
      <c r="B6" s="336">
        <v>5403</v>
      </c>
      <c r="C6" s="335" t="s">
        <v>109</v>
      </c>
    </row>
    <row r="7" spans="1:12" ht="34.950000000000003" customHeight="1">
      <c r="A7" s="335">
        <v>5</v>
      </c>
      <c r="B7" s="336">
        <v>6102</v>
      </c>
      <c r="C7" s="335" t="s">
        <v>110</v>
      </c>
    </row>
    <row r="8" spans="1:12" ht="34.950000000000003" customHeight="1">
      <c r="A8" s="335">
        <v>6</v>
      </c>
      <c r="B8" s="336">
        <v>6106</v>
      </c>
      <c r="C8" s="335" t="s">
        <v>111</v>
      </c>
    </row>
    <row r="9" spans="1:12" ht="34.950000000000003" customHeight="1">
      <c r="A9" s="335">
        <v>7</v>
      </c>
      <c r="B9" s="336">
        <v>6403</v>
      </c>
      <c r="C9" s="335" t="s">
        <v>112</v>
      </c>
    </row>
    <row r="13" spans="1:12" ht="34.950000000000003" customHeight="1">
      <c r="A13" s="706" t="s">
        <v>274</v>
      </c>
      <c r="B13" s="706"/>
      <c r="C13" s="706"/>
      <c r="F13" s="706" t="s">
        <v>276</v>
      </c>
      <c r="G13" s="706"/>
      <c r="H13" s="706"/>
      <c r="I13" s="706"/>
      <c r="J13" s="706"/>
      <c r="K13" s="706"/>
      <c r="L13" s="706"/>
    </row>
    <row r="14" spans="1:12" ht="34.950000000000003" customHeight="1">
      <c r="A14" s="335" t="s">
        <v>104</v>
      </c>
      <c r="B14" s="336" t="s">
        <v>113</v>
      </c>
      <c r="C14" s="335" t="s">
        <v>114</v>
      </c>
      <c r="F14" s="706" t="s">
        <v>281</v>
      </c>
      <c r="G14" s="706"/>
      <c r="H14" s="706"/>
      <c r="I14" s="706"/>
      <c r="J14" s="706"/>
      <c r="K14" s="706"/>
      <c r="L14" s="706"/>
    </row>
    <row r="15" spans="1:12" ht="34.950000000000003" customHeight="1">
      <c r="A15" s="335">
        <v>1</v>
      </c>
      <c r="B15" s="335" t="s">
        <v>115</v>
      </c>
      <c r="C15" s="337">
        <v>0.19</v>
      </c>
      <c r="G15" s="338" t="s">
        <v>268</v>
      </c>
      <c r="H15" s="339">
        <v>0</v>
      </c>
      <c r="I15" s="339">
        <v>180000</v>
      </c>
      <c r="J15" s="334">
        <v>4.4999999999999998E-2</v>
      </c>
      <c r="K15" s="339"/>
      <c r="L15" s="334" t="e">
        <f>IF(AND(H$22&gt;=H15,H$22&lt;=I15),(H$22*J15-K15)/H$22,"NA")</f>
        <v>#DIV/0!</v>
      </c>
    </row>
    <row r="16" spans="1:12" ht="34.950000000000003" customHeight="1">
      <c r="A16" s="335">
        <v>2</v>
      </c>
      <c r="B16" s="335" t="s">
        <v>116</v>
      </c>
      <c r="C16" s="337">
        <v>0.19</v>
      </c>
      <c r="G16" s="338" t="s">
        <v>269</v>
      </c>
      <c r="H16" s="339">
        <v>180000.01</v>
      </c>
      <c r="I16" s="339">
        <v>360000</v>
      </c>
      <c r="J16" s="334">
        <v>7.8E-2</v>
      </c>
      <c r="K16" s="339">
        <v>5940</v>
      </c>
      <c r="L16" s="334" t="str">
        <f t="shared" ref="L16:L20" si="0">IF(AND(H$22&gt;=H16,H$22&lt;=I16),(H$22*J16-K16)/H$22,"NA")</f>
        <v>NA</v>
      </c>
    </row>
    <row r="17" spans="1:12" ht="34.950000000000003" customHeight="1">
      <c r="A17" s="335">
        <v>3</v>
      </c>
      <c r="B17" s="335" t="s">
        <v>117</v>
      </c>
      <c r="C17" s="337">
        <v>0.2</v>
      </c>
      <c r="G17" s="338" t="s">
        <v>270</v>
      </c>
      <c r="H17" s="339">
        <v>360000.01</v>
      </c>
      <c r="I17" s="339">
        <v>720000</v>
      </c>
      <c r="J17" s="334">
        <v>0.1</v>
      </c>
      <c r="K17" s="339">
        <v>13860</v>
      </c>
      <c r="L17" s="334" t="str">
        <f t="shared" si="0"/>
        <v>NA</v>
      </c>
    </row>
    <row r="18" spans="1:12" ht="34.950000000000003" customHeight="1">
      <c r="A18" s="335">
        <v>4</v>
      </c>
      <c r="B18" s="335" t="s">
        <v>118</v>
      </c>
      <c r="C18" s="337">
        <v>0.18</v>
      </c>
      <c r="G18" s="338" t="s">
        <v>271</v>
      </c>
      <c r="H18" s="339">
        <v>720000.01</v>
      </c>
      <c r="I18" s="339">
        <v>1800000</v>
      </c>
      <c r="J18" s="334">
        <v>0.112</v>
      </c>
      <c r="K18" s="339">
        <v>22500</v>
      </c>
      <c r="L18" s="334" t="str">
        <f t="shared" si="0"/>
        <v>NA</v>
      </c>
    </row>
    <row r="19" spans="1:12" ht="34.950000000000003" customHeight="1">
      <c r="A19" s="335">
        <v>5</v>
      </c>
      <c r="B19" s="335" t="s">
        <v>119</v>
      </c>
      <c r="C19" s="337">
        <v>0.20499999999999999</v>
      </c>
      <c r="G19" s="338" t="s">
        <v>272</v>
      </c>
      <c r="H19" s="339">
        <v>1800000.01</v>
      </c>
      <c r="I19" s="339">
        <v>3600000</v>
      </c>
      <c r="J19" s="334">
        <v>0.14699999999999999</v>
      </c>
      <c r="K19" s="339">
        <v>85500</v>
      </c>
      <c r="L19" s="334" t="str">
        <f t="shared" si="0"/>
        <v>NA</v>
      </c>
    </row>
    <row r="20" spans="1:12" ht="34.950000000000003" customHeight="1">
      <c r="A20" s="335">
        <v>6</v>
      </c>
      <c r="B20" s="335" t="s">
        <v>120</v>
      </c>
      <c r="C20" s="337">
        <v>0.2</v>
      </c>
      <c r="G20" s="338" t="s">
        <v>273</v>
      </c>
      <c r="H20" s="339">
        <v>3600000.01</v>
      </c>
      <c r="I20" s="339">
        <v>4800000</v>
      </c>
      <c r="J20" s="334">
        <v>0.3</v>
      </c>
      <c r="K20" s="339">
        <v>720000</v>
      </c>
      <c r="L20" s="334" t="str">
        <f t="shared" si="0"/>
        <v>NA</v>
      </c>
    </row>
    <row r="21" spans="1:12" ht="34.950000000000003" customHeight="1">
      <c r="A21" s="335">
        <v>7</v>
      </c>
      <c r="B21" s="335" t="s">
        <v>121</v>
      </c>
      <c r="C21" s="337">
        <v>0.2</v>
      </c>
      <c r="G21" s="338"/>
      <c r="H21" s="339"/>
      <c r="I21" s="339"/>
      <c r="J21" s="338"/>
      <c r="K21" s="339"/>
      <c r="L21" s="334"/>
    </row>
    <row r="22" spans="1:12" ht="34.950000000000003" customHeight="1">
      <c r="A22" s="335">
        <v>8</v>
      </c>
      <c r="B22" s="335" t="s">
        <v>122</v>
      </c>
      <c r="C22" s="337">
        <v>0.17</v>
      </c>
      <c r="G22" s="338" t="s">
        <v>283</v>
      </c>
      <c r="H22" s="339">
        <f>'Dados Gerais'!C12</f>
        <v>0</v>
      </c>
      <c r="I22" s="339"/>
      <c r="J22" s="338"/>
      <c r="K22" s="339"/>
      <c r="L22" s="334">
        <f>SUM(L16:L20)</f>
        <v>0</v>
      </c>
    </row>
    <row r="23" spans="1:12" ht="34.950000000000003" customHeight="1">
      <c r="A23" s="335">
        <v>9</v>
      </c>
      <c r="B23" s="335" t="s">
        <v>123</v>
      </c>
      <c r="C23" s="337">
        <v>0.17</v>
      </c>
    </row>
    <row r="24" spans="1:12" ht="34.950000000000003" customHeight="1">
      <c r="A24" s="335">
        <v>10</v>
      </c>
      <c r="B24" s="335" t="s">
        <v>124</v>
      </c>
      <c r="C24" s="337">
        <v>0.22</v>
      </c>
    </row>
    <row r="25" spans="1:12" ht="34.950000000000003" customHeight="1">
      <c r="A25" s="335">
        <v>11</v>
      </c>
      <c r="B25" s="335" t="s">
        <v>125</v>
      </c>
      <c r="C25" s="337">
        <v>0.17</v>
      </c>
      <c r="F25" s="706" t="s">
        <v>276</v>
      </c>
      <c r="G25" s="706"/>
      <c r="H25" s="706"/>
      <c r="I25" s="706"/>
      <c r="J25" s="706"/>
      <c r="K25" s="706"/>
      <c r="L25" s="706"/>
    </row>
    <row r="26" spans="1:12" ht="34.950000000000003" customHeight="1">
      <c r="A26" s="335">
        <v>12</v>
      </c>
      <c r="B26" s="335" t="s">
        <v>126</v>
      </c>
      <c r="C26" s="337">
        <v>0.17</v>
      </c>
      <c r="F26" s="706" t="s">
        <v>281</v>
      </c>
      <c r="G26" s="706"/>
      <c r="H26" s="706"/>
      <c r="I26" s="706"/>
      <c r="J26" s="706"/>
      <c r="K26" s="706"/>
      <c r="L26" s="706"/>
    </row>
    <row r="27" spans="1:12" ht="34.950000000000003" customHeight="1">
      <c r="A27" s="335">
        <v>13</v>
      </c>
      <c r="B27" s="335" t="s">
        <v>127</v>
      </c>
      <c r="C27" s="337">
        <v>0.18</v>
      </c>
      <c r="G27" s="338" t="s">
        <v>268</v>
      </c>
      <c r="H27" s="339">
        <v>0</v>
      </c>
      <c r="I27" s="339">
        <v>180000</v>
      </c>
      <c r="J27" s="334">
        <v>4.4999999999999998E-2</v>
      </c>
      <c r="K27" s="339"/>
      <c r="L27" s="334" t="e">
        <f>IF(AND(H$34&gt;=H27,H$34&lt;=I27),(H$34*J27-K27)/H$34,"NA")</f>
        <v>#DIV/0!</v>
      </c>
    </row>
    <row r="28" spans="1:12" ht="34.950000000000003" customHeight="1">
      <c r="A28" s="335">
        <v>14</v>
      </c>
      <c r="B28" s="335" t="s">
        <v>128</v>
      </c>
      <c r="C28" s="337">
        <v>0.19</v>
      </c>
      <c r="G28" s="338" t="s">
        <v>269</v>
      </c>
      <c r="H28" s="339">
        <v>180000.01</v>
      </c>
      <c r="I28" s="339">
        <v>360000</v>
      </c>
      <c r="J28" s="334">
        <v>7.8E-2</v>
      </c>
      <c r="K28" s="339">
        <v>5940</v>
      </c>
      <c r="L28" s="334" t="str">
        <f t="shared" ref="L28:L32" si="1">IF(AND(H$34&gt;=H28,H$34&lt;=I28),(H$34*J28-K28)/H$34,"NA")</f>
        <v>NA</v>
      </c>
    </row>
    <row r="29" spans="1:12" ht="34.950000000000003" customHeight="1">
      <c r="A29" s="335">
        <v>15</v>
      </c>
      <c r="B29" s="335" t="s">
        <v>129</v>
      </c>
      <c r="C29" s="337">
        <v>0.2</v>
      </c>
      <c r="G29" s="338" t="s">
        <v>270</v>
      </c>
      <c r="H29" s="339">
        <v>360000.01</v>
      </c>
      <c r="I29" s="339">
        <v>720000</v>
      </c>
      <c r="J29" s="334">
        <v>0.1</v>
      </c>
      <c r="K29" s="339">
        <v>13860</v>
      </c>
      <c r="L29" s="334" t="str">
        <f t="shared" si="1"/>
        <v>NA</v>
      </c>
    </row>
    <row r="30" spans="1:12" ht="34.950000000000003" customHeight="1">
      <c r="A30" s="335">
        <v>16</v>
      </c>
      <c r="B30" s="335" t="s">
        <v>130</v>
      </c>
      <c r="C30" s="337">
        <v>0.19500000000000001</v>
      </c>
      <c r="G30" s="338" t="s">
        <v>271</v>
      </c>
      <c r="H30" s="339">
        <v>720000.01</v>
      </c>
      <c r="I30" s="339">
        <v>1800000</v>
      </c>
      <c r="J30" s="334">
        <v>0.112</v>
      </c>
      <c r="K30" s="339">
        <v>22500</v>
      </c>
      <c r="L30" s="334" t="str">
        <f t="shared" si="1"/>
        <v>NA</v>
      </c>
    </row>
    <row r="31" spans="1:12" ht="34.950000000000003" customHeight="1">
      <c r="A31" s="335">
        <v>17</v>
      </c>
      <c r="B31" s="335" t="s">
        <v>131</v>
      </c>
      <c r="C31" s="337">
        <v>0.20499999999999999</v>
      </c>
      <c r="G31" s="338" t="s">
        <v>272</v>
      </c>
      <c r="H31" s="339">
        <v>1800000.01</v>
      </c>
      <c r="I31" s="339">
        <v>3600000</v>
      </c>
      <c r="J31" s="334">
        <v>0.14699999999999999</v>
      </c>
      <c r="K31" s="339">
        <v>85500</v>
      </c>
      <c r="L31" s="334" t="str">
        <f t="shared" si="1"/>
        <v>NA</v>
      </c>
    </row>
    <row r="32" spans="1:12" ht="34.950000000000003" customHeight="1">
      <c r="A32" s="335">
        <v>18</v>
      </c>
      <c r="B32" s="335" t="s">
        <v>132</v>
      </c>
      <c r="C32" s="337">
        <v>0.21</v>
      </c>
      <c r="G32" s="338" t="s">
        <v>273</v>
      </c>
      <c r="H32" s="339">
        <v>3600000.01</v>
      </c>
      <c r="I32" s="339">
        <v>4800000</v>
      </c>
      <c r="J32" s="334">
        <v>0.3</v>
      </c>
      <c r="K32" s="339">
        <v>720000</v>
      </c>
      <c r="L32" s="334" t="str">
        <f t="shared" si="1"/>
        <v>NA</v>
      </c>
    </row>
    <row r="33" spans="1:12" ht="34.950000000000003" customHeight="1">
      <c r="A33" s="335">
        <v>19</v>
      </c>
      <c r="B33" s="335" t="s">
        <v>133</v>
      </c>
      <c r="C33" s="337">
        <v>0.18</v>
      </c>
      <c r="G33" s="338"/>
      <c r="H33" s="339"/>
      <c r="I33" s="339"/>
      <c r="J33" s="338"/>
      <c r="K33" s="339"/>
      <c r="L33" s="334"/>
    </row>
    <row r="34" spans="1:12" ht="34.950000000000003" customHeight="1">
      <c r="A34" s="335">
        <v>20</v>
      </c>
      <c r="B34" s="335" t="s">
        <v>134</v>
      </c>
      <c r="C34" s="337">
        <v>0.17</v>
      </c>
      <c r="G34" s="338" t="s">
        <v>283</v>
      </c>
      <c r="H34" s="339">
        <f>'Dados Gerais'!C14</f>
        <v>0</v>
      </c>
      <c r="I34" s="339"/>
      <c r="J34" s="338"/>
      <c r="K34" s="339"/>
      <c r="L34" s="334">
        <f>SUM(L28:L32)</f>
        <v>0</v>
      </c>
    </row>
    <row r="35" spans="1:12" ht="34.950000000000003" customHeight="1">
      <c r="A35" s="335">
        <v>21</v>
      </c>
      <c r="B35" s="335" t="s">
        <v>12</v>
      </c>
      <c r="C35" s="337">
        <v>0.22</v>
      </c>
    </row>
    <row r="36" spans="1:12" ht="34.950000000000003" customHeight="1">
      <c r="A36" s="335">
        <v>22</v>
      </c>
      <c r="B36" s="335" t="s">
        <v>10</v>
      </c>
      <c r="C36" s="337">
        <v>0.19500000000000001</v>
      </c>
    </row>
    <row r="37" spans="1:12" ht="34.950000000000003" customHeight="1">
      <c r="A37" s="335">
        <v>23</v>
      </c>
      <c r="B37" s="335" t="s">
        <v>135</v>
      </c>
      <c r="C37" s="337">
        <v>0.2</v>
      </c>
      <c r="F37" s="706" t="s">
        <v>276</v>
      </c>
      <c r="G37" s="706"/>
      <c r="H37" s="706"/>
      <c r="I37" s="706"/>
      <c r="J37" s="706"/>
      <c r="K37" s="706"/>
      <c r="L37" s="706"/>
    </row>
    <row r="38" spans="1:12" ht="34.950000000000003" customHeight="1">
      <c r="A38" s="335">
        <v>24</v>
      </c>
      <c r="B38" s="335" t="s">
        <v>136</v>
      </c>
      <c r="C38" s="337">
        <v>0.17</v>
      </c>
      <c r="F38" s="706" t="s">
        <v>282</v>
      </c>
      <c r="G38" s="706"/>
      <c r="H38" s="706"/>
      <c r="I38" s="706"/>
      <c r="J38" s="706"/>
      <c r="K38" s="706"/>
      <c r="L38" s="706"/>
    </row>
    <row r="39" spans="1:12" ht="34.950000000000003" customHeight="1">
      <c r="A39" s="335">
        <v>25</v>
      </c>
      <c r="B39" s="335" t="s">
        <v>137</v>
      </c>
      <c r="C39" s="337">
        <v>0.18</v>
      </c>
      <c r="G39" s="338" t="s">
        <v>268</v>
      </c>
      <c r="H39" s="339">
        <v>0</v>
      </c>
      <c r="I39" s="339">
        <v>180000</v>
      </c>
      <c r="J39" s="334">
        <v>4.4999999999999998E-2</v>
      </c>
      <c r="K39" s="339"/>
      <c r="L39" s="334" t="e">
        <f>IF(AND(H$46&gt;=H39,H$46&lt;=I39),(H$46*J39-K39)/H$46,"NA")</f>
        <v>#DIV/0!</v>
      </c>
    </row>
    <row r="40" spans="1:12" ht="34.950000000000003" customHeight="1">
      <c r="A40" s="335">
        <v>26</v>
      </c>
      <c r="B40" s="335" t="s">
        <v>138</v>
      </c>
      <c r="C40" s="337">
        <v>0.19</v>
      </c>
      <c r="G40" s="338" t="s">
        <v>269</v>
      </c>
      <c r="H40" s="339">
        <v>180000.01</v>
      </c>
      <c r="I40" s="339">
        <v>360000</v>
      </c>
      <c r="J40" s="334">
        <v>7.8E-2</v>
      </c>
      <c r="K40" s="339">
        <v>5940</v>
      </c>
      <c r="L40" s="334" t="str">
        <f t="shared" ref="L40:L44" si="2">IF(AND(H$46&gt;=H40,H$46&lt;=I40),(H$46*J40-K40)/H$46,"NA")</f>
        <v>NA</v>
      </c>
    </row>
    <row r="41" spans="1:12" ht="34.950000000000003" customHeight="1">
      <c r="A41" s="335">
        <v>27</v>
      </c>
      <c r="B41" s="335" t="s">
        <v>139</v>
      </c>
      <c r="C41" s="337">
        <v>0.2</v>
      </c>
      <c r="G41" s="338" t="s">
        <v>270</v>
      </c>
      <c r="H41" s="339">
        <v>360000.01</v>
      </c>
      <c r="I41" s="339">
        <v>720000</v>
      </c>
      <c r="J41" s="334">
        <v>0.1</v>
      </c>
      <c r="K41" s="339">
        <v>13860</v>
      </c>
      <c r="L41" s="334" t="str">
        <f t="shared" si="2"/>
        <v>NA</v>
      </c>
    </row>
    <row r="42" spans="1:12" ht="34.950000000000003" customHeight="1">
      <c r="G42" s="338" t="s">
        <v>271</v>
      </c>
      <c r="H42" s="339">
        <v>720000.01</v>
      </c>
      <c r="I42" s="339">
        <v>1800000</v>
      </c>
      <c r="J42" s="334">
        <v>0.112</v>
      </c>
      <c r="K42" s="339">
        <v>22500</v>
      </c>
      <c r="L42" s="334" t="str">
        <f t="shared" si="2"/>
        <v>NA</v>
      </c>
    </row>
    <row r="43" spans="1:12" ht="34.950000000000003" customHeight="1">
      <c r="G43" s="338" t="s">
        <v>272</v>
      </c>
      <c r="H43" s="339">
        <v>1800000.01</v>
      </c>
      <c r="I43" s="339">
        <v>3600000</v>
      </c>
      <c r="J43" s="334">
        <v>0.14699999999999999</v>
      </c>
      <c r="K43" s="339">
        <v>85500</v>
      </c>
      <c r="L43" s="334" t="str">
        <f t="shared" si="2"/>
        <v>NA</v>
      </c>
    </row>
    <row r="44" spans="1:12" ht="34.950000000000003" customHeight="1">
      <c r="G44" s="338" t="s">
        <v>273</v>
      </c>
      <c r="H44" s="339">
        <v>3600000.01</v>
      </c>
      <c r="I44" s="339">
        <v>4800000</v>
      </c>
      <c r="J44" s="334">
        <v>0.3</v>
      </c>
      <c r="K44" s="339">
        <v>720000</v>
      </c>
      <c r="L44" s="334" t="str">
        <f t="shared" si="2"/>
        <v>NA</v>
      </c>
    </row>
    <row r="45" spans="1:12" ht="34.950000000000003" customHeight="1">
      <c r="G45" s="338"/>
      <c r="H45" s="339"/>
      <c r="I45" s="339"/>
      <c r="J45" s="338"/>
      <c r="K45" s="339"/>
      <c r="L45" s="334"/>
    </row>
    <row r="46" spans="1:12" ht="34.950000000000003" customHeight="1">
      <c r="A46" s="706" t="s">
        <v>275</v>
      </c>
      <c r="B46" s="706"/>
      <c r="C46" s="706"/>
      <c r="D46" s="706"/>
      <c r="E46" s="706"/>
      <c r="G46" s="338" t="s">
        <v>283</v>
      </c>
      <c r="H46" s="339">
        <f>'Dados Gerais'!C16</f>
        <v>0</v>
      </c>
      <c r="I46" s="339"/>
      <c r="J46" s="338"/>
      <c r="K46" s="339"/>
      <c r="L46" s="334">
        <f>SUM(L40:L44)</f>
        <v>0</v>
      </c>
    </row>
    <row r="47" spans="1:12" ht="34.950000000000003" customHeight="1">
      <c r="C47" s="340">
        <v>115.67</v>
      </c>
    </row>
    <row r="48" spans="1:12" ht="34.950000000000003" customHeight="1">
      <c r="A48" s="335">
        <v>1</v>
      </c>
      <c r="B48" s="341">
        <v>1</v>
      </c>
      <c r="C48" s="340">
        <v>154.22999999999999</v>
      </c>
      <c r="D48" s="335">
        <v>38.56</v>
      </c>
      <c r="E48" s="335">
        <v>38.56</v>
      </c>
    </row>
    <row r="49" spans="1:5" ht="34.950000000000003" customHeight="1">
      <c r="A49" s="335">
        <v>2</v>
      </c>
      <c r="B49" s="341">
        <v>2</v>
      </c>
      <c r="C49" s="340">
        <v>192.79</v>
      </c>
      <c r="D49" s="335">
        <v>38.56</v>
      </c>
      <c r="E49" s="335">
        <v>77.12</v>
      </c>
    </row>
    <row r="50" spans="1:5" ht="34.950000000000003" customHeight="1">
      <c r="A50" s="335">
        <v>3</v>
      </c>
      <c r="B50" s="341">
        <v>3</v>
      </c>
      <c r="C50" s="340">
        <v>223.64</v>
      </c>
      <c r="D50" s="335">
        <v>30.85</v>
      </c>
      <c r="E50" s="335">
        <v>107.97</v>
      </c>
    </row>
    <row r="51" spans="1:5" ht="34.950000000000003" customHeight="1">
      <c r="A51" s="335">
        <v>4</v>
      </c>
      <c r="B51" s="341">
        <v>4</v>
      </c>
      <c r="C51" s="340">
        <v>254.49</v>
      </c>
      <c r="D51" s="335">
        <v>30.85</v>
      </c>
      <c r="E51" s="335">
        <v>138.82</v>
      </c>
    </row>
    <row r="52" spans="1:5" ht="34.950000000000003" customHeight="1">
      <c r="A52" s="335">
        <v>5</v>
      </c>
      <c r="B52" s="341">
        <v>5</v>
      </c>
      <c r="C52" s="340">
        <v>285.33999999999997</v>
      </c>
      <c r="D52" s="335">
        <v>30.85</v>
      </c>
      <c r="E52" s="335">
        <v>169.67</v>
      </c>
    </row>
    <row r="53" spans="1:5" ht="34.950000000000003" customHeight="1">
      <c r="A53" s="335">
        <v>6</v>
      </c>
      <c r="B53" s="341">
        <v>6</v>
      </c>
      <c r="C53" s="340">
        <v>308.48</v>
      </c>
      <c r="D53" s="335">
        <v>23.14</v>
      </c>
      <c r="E53" s="335">
        <v>192.81</v>
      </c>
    </row>
    <row r="54" spans="1:5" ht="34.950000000000003" customHeight="1">
      <c r="A54" s="335">
        <v>7</v>
      </c>
      <c r="B54" s="341">
        <v>7</v>
      </c>
      <c r="C54" s="340">
        <v>331.62</v>
      </c>
      <c r="D54" s="335">
        <v>23.14</v>
      </c>
      <c r="E54" s="335">
        <v>215.95</v>
      </c>
    </row>
    <row r="55" spans="1:5" ht="34.950000000000003" customHeight="1">
      <c r="A55" s="335">
        <v>8</v>
      </c>
      <c r="B55" s="341">
        <v>8</v>
      </c>
      <c r="C55" s="340">
        <v>354.76</v>
      </c>
      <c r="D55" s="335">
        <v>23.14</v>
      </c>
      <c r="E55" s="335">
        <v>239.09</v>
      </c>
    </row>
    <row r="56" spans="1:5" ht="34.950000000000003" customHeight="1">
      <c r="A56" s="335">
        <v>9</v>
      </c>
      <c r="B56" s="341">
        <v>9</v>
      </c>
      <c r="C56" s="340">
        <v>377.9</v>
      </c>
      <c r="D56" s="335">
        <v>23.14</v>
      </c>
      <c r="E56" s="335">
        <v>262.23</v>
      </c>
    </row>
    <row r="57" spans="1:5" ht="34.950000000000003" customHeight="1">
      <c r="A57" s="335">
        <v>10</v>
      </c>
      <c r="B57" s="341">
        <v>10</v>
      </c>
      <c r="C57" s="340">
        <v>401.04</v>
      </c>
      <c r="D57" s="335">
        <v>23.14</v>
      </c>
      <c r="E57" s="335">
        <v>285.37</v>
      </c>
    </row>
    <row r="58" spans="1:5" ht="34.950000000000003" customHeight="1">
      <c r="A58" s="335">
        <v>11</v>
      </c>
      <c r="B58" s="341">
        <v>11</v>
      </c>
      <c r="C58" s="340">
        <v>416.46</v>
      </c>
      <c r="D58" s="335">
        <v>15.42</v>
      </c>
      <c r="E58" s="335">
        <v>300.79000000000002</v>
      </c>
    </row>
    <row r="59" spans="1:5" ht="34.950000000000003" customHeight="1">
      <c r="A59" s="335">
        <v>12</v>
      </c>
      <c r="B59" s="341">
        <v>12</v>
      </c>
      <c r="C59" s="340">
        <v>431.88</v>
      </c>
      <c r="D59" s="335">
        <v>15.42</v>
      </c>
      <c r="E59" s="335">
        <v>316.20999999999998</v>
      </c>
    </row>
    <row r="60" spans="1:5" ht="34.950000000000003" customHeight="1">
      <c r="A60" s="335">
        <v>13</v>
      </c>
      <c r="B60" s="341">
        <v>13</v>
      </c>
      <c r="C60" s="340">
        <v>447.3</v>
      </c>
      <c r="D60" s="335">
        <v>15.42</v>
      </c>
      <c r="E60" s="335">
        <v>331.63</v>
      </c>
    </row>
    <row r="61" spans="1:5" ht="34.950000000000003" customHeight="1">
      <c r="A61" s="335">
        <v>14</v>
      </c>
      <c r="B61" s="341">
        <v>14</v>
      </c>
      <c r="C61" s="340">
        <v>462.72</v>
      </c>
      <c r="D61" s="335">
        <v>15.42</v>
      </c>
      <c r="E61" s="335">
        <v>347.05</v>
      </c>
    </row>
    <row r="62" spans="1:5" ht="34.950000000000003" customHeight="1">
      <c r="A62" s="335">
        <v>15</v>
      </c>
      <c r="B62" s="341">
        <v>15</v>
      </c>
      <c r="C62" s="340">
        <v>478.14</v>
      </c>
      <c r="D62" s="335">
        <v>15.42</v>
      </c>
      <c r="E62" s="335">
        <v>362.47</v>
      </c>
    </row>
    <row r="63" spans="1:5" ht="34.950000000000003" customHeight="1">
      <c r="A63" s="335">
        <v>16</v>
      </c>
      <c r="B63" s="341">
        <v>16</v>
      </c>
      <c r="C63" s="340">
        <v>493.56</v>
      </c>
      <c r="D63" s="335">
        <v>15.42</v>
      </c>
      <c r="E63" s="335">
        <v>377.89</v>
      </c>
    </row>
    <row r="64" spans="1:5" ht="34.950000000000003" customHeight="1">
      <c r="A64" s="335">
        <v>17</v>
      </c>
      <c r="B64" s="341">
        <v>17</v>
      </c>
      <c r="C64" s="340">
        <v>508.98</v>
      </c>
      <c r="D64" s="335">
        <v>15.42</v>
      </c>
      <c r="E64" s="335">
        <v>393.31</v>
      </c>
    </row>
    <row r="65" spans="1:5" ht="34.950000000000003" customHeight="1">
      <c r="A65" s="335">
        <v>18</v>
      </c>
      <c r="B65" s="341">
        <v>18</v>
      </c>
      <c r="C65" s="340">
        <v>524.4</v>
      </c>
      <c r="D65" s="335">
        <v>15.42</v>
      </c>
      <c r="E65" s="335">
        <v>408.73</v>
      </c>
    </row>
    <row r="66" spans="1:5" ht="34.950000000000003" customHeight="1">
      <c r="A66" s="335">
        <v>19</v>
      </c>
      <c r="B66" s="341">
        <v>19</v>
      </c>
      <c r="C66" s="340">
        <v>539.82000000000005</v>
      </c>
      <c r="D66" s="335">
        <v>15.42</v>
      </c>
      <c r="E66" s="335">
        <v>424.15</v>
      </c>
    </row>
    <row r="67" spans="1:5" ht="34.950000000000003" customHeight="1">
      <c r="A67" s="335">
        <v>20</v>
      </c>
      <c r="B67" s="341">
        <v>20</v>
      </c>
      <c r="C67" s="340">
        <v>555.24</v>
      </c>
      <c r="D67" s="335">
        <v>15.42</v>
      </c>
      <c r="E67" s="335">
        <v>439.57</v>
      </c>
    </row>
    <row r="68" spans="1:5" ht="34.950000000000003" customHeight="1">
      <c r="A68" s="335">
        <v>21</v>
      </c>
      <c r="B68" s="341">
        <v>21</v>
      </c>
      <c r="C68" s="340">
        <v>562.95000000000005</v>
      </c>
      <c r="D68" s="335">
        <v>7.71</v>
      </c>
      <c r="E68" s="335">
        <v>447.28</v>
      </c>
    </row>
    <row r="69" spans="1:5" ht="34.950000000000003" customHeight="1">
      <c r="A69" s="335">
        <v>22</v>
      </c>
      <c r="B69" s="341">
        <v>22</v>
      </c>
      <c r="C69" s="340">
        <v>570.66</v>
      </c>
      <c r="D69" s="335">
        <v>7.71</v>
      </c>
      <c r="E69" s="335">
        <v>454.99</v>
      </c>
    </row>
    <row r="70" spans="1:5" ht="34.950000000000003" customHeight="1">
      <c r="A70" s="335">
        <v>23</v>
      </c>
      <c r="B70" s="341">
        <v>23</v>
      </c>
      <c r="C70" s="340">
        <v>578.37</v>
      </c>
      <c r="D70" s="335">
        <v>7.71</v>
      </c>
      <c r="E70" s="335">
        <v>462.7</v>
      </c>
    </row>
    <row r="71" spans="1:5" ht="34.950000000000003" customHeight="1">
      <c r="A71" s="335">
        <v>24</v>
      </c>
      <c r="B71" s="341">
        <v>24</v>
      </c>
      <c r="C71" s="340">
        <v>586.08000000000004</v>
      </c>
      <c r="D71" s="335">
        <v>7.71</v>
      </c>
      <c r="E71" s="335">
        <v>470.41</v>
      </c>
    </row>
    <row r="72" spans="1:5" ht="34.950000000000003" customHeight="1">
      <c r="A72" s="335">
        <v>25</v>
      </c>
      <c r="B72" s="341">
        <v>25</v>
      </c>
      <c r="C72" s="340">
        <v>593.79</v>
      </c>
      <c r="D72" s="335">
        <v>7.71</v>
      </c>
      <c r="E72" s="335">
        <v>478.12</v>
      </c>
    </row>
    <row r="73" spans="1:5" ht="34.950000000000003" customHeight="1">
      <c r="A73" s="335">
        <v>26</v>
      </c>
      <c r="B73" s="341">
        <v>26</v>
      </c>
      <c r="C73" s="340">
        <v>601.5</v>
      </c>
      <c r="D73" s="335">
        <v>7.71</v>
      </c>
      <c r="E73" s="335">
        <v>485.83</v>
      </c>
    </row>
    <row r="74" spans="1:5" ht="34.950000000000003" customHeight="1">
      <c r="A74" s="335">
        <v>27</v>
      </c>
      <c r="B74" s="341">
        <v>27</v>
      </c>
      <c r="C74" s="340">
        <v>609.21</v>
      </c>
      <c r="D74" s="335">
        <v>7.71</v>
      </c>
      <c r="E74" s="335">
        <v>493.54</v>
      </c>
    </row>
    <row r="75" spans="1:5" ht="34.950000000000003" customHeight="1">
      <c r="A75" s="335">
        <v>28</v>
      </c>
      <c r="B75" s="341">
        <v>28</v>
      </c>
      <c r="C75" s="340">
        <v>616.91999999999996</v>
      </c>
      <c r="D75" s="335">
        <v>7.71</v>
      </c>
      <c r="E75" s="335">
        <v>501.25</v>
      </c>
    </row>
    <row r="76" spans="1:5" ht="34.950000000000003" customHeight="1">
      <c r="A76" s="335">
        <v>29</v>
      </c>
      <c r="B76" s="341">
        <v>29</v>
      </c>
      <c r="C76" s="340">
        <v>624.63</v>
      </c>
      <c r="D76" s="335">
        <v>7.71</v>
      </c>
      <c r="E76" s="335">
        <v>508.96</v>
      </c>
    </row>
    <row r="77" spans="1:5" ht="34.950000000000003" customHeight="1">
      <c r="A77" s="335">
        <v>30</v>
      </c>
      <c r="B77" s="341">
        <v>30</v>
      </c>
      <c r="C77" s="340">
        <v>632.34</v>
      </c>
      <c r="D77" s="335">
        <v>7.71</v>
      </c>
      <c r="E77" s="335">
        <v>516.66999999999996</v>
      </c>
    </row>
    <row r="78" spans="1:5" ht="34.950000000000003" customHeight="1">
      <c r="A78" s="335">
        <v>31</v>
      </c>
      <c r="B78" s="341">
        <v>31</v>
      </c>
      <c r="C78" s="340">
        <v>640.04999999999995</v>
      </c>
      <c r="D78" s="335">
        <v>7.71</v>
      </c>
      <c r="E78" s="335">
        <v>524.38</v>
      </c>
    </row>
    <row r="79" spans="1:5" ht="34.950000000000003" customHeight="1">
      <c r="A79" s="335">
        <v>32</v>
      </c>
      <c r="B79" s="341">
        <v>32</v>
      </c>
      <c r="C79" s="340">
        <v>647.76</v>
      </c>
      <c r="D79" s="335">
        <v>7.71</v>
      </c>
      <c r="E79" s="335">
        <v>532.09</v>
      </c>
    </row>
    <row r="80" spans="1:5" ht="34.950000000000003" customHeight="1">
      <c r="A80" s="335">
        <v>33</v>
      </c>
      <c r="B80" s="341">
        <v>33</v>
      </c>
      <c r="C80" s="340">
        <v>655.47</v>
      </c>
      <c r="D80" s="335">
        <v>7.71</v>
      </c>
      <c r="E80" s="335">
        <v>539.79999999999995</v>
      </c>
    </row>
    <row r="81" spans="1:5" ht="34.950000000000003" customHeight="1">
      <c r="A81" s="335">
        <v>34</v>
      </c>
      <c r="B81" s="341">
        <v>34</v>
      </c>
      <c r="C81" s="340">
        <v>663.18</v>
      </c>
      <c r="D81" s="335">
        <v>7.71</v>
      </c>
      <c r="E81" s="335">
        <v>547.51</v>
      </c>
    </row>
    <row r="82" spans="1:5" ht="34.950000000000003" customHeight="1">
      <c r="A82" s="335">
        <v>35</v>
      </c>
      <c r="B82" s="341">
        <v>35</v>
      </c>
      <c r="C82" s="340">
        <v>670.89</v>
      </c>
      <c r="D82" s="335">
        <v>7.71</v>
      </c>
      <c r="E82" s="335">
        <v>555.22</v>
      </c>
    </row>
    <row r="83" spans="1:5" ht="34.950000000000003" customHeight="1">
      <c r="A83" s="335">
        <v>36</v>
      </c>
      <c r="B83" s="341">
        <v>36</v>
      </c>
      <c r="C83" s="340">
        <v>678.6</v>
      </c>
      <c r="D83" s="335">
        <v>7.71</v>
      </c>
      <c r="E83" s="335">
        <v>562.92999999999995</v>
      </c>
    </row>
    <row r="84" spans="1:5" ht="34.950000000000003" customHeight="1">
      <c r="A84" s="335">
        <v>37</v>
      </c>
      <c r="B84" s="341">
        <v>37</v>
      </c>
      <c r="C84" s="340">
        <v>686.31</v>
      </c>
      <c r="D84" s="335">
        <v>7.71</v>
      </c>
      <c r="E84" s="335">
        <v>570.64</v>
      </c>
    </row>
    <row r="85" spans="1:5" ht="34.950000000000003" customHeight="1">
      <c r="A85" s="335">
        <v>38</v>
      </c>
      <c r="B85" s="341">
        <v>38</v>
      </c>
      <c r="C85" s="340">
        <v>694.02</v>
      </c>
      <c r="D85" s="335">
        <v>7.71</v>
      </c>
      <c r="E85" s="335">
        <v>578.35</v>
      </c>
    </row>
    <row r="86" spans="1:5" ht="34.950000000000003" customHeight="1">
      <c r="A86" s="335">
        <v>39</v>
      </c>
      <c r="B86" s="341">
        <v>39</v>
      </c>
      <c r="C86" s="340">
        <v>701.73</v>
      </c>
      <c r="D86" s="335">
        <v>7.71</v>
      </c>
      <c r="E86" s="335">
        <v>586.05999999999995</v>
      </c>
    </row>
    <row r="87" spans="1:5" ht="34.950000000000003" customHeight="1">
      <c r="A87" s="335">
        <v>40</v>
      </c>
      <c r="B87" s="341">
        <v>40</v>
      </c>
      <c r="C87" s="340">
        <v>709.44</v>
      </c>
      <c r="D87" s="335">
        <v>7.71</v>
      </c>
      <c r="E87" s="335">
        <v>593.77</v>
      </c>
    </row>
    <row r="88" spans="1:5" ht="34.950000000000003" customHeight="1">
      <c r="A88" s="335">
        <v>41</v>
      </c>
      <c r="B88" s="341">
        <v>41</v>
      </c>
      <c r="C88" s="340">
        <v>717.15</v>
      </c>
      <c r="D88" s="335">
        <v>7.71</v>
      </c>
      <c r="E88" s="335">
        <v>601.48</v>
      </c>
    </row>
    <row r="89" spans="1:5" ht="34.950000000000003" customHeight="1">
      <c r="A89" s="335">
        <v>42</v>
      </c>
      <c r="B89" s="341">
        <v>42</v>
      </c>
      <c r="C89" s="340">
        <v>724.86</v>
      </c>
      <c r="D89" s="335">
        <v>7.71</v>
      </c>
      <c r="E89" s="335">
        <v>609.19000000000005</v>
      </c>
    </row>
    <row r="90" spans="1:5" ht="34.950000000000003" customHeight="1">
      <c r="A90" s="335">
        <v>43</v>
      </c>
      <c r="B90" s="341">
        <v>43</v>
      </c>
      <c r="C90" s="340">
        <v>732.57</v>
      </c>
      <c r="D90" s="335">
        <v>7.71</v>
      </c>
      <c r="E90" s="335">
        <v>616.9</v>
      </c>
    </row>
    <row r="91" spans="1:5" ht="34.950000000000003" customHeight="1">
      <c r="A91" s="335">
        <v>44</v>
      </c>
      <c r="B91" s="341">
        <v>44</v>
      </c>
      <c r="C91" s="340">
        <v>740.28</v>
      </c>
      <c r="D91" s="335">
        <v>7.71</v>
      </c>
      <c r="E91" s="335">
        <v>624.61</v>
      </c>
    </row>
    <row r="92" spans="1:5" ht="34.950000000000003" customHeight="1">
      <c r="A92" s="335">
        <v>45</v>
      </c>
      <c r="B92" s="341">
        <v>45</v>
      </c>
      <c r="C92" s="340">
        <v>747.99</v>
      </c>
      <c r="D92" s="335">
        <v>7.71</v>
      </c>
      <c r="E92" s="335">
        <v>632.32000000000005</v>
      </c>
    </row>
    <row r="93" spans="1:5" ht="34.950000000000003" customHeight="1">
      <c r="A93" s="335">
        <v>46</v>
      </c>
      <c r="B93" s="341">
        <v>46</v>
      </c>
      <c r="C93" s="340">
        <v>755.7</v>
      </c>
      <c r="D93" s="335">
        <v>7.71</v>
      </c>
      <c r="E93" s="335">
        <v>640.03</v>
      </c>
    </row>
    <row r="94" spans="1:5" ht="34.950000000000003" customHeight="1">
      <c r="A94" s="335">
        <v>47</v>
      </c>
      <c r="B94" s="341">
        <v>47</v>
      </c>
      <c r="C94" s="340">
        <v>763.41</v>
      </c>
      <c r="D94" s="335">
        <v>7.71</v>
      </c>
      <c r="E94" s="335">
        <v>647.74</v>
      </c>
    </row>
    <row r="95" spans="1:5" ht="34.950000000000003" customHeight="1">
      <c r="A95" s="335">
        <v>48</v>
      </c>
      <c r="B95" s="341">
        <v>48</v>
      </c>
      <c r="C95" s="340">
        <v>771.12</v>
      </c>
      <c r="D95" s="335">
        <v>7.71</v>
      </c>
      <c r="E95" s="335">
        <v>655.45</v>
      </c>
    </row>
    <row r="96" spans="1:5" ht="34.950000000000003" customHeight="1">
      <c r="A96" s="335">
        <v>49</v>
      </c>
      <c r="B96" s="341">
        <v>49</v>
      </c>
      <c r="C96" s="340">
        <v>778.83</v>
      </c>
      <c r="D96" s="335">
        <v>7.71</v>
      </c>
      <c r="E96" s="335">
        <v>663.16</v>
      </c>
    </row>
    <row r="97" spans="1:5" ht="34.950000000000003" customHeight="1">
      <c r="A97" s="335">
        <v>50</v>
      </c>
      <c r="B97" s="341">
        <v>50</v>
      </c>
      <c r="C97" s="340">
        <v>786.54</v>
      </c>
      <c r="D97" s="335">
        <v>7.71</v>
      </c>
      <c r="E97" s="335">
        <v>670.87</v>
      </c>
    </row>
    <row r="98" spans="1:5" ht="34.950000000000003" customHeight="1">
      <c r="A98" s="335">
        <v>51</v>
      </c>
      <c r="B98" s="341">
        <v>51</v>
      </c>
      <c r="C98" s="340">
        <v>790.4</v>
      </c>
      <c r="D98" s="335">
        <v>3.86</v>
      </c>
      <c r="E98" s="335">
        <v>674.73</v>
      </c>
    </row>
    <row r="99" spans="1:5" ht="34.950000000000003" customHeight="1">
      <c r="A99" s="335">
        <v>52</v>
      </c>
      <c r="B99" s="341">
        <v>52</v>
      </c>
      <c r="C99" s="340">
        <v>794.26</v>
      </c>
      <c r="D99" s="335">
        <v>3.86</v>
      </c>
      <c r="E99" s="335">
        <v>678.59</v>
      </c>
    </row>
    <row r="100" spans="1:5" ht="34.950000000000003" customHeight="1">
      <c r="A100" s="335">
        <v>53</v>
      </c>
      <c r="B100" s="341">
        <v>53</v>
      </c>
      <c r="C100" s="340">
        <v>798.12</v>
      </c>
      <c r="D100" s="335">
        <v>3.86</v>
      </c>
      <c r="E100" s="335">
        <v>682.45</v>
      </c>
    </row>
    <row r="101" spans="1:5" ht="34.950000000000003" customHeight="1">
      <c r="A101" s="335">
        <v>54</v>
      </c>
      <c r="B101" s="341">
        <v>54</v>
      </c>
      <c r="C101" s="340">
        <v>801.98</v>
      </c>
      <c r="D101" s="335">
        <v>3.86</v>
      </c>
      <c r="E101" s="335">
        <v>686.31</v>
      </c>
    </row>
    <row r="102" spans="1:5" ht="34.950000000000003" customHeight="1">
      <c r="A102" s="335">
        <v>55</v>
      </c>
      <c r="B102" s="341">
        <v>55</v>
      </c>
      <c r="C102" s="340">
        <v>805.84</v>
      </c>
      <c r="D102" s="335">
        <v>3.86</v>
      </c>
      <c r="E102" s="335">
        <v>690.17</v>
      </c>
    </row>
    <row r="103" spans="1:5" ht="34.950000000000003" customHeight="1">
      <c r="A103" s="335">
        <v>56</v>
      </c>
      <c r="B103" s="341">
        <v>56</v>
      </c>
      <c r="C103" s="340">
        <v>809.7</v>
      </c>
      <c r="D103" s="335">
        <v>3.86</v>
      </c>
      <c r="E103" s="335">
        <v>694.03</v>
      </c>
    </row>
    <row r="104" spans="1:5" ht="34.950000000000003" customHeight="1">
      <c r="A104" s="335">
        <v>57</v>
      </c>
      <c r="B104" s="341">
        <v>57</v>
      </c>
      <c r="C104" s="340">
        <v>813.56</v>
      </c>
      <c r="D104" s="335">
        <v>3.86</v>
      </c>
      <c r="E104" s="335">
        <v>697.89</v>
      </c>
    </row>
    <row r="105" spans="1:5" ht="34.950000000000003" customHeight="1">
      <c r="A105" s="335">
        <v>58</v>
      </c>
      <c r="B105" s="341">
        <v>58</v>
      </c>
      <c r="C105" s="340">
        <v>817.42</v>
      </c>
      <c r="D105" s="335">
        <v>3.86</v>
      </c>
      <c r="E105" s="335">
        <v>701.75</v>
      </c>
    </row>
    <row r="106" spans="1:5" ht="34.950000000000003" customHeight="1">
      <c r="A106" s="335">
        <v>59</v>
      </c>
      <c r="B106" s="341">
        <v>59</v>
      </c>
      <c r="C106" s="340">
        <v>821.28</v>
      </c>
      <c r="D106" s="335">
        <v>3.86</v>
      </c>
      <c r="E106" s="335">
        <v>705.61</v>
      </c>
    </row>
    <row r="107" spans="1:5" ht="34.950000000000003" customHeight="1">
      <c r="A107" s="335">
        <v>60</v>
      </c>
      <c r="B107" s="341">
        <v>60</v>
      </c>
      <c r="C107" s="340">
        <v>825.14</v>
      </c>
      <c r="D107" s="335">
        <v>3.86</v>
      </c>
      <c r="E107" s="335">
        <v>709.47</v>
      </c>
    </row>
    <row r="108" spans="1:5" ht="34.950000000000003" customHeight="1">
      <c r="A108" s="335">
        <v>61</v>
      </c>
      <c r="B108" s="341">
        <v>61</v>
      </c>
      <c r="C108" s="340">
        <v>829</v>
      </c>
      <c r="D108" s="335">
        <v>3.86</v>
      </c>
      <c r="E108" s="335">
        <v>713.33</v>
      </c>
    </row>
    <row r="109" spans="1:5" ht="34.950000000000003" customHeight="1">
      <c r="A109" s="335">
        <v>62</v>
      </c>
      <c r="B109" s="341">
        <v>62</v>
      </c>
      <c r="C109" s="340">
        <v>832.86</v>
      </c>
      <c r="D109" s="335">
        <v>3.86</v>
      </c>
      <c r="E109" s="335">
        <v>717.19</v>
      </c>
    </row>
    <row r="110" spans="1:5" ht="34.950000000000003" customHeight="1">
      <c r="A110" s="335">
        <v>63</v>
      </c>
      <c r="B110" s="341">
        <v>63</v>
      </c>
      <c r="C110" s="340">
        <v>836.72</v>
      </c>
      <c r="D110" s="335">
        <v>3.86</v>
      </c>
      <c r="E110" s="335">
        <v>721.05</v>
      </c>
    </row>
    <row r="111" spans="1:5" ht="34.950000000000003" customHeight="1">
      <c r="A111" s="335">
        <v>64</v>
      </c>
      <c r="B111" s="341">
        <v>64</v>
      </c>
      <c r="C111" s="340">
        <v>840.58</v>
      </c>
      <c r="D111" s="335">
        <v>3.86</v>
      </c>
      <c r="E111" s="335">
        <v>724.91</v>
      </c>
    </row>
    <row r="112" spans="1:5" ht="34.950000000000003" customHeight="1">
      <c r="A112" s="335">
        <v>65</v>
      </c>
      <c r="B112" s="341">
        <v>65</v>
      </c>
      <c r="C112" s="340">
        <v>844.44</v>
      </c>
      <c r="D112" s="335">
        <v>3.86</v>
      </c>
      <c r="E112" s="335">
        <v>728.77</v>
      </c>
    </row>
    <row r="113" spans="1:5" ht="34.950000000000003" customHeight="1">
      <c r="A113" s="335">
        <v>66</v>
      </c>
      <c r="B113" s="341">
        <v>66</v>
      </c>
      <c r="C113" s="340">
        <v>848.3</v>
      </c>
      <c r="D113" s="335">
        <v>3.86</v>
      </c>
      <c r="E113" s="335">
        <v>732.63</v>
      </c>
    </row>
    <row r="114" spans="1:5" ht="34.950000000000003" customHeight="1">
      <c r="A114" s="335">
        <v>67</v>
      </c>
      <c r="B114" s="341">
        <v>67</v>
      </c>
      <c r="C114" s="340">
        <v>852.16</v>
      </c>
      <c r="D114" s="335">
        <v>3.86</v>
      </c>
      <c r="E114" s="335">
        <v>736.49</v>
      </c>
    </row>
    <row r="115" spans="1:5" ht="34.950000000000003" customHeight="1">
      <c r="A115" s="335">
        <v>68</v>
      </c>
      <c r="B115" s="341">
        <v>68</v>
      </c>
      <c r="C115" s="340">
        <v>856.02</v>
      </c>
      <c r="D115" s="335">
        <v>3.86</v>
      </c>
      <c r="E115" s="335">
        <v>740.35</v>
      </c>
    </row>
    <row r="116" spans="1:5" ht="34.950000000000003" customHeight="1">
      <c r="A116" s="335">
        <v>69</v>
      </c>
      <c r="B116" s="341">
        <v>69</v>
      </c>
      <c r="C116" s="340">
        <v>859.88</v>
      </c>
      <c r="D116" s="335">
        <v>3.86</v>
      </c>
      <c r="E116" s="335">
        <v>744.21</v>
      </c>
    </row>
    <row r="117" spans="1:5" ht="34.950000000000003" customHeight="1">
      <c r="A117" s="335">
        <v>70</v>
      </c>
      <c r="B117" s="341">
        <v>70</v>
      </c>
      <c r="C117" s="340">
        <v>863.74</v>
      </c>
      <c r="D117" s="335">
        <v>3.86</v>
      </c>
      <c r="E117" s="335">
        <v>748.07</v>
      </c>
    </row>
    <row r="118" spans="1:5" ht="34.950000000000003" customHeight="1">
      <c r="A118" s="335">
        <v>71</v>
      </c>
      <c r="B118" s="341">
        <v>71</v>
      </c>
      <c r="C118" s="340">
        <v>867.6</v>
      </c>
      <c r="D118" s="335">
        <v>3.86</v>
      </c>
      <c r="E118" s="335">
        <v>751.93</v>
      </c>
    </row>
    <row r="119" spans="1:5" ht="34.950000000000003" customHeight="1">
      <c r="A119" s="335">
        <v>72</v>
      </c>
      <c r="B119" s="341">
        <v>72</v>
      </c>
      <c r="C119" s="340">
        <v>871.46</v>
      </c>
      <c r="D119" s="335">
        <v>3.86</v>
      </c>
      <c r="E119" s="335">
        <v>755.79</v>
      </c>
    </row>
    <row r="120" spans="1:5" ht="34.950000000000003" customHeight="1">
      <c r="A120" s="335">
        <v>73</v>
      </c>
      <c r="B120" s="341">
        <v>73</v>
      </c>
      <c r="C120" s="340">
        <v>875.32</v>
      </c>
      <c r="D120" s="335">
        <v>3.86</v>
      </c>
      <c r="E120" s="335">
        <v>759.65</v>
      </c>
    </row>
    <row r="121" spans="1:5" ht="34.950000000000003" customHeight="1">
      <c r="A121" s="335">
        <v>74</v>
      </c>
      <c r="B121" s="341">
        <v>74</v>
      </c>
      <c r="C121" s="340">
        <v>879.18</v>
      </c>
      <c r="D121" s="335">
        <v>3.86</v>
      </c>
      <c r="E121" s="335">
        <v>763.51</v>
      </c>
    </row>
    <row r="122" spans="1:5" ht="34.950000000000003" customHeight="1">
      <c r="A122" s="335">
        <v>75</v>
      </c>
      <c r="B122" s="341">
        <v>75</v>
      </c>
      <c r="C122" s="340">
        <v>883.04</v>
      </c>
      <c r="D122" s="335">
        <v>3.86</v>
      </c>
      <c r="E122" s="335">
        <v>767.37</v>
      </c>
    </row>
    <row r="123" spans="1:5" ht="34.950000000000003" customHeight="1">
      <c r="A123" s="335">
        <v>76</v>
      </c>
      <c r="B123" s="341">
        <v>76</v>
      </c>
      <c r="C123" s="340">
        <v>886.9</v>
      </c>
      <c r="D123" s="335">
        <v>3.86</v>
      </c>
      <c r="E123" s="335">
        <v>771.23</v>
      </c>
    </row>
    <row r="124" spans="1:5" ht="34.950000000000003" customHeight="1">
      <c r="A124" s="335">
        <v>77</v>
      </c>
      <c r="B124" s="341">
        <v>77</v>
      </c>
      <c r="C124" s="340">
        <v>890.76</v>
      </c>
      <c r="D124" s="335">
        <v>3.86</v>
      </c>
      <c r="E124" s="335">
        <v>775.09</v>
      </c>
    </row>
    <row r="125" spans="1:5" ht="34.950000000000003" customHeight="1">
      <c r="A125" s="335">
        <v>78</v>
      </c>
      <c r="B125" s="341">
        <v>78</v>
      </c>
      <c r="C125" s="340">
        <v>894.62</v>
      </c>
      <c r="D125" s="335">
        <v>3.86</v>
      </c>
      <c r="E125" s="335">
        <v>778.95</v>
      </c>
    </row>
    <row r="126" spans="1:5" ht="34.950000000000003" customHeight="1">
      <c r="A126" s="335">
        <v>79</v>
      </c>
      <c r="B126" s="341">
        <v>79</v>
      </c>
      <c r="C126" s="340">
        <v>898.48</v>
      </c>
      <c r="D126" s="335">
        <v>3.86</v>
      </c>
      <c r="E126" s="335">
        <v>782.81</v>
      </c>
    </row>
    <row r="127" spans="1:5" ht="34.950000000000003" customHeight="1">
      <c r="A127" s="335">
        <v>80</v>
      </c>
      <c r="B127" s="341">
        <v>80</v>
      </c>
      <c r="C127" s="340">
        <v>902.34</v>
      </c>
      <c r="D127" s="335">
        <v>3.86</v>
      </c>
      <c r="E127" s="335">
        <v>786.67</v>
      </c>
    </row>
    <row r="128" spans="1:5" ht="34.950000000000003" customHeight="1">
      <c r="A128" s="335">
        <v>81</v>
      </c>
      <c r="B128" s="341">
        <v>81</v>
      </c>
      <c r="C128" s="340">
        <v>906.2</v>
      </c>
      <c r="D128" s="335">
        <v>3.86</v>
      </c>
      <c r="E128" s="335">
        <v>790.53</v>
      </c>
    </row>
    <row r="129" spans="1:5" ht="34.950000000000003" customHeight="1">
      <c r="A129" s="335">
        <v>82</v>
      </c>
      <c r="B129" s="341">
        <v>82</v>
      </c>
      <c r="C129" s="340">
        <v>910.06</v>
      </c>
      <c r="D129" s="335">
        <v>3.86</v>
      </c>
      <c r="E129" s="335">
        <v>794.39</v>
      </c>
    </row>
    <row r="130" spans="1:5" ht="34.950000000000003" customHeight="1">
      <c r="A130" s="335">
        <v>83</v>
      </c>
      <c r="B130" s="341">
        <v>83</v>
      </c>
      <c r="C130" s="340">
        <v>913.92</v>
      </c>
      <c r="D130" s="335">
        <v>3.86</v>
      </c>
      <c r="E130" s="335">
        <v>798.25</v>
      </c>
    </row>
    <row r="131" spans="1:5" ht="34.950000000000003" customHeight="1">
      <c r="A131" s="335">
        <v>84</v>
      </c>
      <c r="B131" s="341">
        <v>84</v>
      </c>
      <c r="C131" s="340">
        <v>917.78</v>
      </c>
      <c r="D131" s="335">
        <v>3.86</v>
      </c>
      <c r="E131" s="335">
        <v>802.11</v>
      </c>
    </row>
    <row r="132" spans="1:5" ht="34.950000000000003" customHeight="1">
      <c r="A132" s="335">
        <v>85</v>
      </c>
      <c r="B132" s="341">
        <v>85</v>
      </c>
      <c r="C132" s="340">
        <v>921.64</v>
      </c>
      <c r="D132" s="335">
        <v>3.86</v>
      </c>
      <c r="E132" s="335">
        <v>805.97</v>
      </c>
    </row>
    <row r="133" spans="1:5" ht="34.950000000000003" customHeight="1">
      <c r="A133" s="335">
        <v>86</v>
      </c>
      <c r="B133" s="341">
        <v>86</v>
      </c>
      <c r="C133" s="340">
        <v>925.5</v>
      </c>
      <c r="D133" s="335">
        <v>3.86</v>
      </c>
      <c r="E133" s="335">
        <v>809.83</v>
      </c>
    </row>
    <row r="134" spans="1:5" ht="34.950000000000003" customHeight="1">
      <c r="A134" s="335">
        <v>87</v>
      </c>
      <c r="B134" s="341">
        <v>87</v>
      </c>
      <c r="C134" s="340">
        <v>929.36</v>
      </c>
      <c r="D134" s="335">
        <v>3.86</v>
      </c>
      <c r="E134" s="335">
        <v>813.69</v>
      </c>
    </row>
    <row r="135" spans="1:5" ht="34.950000000000003" customHeight="1">
      <c r="A135" s="335">
        <v>88</v>
      </c>
      <c r="B135" s="341">
        <v>88</v>
      </c>
      <c r="C135" s="340">
        <v>933.22</v>
      </c>
      <c r="D135" s="335">
        <v>3.86</v>
      </c>
      <c r="E135" s="335">
        <v>817.55</v>
      </c>
    </row>
    <row r="136" spans="1:5" ht="34.950000000000003" customHeight="1">
      <c r="A136" s="335">
        <v>89</v>
      </c>
      <c r="B136" s="341">
        <v>89</v>
      </c>
      <c r="C136" s="340">
        <v>937.08</v>
      </c>
      <c r="D136" s="335">
        <v>3.86</v>
      </c>
      <c r="E136" s="335">
        <v>821.41</v>
      </c>
    </row>
    <row r="137" spans="1:5" ht="34.950000000000003" customHeight="1">
      <c r="A137" s="335">
        <v>90</v>
      </c>
      <c r="B137" s="341">
        <v>90</v>
      </c>
      <c r="C137" s="340">
        <v>940.94</v>
      </c>
      <c r="D137" s="335">
        <v>3.86</v>
      </c>
      <c r="E137" s="335">
        <v>825.27</v>
      </c>
    </row>
    <row r="138" spans="1:5" ht="34.950000000000003" customHeight="1">
      <c r="A138" s="335">
        <v>91</v>
      </c>
      <c r="B138" s="341">
        <v>91</v>
      </c>
      <c r="C138" s="340">
        <v>944.8</v>
      </c>
      <c r="D138" s="335">
        <v>3.86</v>
      </c>
      <c r="E138" s="335">
        <v>829.13</v>
      </c>
    </row>
    <row r="139" spans="1:5" ht="34.950000000000003" customHeight="1">
      <c r="A139" s="335">
        <v>92</v>
      </c>
      <c r="B139" s="341">
        <v>92</v>
      </c>
      <c r="C139" s="340">
        <v>948.66</v>
      </c>
      <c r="D139" s="335">
        <v>3.86</v>
      </c>
      <c r="E139" s="335">
        <v>832.99</v>
      </c>
    </row>
    <row r="140" spans="1:5" ht="34.950000000000003" customHeight="1">
      <c r="A140" s="335">
        <v>93</v>
      </c>
      <c r="B140" s="341">
        <v>93</v>
      </c>
      <c r="C140" s="340">
        <v>952.52</v>
      </c>
      <c r="D140" s="335">
        <v>3.86</v>
      </c>
      <c r="E140" s="335">
        <v>836.85</v>
      </c>
    </row>
    <row r="141" spans="1:5" ht="34.950000000000003" customHeight="1">
      <c r="A141" s="335">
        <v>94</v>
      </c>
      <c r="B141" s="341">
        <v>94</v>
      </c>
      <c r="C141" s="340">
        <v>956.38</v>
      </c>
      <c r="D141" s="335">
        <v>3.86</v>
      </c>
      <c r="E141" s="335">
        <v>840.71</v>
      </c>
    </row>
    <row r="142" spans="1:5" ht="34.950000000000003" customHeight="1">
      <c r="A142" s="335">
        <v>95</v>
      </c>
      <c r="B142" s="341">
        <v>95</v>
      </c>
      <c r="C142" s="340">
        <v>960.24</v>
      </c>
      <c r="D142" s="335">
        <v>3.86</v>
      </c>
      <c r="E142" s="335">
        <v>844.57</v>
      </c>
    </row>
    <row r="143" spans="1:5" ht="34.950000000000003" customHeight="1">
      <c r="A143" s="335">
        <v>96</v>
      </c>
      <c r="B143" s="341">
        <v>96</v>
      </c>
      <c r="C143" s="340">
        <v>964.1</v>
      </c>
      <c r="D143" s="335">
        <v>3.86</v>
      </c>
      <c r="E143" s="335">
        <v>848.43</v>
      </c>
    </row>
    <row r="144" spans="1:5" ht="34.950000000000003" customHeight="1">
      <c r="A144" s="335">
        <v>97</v>
      </c>
      <c r="B144" s="341">
        <v>97</v>
      </c>
      <c r="C144" s="340">
        <v>967.96</v>
      </c>
      <c r="D144" s="335">
        <v>3.86</v>
      </c>
      <c r="E144" s="335">
        <v>852.29</v>
      </c>
    </row>
    <row r="145" spans="1:5" ht="34.950000000000003" customHeight="1">
      <c r="A145" s="335">
        <v>98</v>
      </c>
      <c r="B145" s="341">
        <v>98</v>
      </c>
      <c r="C145" s="340">
        <v>971.82</v>
      </c>
      <c r="D145" s="335">
        <v>3.86</v>
      </c>
      <c r="E145" s="335">
        <v>856.15</v>
      </c>
    </row>
    <row r="146" spans="1:5" ht="34.950000000000003" customHeight="1">
      <c r="A146" s="335">
        <v>99</v>
      </c>
      <c r="B146" s="341">
        <v>99</v>
      </c>
      <c r="C146" s="340">
        <v>975.68</v>
      </c>
      <c r="D146" s="335">
        <v>3.86</v>
      </c>
      <c r="E146" s="335">
        <v>860.01</v>
      </c>
    </row>
    <row r="147" spans="1:5" ht="34.950000000000003" customHeight="1">
      <c r="A147" s="335">
        <v>100</v>
      </c>
      <c r="B147" s="341">
        <v>100</v>
      </c>
      <c r="C147" s="340">
        <v>979.54</v>
      </c>
      <c r="D147" s="335">
        <v>3.86</v>
      </c>
      <c r="E147" s="335">
        <v>863.87</v>
      </c>
    </row>
    <row r="148" spans="1:5" ht="34.950000000000003" customHeight="1">
      <c r="A148" s="335">
        <v>229</v>
      </c>
      <c r="B148" s="341">
        <v>101</v>
      </c>
      <c r="C148" s="340">
        <v>983.4</v>
      </c>
      <c r="D148" s="335">
        <v>3.86</v>
      </c>
      <c r="E148" s="335">
        <v>867.73</v>
      </c>
    </row>
  </sheetData>
  <sheetProtection formatColumns="0" selectLockedCells="1"/>
  <mergeCells count="9">
    <mergeCell ref="A1:C1"/>
    <mergeCell ref="A13:C13"/>
    <mergeCell ref="A46:E46"/>
    <mergeCell ref="F13:L13"/>
    <mergeCell ref="F14:L14"/>
    <mergeCell ref="F25:L25"/>
    <mergeCell ref="F26:L26"/>
    <mergeCell ref="F37:L37"/>
    <mergeCell ref="F38:L38"/>
  </mergeCells>
  <phoneticPr fontId="10" type="noConversion"/>
  <printOptions horizontalCentered="1" verticalCentered="1"/>
  <pageMargins left="0.78740157480314965" right="0.78740157480314965" top="0.98425196850393704" bottom="0.98425196850393704" header="0.51181102362204722" footer="0.51181102362204722"/>
  <pageSetup paperSize="9" scale="7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Dados Gerais</vt:lpstr>
      <vt:lpstr>Adições</vt:lpstr>
      <vt:lpstr>Sheet1</vt:lpstr>
      <vt:lpstr>Importação</vt:lpstr>
      <vt:lpstr>Saida 1 - Importador</vt:lpstr>
      <vt:lpstr>Saída 2 - Encomendante</vt:lpstr>
      <vt:lpstr>Resumo</vt:lpstr>
      <vt:lpstr>Quadro Sintético</vt:lpstr>
      <vt:lpstr>Notas - Sintético</vt:lpstr>
      <vt:lpstr>Notas - Analítico</vt:lpstr>
      <vt:lpstr>Tabela</vt:lpstr>
      <vt:lpstr>Adições!Print_Area</vt:lpstr>
      <vt:lpstr>'Dados Gerais'!Print_Area</vt:lpstr>
      <vt:lpstr>Importação!Print_Area</vt:lpstr>
      <vt:lpstr>'Notas - Sintético'!Print_Area</vt:lpstr>
      <vt:lpstr>'Quadro Sintético'!Print_Area</vt:lpstr>
      <vt:lpstr>Resumo!Print_Area</vt:lpstr>
      <vt:lpstr>'Saida 1 - Importador'!Print_Area</vt:lpstr>
      <vt:lpstr>'Saída 2 - Encomendante'!Print_Area</vt:lpstr>
      <vt:lpstr>Tabela!Print_Area</vt:lpstr>
      <vt:lpstr>'Dados Gerais'!Print_Titles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cp:lastPrinted>2024-04-26T15:02:24Z</cp:lastPrinted>
  <dcterms:created xsi:type="dcterms:W3CDTF">2005-07-24T16:34:55Z</dcterms:created>
  <dcterms:modified xsi:type="dcterms:W3CDTF">2025-03-17T17:47:02Z</dcterms:modified>
</cp:coreProperties>
</file>