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m210258\Documents\MATLAB\"/>
    </mc:Choice>
  </mc:AlternateContent>
  <xr:revisionPtr revIDLastSave="0" documentId="13_ncr:1_{24845C9D-7DB8-498E-B594-ADBF15F4241E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1" i="1" l="1"/>
  <c r="F161" i="1"/>
  <c r="G171" i="1"/>
  <c r="F171" i="1"/>
  <c r="G170" i="1"/>
  <c r="F170" i="1"/>
  <c r="G169" i="1"/>
  <c r="F169" i="1"/>
  <c r="G168" i="1"/>
  <c r="F168" i="1"/>
  <c r="G122" i="1"/>
  <c r="F122" i="1"/>
  <c r="G159" i="1" l="1"/>
  <c r="F159" i="1"/>
  <c r="G160" i="1"/>
  <c r="F160" i="1"/>
  <c r="G162" i="1"/>
  <c r="F162" i="1"/>
  <c r="G153" i="1" l="1"/>
  <c r="F153" i="1"/>
  <c r="G152" i="1"/>
  <c r="F152" i="1"/>
  <c r="G155" i="1"/>
  <c r="F155" i="1"/>
  <c r="G154" i="1"/>
  <c r="F154" i="1"/>
  <c r="G163" i="1"/>
  <c r="F163" i="1"/>
  <c r="G166" i="1"/>
  <c r="F166" i="1"/>
  <c r="G165" i="1"/>
  <c r="F165" i="1"/>
  <c r="G167" i="1"/>
  <c r="F167" i="1"/>
  <c r="G164" i="1"/>
  <c r="F164" i="1"/>
  <c r="G157" i="1"/>
  <c r="F157" i="1"/>
  <c r="G156" i="1"/>
  <c r="F156" i="1"/>
  <c r="G158" i="1"/>
  <c r="F158" i="1"/>
  <c r="G149" i="1"/>
  <c r="F149" i="1"/>
  <c r="G151" i="1"/>
  <c r="F151" i="1"/>
  <c r="G150" i="1"/>
  <c r="F150" i="1"/>
  <c r="G148" i="1"/>
  <c r="F148" i="1"/>
  <c r="G146" i="1"/>
  <c r="F146" i="1"/>
  <c r="G145" i="1"/>
  <c r="F145" i="1"/>
  <c r="G147" i="1"/>
  <c r="F147" i="1"/>
  <c r="G137" i="1"/>
  <c r="F137" i="1"/>
  <c r="G138" i="1"/>
  <c r="F138" i="1"/>
  <c r="G139" i="1"/>
  <c r="F139" i="1"/>
  <c r="G136" i="1"/>
  <c r="F136" i="1"/>
  <c r="G140" i="1"/>
  <c r="F140" i="1"/>
  <c r="G134" i="1"/>
  <c r="F134" i="1"/>
  <c r="G133" i="1"/>
  <c r="F133" i="1"/>
  <c r="G125" i="1" l="1"/>
  <c r="F125" i="1"/>
  <c r="G123" i="1"/>
  <c r="F123" i="1"/>
  <c r="G121" i="1"/>
  <c r="F121" i="1"/>
  <c r="G120" i="1"/>
  <c r="F120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5" i="1"/>
  <c r="F105" i="1"/>
  <c r="G104" i="1"/>
  <c r="F104" i="1"/>
  <c r="G103" i="1"/>
  <c r="F103" i="1"/>
  <c r="G101" i="1"/>
  <c r="F101" i="1"/>
  <c r="G106" i="1"/>
  <c r="F106" i="1"/>
  <c r="G102" i="1"/>
  <c r="F102" i="1"/>
  <c r="G100" i="1"/>
  <c r="F100" i="1"/>
  <c r="G97" i="1"/>
  <c r="F97" i="1"/>
  <c r="G96" i="1"/>
  <c r="F96" i="1"/>
  <c r="G95" i="1"/>
  <c r="F95" i="1"/>
  <c r="G93" i="1"/>
  <c r="F93" i="1"/>
  <c r="G94" i="1"/>
  <c r="F94" i="1"/>
  <c r="G132" i="1"/>
  <c r="F132" i="1"/>
  <c r="G90" i="1"/>
  <c r="F90" i="1"/>
  <c r="G61" i="1"/>
  <c r="F61" i="1"/>
  <c r="G60" i="1"/>
  <c r="F60" i="1"/>
  <c r="G59" i="1"/>
  <c r="F59" i="1"/>
  <c r="G58" i="1"/>
  <c r="F58" i="1"/>
  <c r="G56" i="1"/>
  <c r="F56" i="1"/>
  <c r="G57" i="1"/>
  <c r="F57" i="1"/>
  <c r="G129" i="1" l="1"/>
  <c r="F129" i="1"/>
  <c r="G128" i="1"/>
  <c r="F128" i="1"/>
  <c r="G126" i="1"/>
  <c r="F126" i="1"/>
  <c r="G127" i="1"/>
  <c r="F127" i="1"/>
  <c r="G82" i="1"/>
  <c r="F82" i="1"/>
  <c r="G80" i="1"/>
  <c r="F80" i="1"/>
  <c r="G79" i="1"/>
  <c r="F79" i="1"/>
  <c r="G69" i="1"/>
  <c r="F69" i="1"/>
  <c r="G68" i="1"/>
  <c r="F68" i="1"/>
  <c r="G141" i="1"/>
  <c r="F141" i="1"/>
  <c r="G143" i="1"/>
  <c r="F143" i="1"/>
  <c r="G144" i="1"/>
  <c r="F144" i="1"/>
  <c r="G142" i="1"/>
  <c r="F142" i="1"/>
  <c r="G87" i="1"/>
  <c r="F87" i="1"/>
  <c r="G76" i="1"/>
  <c r="F76" i="1"/>
  <c r="G75" i="1"/>
  <c r="F75" i="1"/>
  <c r="G74" i="1"/>
  <c r="F74" i="1"/>
  <c r="G63" i="1" l="1"/>
  <c r="F63" i="1"/>
  <c r="G54" i="1"/>
  <c r="F54" i="1"/>
  <c r="G71" i="1"/>
  <c r="F71" i="1"/>
  <c r="G52" i="1" l="1"/>
  <c r="F52" i="1"/>
  <c r="G51" i="1"/>
  <c r="F51" i="1"/>
  <c r="G50" i="1"/>
  <c r="F50" i="1"/>
  <c r="G47" i="1"/>
  <c r="F47" i="1"/>
  <c r="G43" i="1"/>
  <c r="F43" i="1"/>
  <c r="G42" i="1"/>
  <c r="F42" i="1"/>
  <c r="G131" i="1"/>
  <c r="F131" i="1"/>
  <c r="G130" i="1"/>
  <c r="F130" i="1"/>
  <c r="G91" i="1"/>
  <c r="F91" i="1"/>
  <c r="G49" i="1"/>
  <c r="F49" i="1"/>
  <c r="G48" i="1"/>
  <c r="F48" i="1"/>
  <c r="G46" i="1"/>
  <c r="F46" i="1"/>
  <c r="G45" i="1"/>
  <c r="F45" i="1"/>
  <c r="G38" i="1"/>
  <c r="F38" i="1"/>
  <c r="G37" i="1"/>
  <c r="F37" i="1"/>
  <c r="G40" i="1"/>
  <c r="F40" i="1"/>
  <c r="G41" i="1"/>
  <c r="F41" i="1"/>
  <c r="G36" i="1"/>
  <c r="F36" i="1"/>
  <c r="G35" i="1"/>
  <c r="F35" i="1"/>
  <c r="G34" i="1"/>
  <c r="F34" i="1"/>
  <c r="G31" i="1"/>
  <c r="F31" i="1"/>
  <c r="G19" i="1"/>
  <c r="F19" i="1"/>
  <c r="G119" i="1" l="1"/>
  <c r="F119" i="1"/>
  <c r="G107" i="1"/>
  <c r="F107" i="1"/>
  <c r="G98" i="1"/>
  <c r="F98" i="1"/>
  <c r="G89" i="1"/>
  <c r="F89" i="1"/>
  <c r="G73" i="1"/>
  <c r="F73" i="1"/>
  <c r="G72" i="1"/>
  <c r="F72" i="1"/>
  <c r="G70" i="1"/>
  <c r="F70" i="1"/>
  <c r="G78" i="1"/>
  <c r="F78" i="1"/>
  <c r="G77" i="1"/>
  <c r="F77" i="1"/>
  <c r="G86" i="1"/>
  <c r="F86" i="1"/>
  <c r="G85" i="1"/>
  <c r="F85" i="1"/>
  <c r="G84" i="1"/>
  <c r="F84" i="1"/>
  <c r="G83" i="1"/>
  <c r="F83" i="1"/>
  <c r="G81" i="1"/>
  <c r="F81" i="1"/>
  <c r="G67" i="1"/>
  <c r="F67" i="1"/>
  <c r="G66" i="1"/>
  <c r="F66" i="1"/>
  <c r="G65" i="1"/>
  <c r="F65" i="1"/>
  <c r="G64" i="1"/>
  <c r="F64" i="1"/>
  <c r="G135" i="1"/>
  <c r="F135" i="1"/>
  <c r="G62" i="1"/>
  <c r="F62" i="1"/>
  <c r="G55" i="1"/>
  <c r="F55" i="1"/>
  <c r="G53" i="1"/>
  <c r="F53" i="1"/>
  <c r="G44" i="1"/>
  <c r="F44" i="1"/>
  <c r="G39" i="1"/>
  <c r="F39" i="1"/>
  <c r="G33" i="1"/>
  <c r="F33" i="1"/>
  <c r="G32" i="1"/>
  <c r="F32" i="1"/>
  <c r="G26" i="1"/>
  <c r="F26" i="1"/>
  <c r="G30" i="1"/>
  <c r="F30" i="1"/>
  <c r="G28" i="1"/>
  <c r="F28" i="1"/>
  <c r="G27" i="1"/>
  <c r="F27" i="1"/>
  <c r="G18" i="1"/>
  <c r="F18" i="1"/>
  <c r="G17" i="1"/>
  <c r="F17" i="1"/>
  <c r="G14" i="1"/>
  <c r="F14" i="1"/>
  <c r="G15" i="1"/>
  <c r="F15" i="1"/>
  <c r="G11" i="1"/>
  <c r="F11" i="1"/>
  <c r="G13" i="1"/>
  <c r="F13" i="1"/>
  <c r="G12" i="1"/>
  <c r="F12" i="1"/>
  <c r="G9" i="1"/>
  <c r="F9" i="1"/>
  <c r="G10" i="1" l="1"/>
  <c r="F10" i="1"/>
  <c r="G8" i="1"/>
  <c r="F8" i="1"/>
  <c r="G4" i="1"/>
  <c r="F4" i="1"/>
  <c r="G6" i="1"/>
  <c r="F6" i="1"/>
  <c r="F172" i="1" l="1"/>
</calcChain>
</file>

<file path=xl/sharedStrings.xml><?xml version="1.0" encoding="utf-8"?>
<sst xmlns="http://schemas.openxmlformats.org/spreadsheetml/2006/main" count="364" uniqueCount="204">
  <si>
    <t xml:space="preserve">No. </t>
  </si>
  <si>
    <t>State</t>
  </si>
  <si>
    <t>Lat</t>
  </si>
  <si>
    <t>Long</t>
  </si>
  <si>
    <t>Guanajuato</t>
  </si>
  <si>
    <t>Population 1.239 million in 2010</t>
  </si>
  <si>
    <t>Leon</t>
  </si>
  <si>
    <t>San Francisco del rincon</t>
  </si>
  <si>
    <t>2000 Population  65,183</t>
  </si>
  <si>
    <t>Jalisco</t>
  </si>
  <si>
    <t>Michoacan</t>
  </si>
  <si>
    <t>Nayarit</t>
  </si>
  <si>
    <t>Zacatecas</t>
  </si>
  <si>
    <t>Year</t>
  </si>
  <si>
    <t>Irapuato</t>
  </si>
  <si>
    <t>381,000 Population in 2010</t>
  </si>
  <si>
    <t>Morelia</t>
  </si>
  <si>
    <t>597,511 population in 2010</t>
  </si>
  <si>
    <t>Guadalajara</t>
  </si>
  <si>
    <t>Population match</t>
  </si>
  <si>
    <t>Guerrero</t>
  </si>
  <si>
    <t>San Luis Potosi</t>
  </si>
  <si>
    <t>Colima</t>
  </si>
  <si>
    <t>Oaxaca</t>
  </si>
  <si>
    <t>Sinaloa</t>
  </si>
  <si>
    <t>Puebla</t>
  </si>
  <si>
    <t>Confidence (1-3, least-most)</t>
  </si>
  <si>
    <t>103.35 W</t>
  </si>
  <si>
    <t>Union de San Antonio?</t>
  </si>
  <si>
    <t>Close population 2010</t>
  </si>
  <si>
    <t>Ciudad Guzman</t>
  </si>
  <si>
    <t>Population match/location</t>
  </si>
  <si>
    <t>Zapopan</t>
  </si>
  <si>
    <t>El Salto?</t>
  </si>
  <si>
    <t>Rough population match/good map spacing</t>
  </si>
  <si>
    <t>1982 Best Guess</t>
  </si>
  <si>
    <t>1982 Best Guess 2</t>
  </si>
  <si>
    <t>http://citypopulation.de/php/mexico-jalisco.php</t>
  </si>
  <si>
    <t>Romita</t>
  </si>
  <si>
    <t>San Pedro de los Pozos?</t>
  </si>
  <si>
    <t>1988 (1)</t>
  </si>
  <si>
    <t>Los Reyes de Salgado</t>
  </si>
  <si>
    <t>Close population/location</t>
  </si>
  <si>
    <t>1989 best guess</t>
  </si>
  <si>
    <t>map spacing</t>
  </si>
  <si>
    <t>1990 Guess 1</t>
  </si>
  <si>
    <t>1990 Guess 2</t>
  </si>
  <si>
    <t>1990 (1)</t>
  </si>
  <si>
    <t>1990 (2)</t>
  </si>
  <si>
    <t>1991 Guess</t>
  </si>
  <si>
    <t>1992 Guess</t>
  </si>
  <si>
    <t>Jaral del Progreso</t>
  </si>
  <si>
    <t>Near Valle de Santiago</t>
  </si>
  <si>
    <t>Uruapan</t>
  </si>
  <si>
    <t>Iguala</t>
  </si>
  <si>
    <t xml:space="preserve">San Luis </t>
  </si>
  <si>
    <t>Rioverde</t>
  </si>
  <si>
    <t>Acapulco</t>
  </si>
  <si>
    <t>Atlixco</t>
  </si>
  <si>
    <t>Baja California Norte</t>
  </si>
  <si>
    <t>Tijuana 1</t>
  </si>
  <si>
    <t>Tijuana 2</t>
  </si>
  <si>
    <t>Tijuana 3</t>
  </si>
  <si>
    <t>Tijuana 4</t>
  </si>
  <si>
    <t>Chihuahua</t>
  </si>
  <si>
    <t>Ciudad Juarez 1</t>
  </si>
  <si>
    <t>Ciudad Juarez 2</t>
  </si>
  <si>
    <t>Ciudad Juarez 3</t>
  </si>
  <si>
    <t>Ciudad Juarez 4</t>
  </si>
  <si>
    <t>Durango</t>
  </si>
  <si>
    <t>Nuevo Leon</t>
  </si>
  <si>
    <t>Ciudad Santa Catarina</t>
  </si>
  <si>
    <t>Aguascalientes</t>
  </si>
  <si>
    <t>Rincon de Romos</t>
  </si>
  <si>
    <t>Uriangato</t>
  </si>
  <si>
    <t>Moroleon</t>
  </si>
  <si>
    <t>Arandas</t>
  </si>
  <si>
    <t>Hidalgo</t>
  </si>
  <si>
    <t>Veracruz</t>
  </si>
  <si>
    <t>Xalapa</t>
  </si>
  <si>
    <t>Completed</t>
  </si>
  <si>
    <t>Morelos</t>
  </si>
  <si>
    <t>Cuautla de Morelos</t>
  </si>
  <si>
    <t>Apozol</t>
  </si>
  <si>
    <t>Zacatecas 1991</t>
  </si>
  <si>
    <t xml:space="preserve">Zacatecas </t>
  </si>
  <si>
    <t>Triangulated based on population density near Alamitos</t>
  </si>
  <si>
    <t>Best Guess</t>
  </si>
  <si>
    <t>Based on satellite imagery of population density</t>
  </si>
  <si>
    <t>Pinos</t>
  </si>
  <si>
    <t>Jerez de Garcia Salinas</t>
  </si>
  <si>
    <t>Adjacent Rioverde</t>
  </si>
  <si>
    <t>Cerritos</t>
  </si>
  <si>
    <t>Adjacent, low pop</t>
  </si>
  <si>
    <t>Santo Domingo</t>
  </si>
  <si>
    <t>1996 NW</t>
  </si>
  <si>
    <t>1996 Central</t>
  </si>
  <si>
    <t>1996 South</t>
  </si>
  <si>
    <t>San Luis 1996 based mainly on satellite imagery</t>
  </si>
  <si>
    <t>Nearby Ahualulco</t>
  </si>
  <si>
    <t>Guadalupe</t>
  </si>
  <si>
    <t>Santa Cruz</t>
  </si>
  <si>
    <t>These must have covered a general area, because they do not match any localized populations</t>
  </si>
  <si>
    <t>Huitzuco</t>
  </si>
  <si>
    <t>Acayahualco</t>
  </si>
  <si>
    <t>La Calera</t>
  </si>
  <si>
    <t>1996 Best Guess</t>
  </si>
  <si>
    <t>San Juan Petlapa</t>
  </si>
  <si>
    <t>Tlaxiaco</t>
  </si>
  <si>
    <t>Cosala</t>
  </si>
  <si>
    <t>Agua Caliente?</t>
  </si>
  <si>
    <t>Guess</t>
  </si>
  <si>
    <t>Nuevo Ideal</t>
  </si>
  <si>
    <t>Canatlan</t>
  </si>
  <si>
    <t>Interpolation</t>
  </si>
  <si>
    <t>Hualahuises</t>
  </si>
  <si>
    <t>Tabasco</t>
  </si>
  <si>
    <t>Paraiso</t>
  </si>
  <si>
    <t>Occidente</t>
  </si>
  <si>
    <t>Rural Guess</t>
  </si>
  <si>
    <t>1998 Guess1</t>
  </si>
  <si>
    <t>1998 Guess2</t>
  </si>
  <si>
    <t>Santa Cruz de Rosales</t>
  </si>
  <si>
    <t>Buenaventura</t>
  </si>
  <si>
    <t>Best guess somewhere in this municipality</t>
  </si>
  <si>
    <t>Yucatan</t>
  </si>
  <si>
    <t>Oxkutzcab</t>
  </si>
  <si>
    <t>Surrounding 1</t>
  </si>
  <si>
    <t>Surrounding 2</t>
  </si>
  <si>
    <t>Sucila</t>
  </si>
  <si>
    <t>1998 Guess</t>
  </si>
  <si>
    <t>1997 Guess</t>
  </si>
  <si>
    <t>Tapalpa</t>
  </si>
  <si>
    <t>Near Tonaya</t>
  </si>
  <si>
    <t>Near Tehuitzingo</t>
  </si>
  <si>
    <t>San Juan Atzingo</t>
  </si>
  <si>
    <t>Gunajuato</t>
  </si>
  <si>
    <t>Tlaxcala</t>
  </si>
  <si>
    <t>Ciudad Manuel Doblado</t>
  </si>
  <si>
    <t>MIchoacan</t>
  </si>
  <si>
    <t>Mexico</t>
  </si>
  <si>
    <t>Queretaro</t>
  </si>
  <si>
    <t xml:space="preserve">Barrio de Guadalupe </t>
  </si>
  <si>
    <t>Tepeji de Ocampo</t>
  </si>
  <si>
    <t>Outside Tepatepec</t>
  </si>
  <si>
    <t>Santa Maria Texcalac?</t>
  </si>
  <si>
    <t>Outside Tlaxcala</t>
  </si>
  <si>
    <t>Hueyotlipan</t>
  </si>
  <si>
    <t>San Jose de Gracia</t>
  </si>
  <si>
    <t>2003 Guess 1</t>
  </si>
  <si>
    <t>2003 Guess 2</t>
  </si>
  <si>
    <t>2004 Guess</t>
  </si>
  <si>
    <t>03/04 Guess</t>
  </si>
  <si>
    <t>04 Guess</t>
  </si>
  <si>
    <t>04 Guess 2</t>
  </si>
  <si>
    <t>04 Guess 1</t>
  </si>
  <si>
    <t>Guess 1</t>
  </si>
  <si>
    <t>Guess 2</t>
  </si>
  <si>
    <t>Guess 3</t>
  </si>
  <si>
    <t>Guess 4</t>
  </si>
  <si>
    <t>Guess 5</t>
  </si>
  <si>
    <t>Morelos 1</t>
  </si>
  <si>
    <t>Morelos 2</t>
  </si>
  <si>
    <t>Morelos 3</t>
  </si>
  <si>
    <t>Papantla</t>
  </si>
  <si>
    <t>07 Guess</t>
  </si>
  <si>
    <t>08 Guess 1</t>
  </si>
  <si>
    <t>08 Guess 2</t>
  </si>
  <si>
    <t>Outside Tepeaca</t>
  </si>
  <si>
    <t>San Joaquin</t>
  </si>
  <si>
    <t>Vizarron de Montes</t>
  </si>
  <si>
    <t>La Estancia</t>
  </si>
  <si>
    <t>El Ciervo</t>
  </si>
  <si>
    <t>Outside Ajuchitlan</t>
  </si>
  <si>
    <t>Meson de los Sauces</t>
  </si>
  <si>
    <t>Fraccionamiento Cristeros</t>
  </si>
  <si>
    <t>Paso de Cuarenta</t>
  </si>
  <si>
    <t>El Tecuan</t>
  </si>
  <si>
    <t>San Jeronimo Xaya.</t>
  </si>
  <si>
    <t>Texcalapa de Juarez</t>
  </si>
  <si>
    <t>Near Guadalupe</t>
  </si>
  <si>
    <t>Zumpahuacan</t>
  </si>
  <si>
    <t>Ejido San Lorenzo</t>
  </si>
  <si>
    <t>Oxtotilpan</t>
  </si>
  <si>
    <t>Zacualpan de Amilpas</t>
  </si>
  <si>
    <t>Amayuca</t>
  </si>
  <si>
    <t>Chinameca</t>
  </si>
  <si>
    <t>Constancia Farfan</t>
  </si>
  <si>
    <t>Xochitlan</t>
  </si>
  <si>
    <t>Nochistlan</t>
  </si>
  <si>
    <t>Las Pintitas</t>
  </si>
  <si>
    <t>El Arenal</t>
  </si>
  <si>
    <t>El Salvador</t>
  </si>
  <si>
    <t>Tecamachalco</t>
  </si>
  <si>
    <t>Ixcaquitla</t>
  </si>
  <si>
    <t>Coatzingo</t>
  </si>
  <si>
    <t>Chavinda</t>
  </si>
  <si>
    <t>Yaxcaba</t>
  </si>
  <si>
    <t>Kantunil</t>
  </si>
  <si>
    <t>La Palma</t>
  </si>
  <si>
    <t>San Martin Florida</t>
  </si>
  <si>
    <t>Villa Guerrero</t>
  </si>
  <si>
    <t>**Final MMP map only shows 7 communities in Queretaro, despite 8 being listed on Appendix A</t>
  </si>
  <si>
    <t>City/Municipality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</si>
</sst>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0" fontId="2" fillId="0" borderId="0" xfId="1"/>
    <xf numFmtId="0" fontId="0" fillId="0" borderId="0" xfId="0" applyFill="1"/>
    <xf numFmtId="0" fontId="0" fillId="0" borderId="0" xfId="0" applyAlignment="1">
      <alignment horizont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typopulation.de/php/mexico-jalisco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tabSelected="1" topLeftCell="A38" workbookViewId="0">
      <selection activeCell="I57" sqref="I57"/>
    </sheetView>
  </sheetViews>
  <sheetFormatPr defaultRowHeight="14.5" x14ac:dyDescent="0.35"/>
  <cols>
    <col min="2" max="2" width="18.90625" customWidth="1"/>
    <col min="3" max="3" width="14.81640625" customWidth="1"/>
    <col min="4" max="4" width="21.54296875" customWidth="1"/>
    <col min="5" max="5" width="14.26953125" customWidth="1"/>
    <col min="6" max="6" width="12.90625" customWidth="1"/>
    <col min="7" max="7" width="12.6328125" customWidth="1"/>
  </cols>
  <sheetData>
    <row r="1" spans="1:13" ht="29" x14ac:dyDescent="0.35">
      <c r="A1" s="1" t="s">
        <v>0</v>
      </c>
      <c r="B1" s="1" t="s">
        <v>1</v>
      </c>
      <c r="C1" s="1" t="s">
        <v>13</v>
      </c>
      <c r="D1" s="1" t="s">
        <v>203</v>
      </c>
      <c r="E1" s="2" t="s">
        <v>26</v>
      </c>
      <c r="F1" s="1" t="s">
        <v>2</v>
      </c>
      <c r="G1" s="1" t="s">
        <v>3</v>
      </c>
    </row>
    <row r="2" spans="1:13" x14ac:dyDescent="0.35">
      <c r="A2">
        <v>1</v>
      </c>
      <c r="B2" t="s">
        <v>4</v>
      </c>
      <c r="C2">
        <v>1987</v>
      </c>
      <c r="D2" t="s">
        <v>7</v>
      </c>
      <c r="E2">
        <v>3</v>
      </c>
      <c r="F2">
        <v>21.02</v>
      </c>
      <c r="G2">
        <v>101.86</v>
      </c>
      <c r="H2" t="s">
        <v>8</v>
      </c>
      <c r="M2" s="5" t="s">
        <v>37</v>
      </c>
    </row>
    <row r="3" spans="1:13" x14ac:dyDescent="0.35">
      <c r="A3">
        <v>2</v>
      </c>
      <c r="B3" t="s">
        <v>4</v>
      </c>
      <c r="C3">
        <v>1987</v>
      </c>
      <c r="D3" t="s">
        <v>6</v>
      </c>
      <c r="E3">
        <v>3</v>
      </c>
      <c r="F3">
        <v>21.12</v>
      </c>
      <c r="G3">
        <v>101.68</v>
      </c>
      <c r="H3" t="s">
        <v>5</v>
      </c>
    </row>
    <row r="4" spans="1:13" x14ac:dyDescent="0.35">
      <c r="A4">
        <v>3</v>
      </c>
      <c r="B4" t="s">
        <v>9</v>
      </c>
      <c r="C4">
        <v>1988</v>
      </c>
      <c r="D4" s="3" t="s">
        <v>40</v>
      </c>
      <c r="E4">
        <v>1</v>
      </c>
      <c r="F4" s="4">
        <f xml:space="preserve"> 20 +(58+(23.16/60))/60</f>
        <v>20.973099999999999</v>
      </c>
      <c r="G4" s="4">
        <f xml:space="preserve"> 102+(5+(9.36/60))/60</f>
        <v>102.08593333333333</v>
      </c>
    </row>
    <row r="5" spans="1:13" x14ac:dyDescent="0.35">
      <c r="A5">
        <v>4</v>
      </c>
      <c r="B5" t="s">
        <v>4</v>
      </c>
      <c r="C5">
        <v>1988</v>
      </c>
      <c r="D5" t="s">
        <v>38</v>
      </c>
      <c r="E5">
        <v>2</v>
      </c>
      <c r="F5">
        <v>20.87</v>
      </c>
      <c r="G5">
        <v>101.52</v>
      </c>
      <c r="H5" t="s">
        <v>34</v>
      </c>
    </row>
    <row r="6" spans="1:13" x14ac:dyDescent="0.35">
      <c r="A6">
        <v>5</v>
      </c>
      <c r="B6" t="s">
        <v>4</v>
      </c>
      <c r="C6">
        <v>1988</v>
      </c>
      <c r="D6" t="s">
        <v>39</v>
      </c>
      <c r="E6">
        <v>2</v>
      </c>
      <c r="F6" s="4">
        <f xml:space="preserve"> 21+(13+(23.44/60))/60</f>
        <v>21.223177777777778</v>
      </c>
      <c r="G6" s="4">
        <f xml:space="preserve"> 100 + (29+(37.2/60))/60</f>
        <v>100.49366666666667</v>
      </c>
      <c r="H6" t="s">
        <v>34</v>
      </c>
    </row>
    <row r="7" spans="1:13" x14ac:dyDescent="0.35">
      <c r="A7">
        <v>6</v>
      </c>
      <c r="B7" t="s">
        <v>9</v>
      </c>
      <c r="C7">
        <v>1988</v>
      </c>
      <c r="D7" t="s">
        <v>28</v>
      </c>
      <c r="E7">
        <v>2</v>
      </c>
      <c r="F7">
        <v>21.12</v>
      </c>
      <c r="G7">
        <v>102.36</v>
      </c>
      <c r="H7" t="s">
        <v>29</v>
      </c>
    </row>
    <row r="8" spans="1:13" x14ac:dyDescent="0.35">
      <c r="A8">
        <v>7</v>
      </c>
      <c r="B8" t="s">
        <v>9</v>
      </c>
      <c r="C8">
        <v>1988</v>
      </c>
      <c r="D8" s="3">
        <v>1988</v>
      </c>
      <c r="E8">
        <v>1</v>
      </c>
      <c r="F8">
        <f>21+(5+(6.99/60))/60</f>
        <v>21.085274999999999</v>
      </c>
      <c r="G8">
        <f>102+(11+(52.87/60))/60</f>
        <v>102.19801944444444</v>
      </c>
    </row>
    <row r="9" spans="1:13" x14ac:dyDescent="0.35">
      <c r="A9">
        <v>8</v>
      </c>
      <c r="B9" t="s">
        <v>10</v>
      </c>
      <c r="C9">
        <v>1989</v>
      </c>
      <c r="D9" s="3" t="s">
        <v>43</v>
      </c>
      <c r="E9">
        <v>1</v>
      </c>
      <c r="F9">
        <f>19+(47+47.28/60)/60</f>
        <v>19.796466666666667</v>
      </c>
      <c r="G9">
        <f>102+(18+23.3/60)/60</f>
        <v>102.30647222222223</v>
      </c>
      <c r="H9" t="s">
        <v>44</v>
      </c>
    </row>
    <row r="10" spans="1:13" x14ac:dyDescent="0.35">
      <c r="A10">
        <v>9</v>
      </c>
      <c r="B10" t="s">
        <v>10</v>
      </c>
      <c r="C10">
        <v>1989</v>
      </c>
      <c r="D10" t="s">
        <v>41</v>
      </c>
      <c r="E10">
        <v>2</v>
      </c>
      <c r="F10">
        <f xml:space="preserve"> 19+(35+(17.18/60))/60</f>
        <v>19.588105555555554</v>
      </c>
      <c r="G10">
        <f xml:space="preserve"> 102 + (28+10.51/60)/60</f>
        <v>102.46958611111111</v>
      </c>
      <c r="H10" t="s">
        <v>42</v>
      </c>
    </row>
    <row r="11" spans="1:13" x14ac:dyDescent="0.35">
      <c r="A11">
        <v>10</v>
      </c>
      <c r="B11" t="s">
        <v>10</v>
      </c>
      <c r="C11">
        <v>1990</v>
      </c>
      <c r="D11" t="s">
        <v>47</v>
      </c>
      <c r="E11">
        <v>1</v>
      </c>
      <c r="F11">
        <f>19+(44+8.4/60)/60</f>
        <v>19.735666666666667</v>
      </c>
      <c r="G11">
        <f>102+(5+16.36/60)/60</f>
        <v>102.08787777777778</v>
      </c>
    </row>
    <row r="12" spans="1:13" x14ac:dyDescent="0.35">
      <c r="A12">
        <v>11</v>
      </c>
      <c r="B12" t="s">
        <v>11</v>
      </c>
      <c r="C12">
        <v>1990</v>
      </c>
      <c r="D12" t="s">
        <v>45</v>
      </c>
      <c r="E12">
        <v>1</v>
      </c>
      <c r="F12">
        <f>21+(2+40.99/60)/60</f>
        <v>21.044719444444443</v>
      </c>
      <c r="G12">
        <f>104+(22+5.67/60)/60</f>
        <v>104.36824166666666</v>
      </c>
    </row>
    <row r="13" spans="1:13" x14ac:dyDescent="0.35">
      <c r="A13">
        <v>12</v>
      </c>
      <c r="B13" t="s">
        <v>11</v>
      </c>
      <c r="C13">
        <v>1990</v>
      </c>
      <c r="D13" t="s">
        <v>46</v>
      </c>
      <c r="E13">
        <v>1</v>
      </c>
      <c r="F13">
        <f>20+(59+55.16/60)/60</f>
        <v>20.998655555555555</v>
      </c>
      <c r="G13">
        <f>105+(8+4.69/60)/60</f>
        <v>105.13463611111111</v>
      </c>
    </row>
    <row r="14" spans="1:13" x14ac:dyDescent="0.35">
      <c r="A14">
        <v>13</v>
      </c>
      <c r="B14" t="s">
        <v>4</v>
      </c>
      <c r="C14">
        <v>1990</v>
      </c>
      <c r="D14">
        <v>1990</v>
      </c>
      <c r="E14">
        <v>1</v>
      </c>
      <c r="F14">
        <f>21+(15+0.53/60)/60</f>
        <v>21.250147222222221</v>
      </c>
      <c r="G14">
        <f>101+(28+9.43/60)/60</f>
        <v>101.46928611111112</v>
      </c>
    </row>
    <row r="15" spans="1:13" x14ac:dyDescent="0.35">
      <c r="A15">
        <v>14</v>
      </c>
      <c r="B15" t="s">
        <v>10</v>
      </c>
      <c r="C15">
        <v>1990</v>
      </c>
      <c r="D15" t="s">
        <v>48</v>
      </c>
      <c r="E15">
        <v>1</v>
      </c>
      <c r="F15">
        <f>19+(37+49.97/60)/60</f>
        <v>19.630547222222223</v>
      </c>
      <c r="G15">
        <f>101+(57+39.92/60)/60</f>
        <v>101.9610888888889</v>
      </c>
    </row>
    <row r="16" spans="1:13" x14ac:dyDescent="0.35">
      <c r="A16" s="8">
        <v>15</v>
      </c>
      <c r="B16" s="8" t="s">
        <v>4</v>
      </c>
      <c r="C16" s="8">
        <v>1991</v>
      </c>
      <c r="D16" s="8" t="s">
        <v>14</v>
      </c>
      <c r="E16" s="8">
        <v>3</v>
      </c>
      <c r="F16" s="8">
        <v>20.68</v>
      </c>
      <c r="G16" s="8">
        <v>101.35</v>
      </c>
      <c r="H16" s="8" t="s">
        <v>15</v>
      </c>
    </row>
    <row r="17" spans="1:8" x14ac:dyDescent="0.35">
      <c r="A17" s="8">
        <v>16</v>
      </c>
      <c r="B17" s="8" t="s">
        <v>4</v>
      </c>
      <c r="C17" s="8">
        <v>1991</v>
      </c>
      <c r="D17" s="8" t="s">
        <v>49</v>
      </c>
      <c r="E17" s="8">
        <v>2</v>
      </c>
      <c r="F17" s="8">
        <f>20+(33+30.81/60)/60</f>
        <v>20.558558333333334</v>
      </c>
      <c r="G17" s="8">
        <f>101+(17+56.4/60)/60</f>
        <v>101.29900000000001</v>
      </c>
      <c r="H17" s="8"/>
    </row>
    <row r="18" spans="1:8" x14ac:dyDescent="0.35">
      <c r="A18">
        <v>17</v>
      </c>
      <c r="B18" t="s">
        <v>9</v>
      </c>
      <c r="C18">
        <v>1991</v>
      </c>
      <c r="D18" t="s">
        <v>49</v>
      </c>
      <c r="E18">
        <v>1</v>
      </c>
      <c r="F18">
        <f>20+(30+47.8/60)/60</f>
        <v>20.513277777777777</v>
      </c>
      <c r="G18">
        <f>104+(12+31.17/60)/60</f>
        <v>104.20865833333333</v>
      </c>
    </row>
    <row r="19" spans="1:8" x14ac:dyDescent="0.35">
      <c r="A19">
        <v>18</v>
      </c>
      <c r="B19" t="s">
        <v>12</v>
      </c>
      <c r="C19">
        <v>1991</v>
      </c>
      <c r="D19" t="s">
        <v>83</v>
      </c>
      <c r="E19">
        <v>2</v>
      </c>
      <c r="F19">
        <f>21+(27+59.22/60)/60</f>
        <v>21.466449999999998</v>
      </c>
      <c r="G19">
        <f>103+(5+27.79/60)/60</f>
        <v>103.09105277777778</v>
      </c>
    </row>
    <row r="20" spans="1:8" x14ac:dyDescent="0.35">
      <c r="A20">
        <v>19</v>
      </c>
      <c r="B20" t="s">
        <v>10</v>
      </c>
      <c r="C20">
        <v>1991</v>
      </c>
      <c r="D20" t="s">
        <v>16</v>
      </c>
      <c r="E20">
        <v>3</v>
      </c>
      <c r="F20">
        <v>19.71</v>
      </c>
      <c r="G20">
        <v>101.2</v>
      </c>
      <c r="H20" t="s">
        <v>17</v>
      </c>
    </row>
    <row r="21" spans="1:8" x14ac:dyDescent="0.35">
      <c r="A21">
        <v>20</v>
      </c>
      <c r="B21" t="s">
        <v>9</v>
      </c>
      <c r="C21">
        <v>1982</v>
      </c>
      <c r="D21" s="3" t="s">
        <v>35</v>
      </c>
      <c r="E21">
        <v>1</v>
      </c>
      <c r="F21">
        <v>19.920000000000002</v>
      </c>
      <c r="G21">
        <v>103.98</v>
      </c>
    </row>
    <row r="22" spans="1:8" x14ac:dyDescent="0.35">
      <c r="A22">
        <v>21</v>
      </c>
      <c r="B22" t="s">
        <v>9</v>
      </c>
      <c r="C22">
        <v>1982</v>
      </c>
      <c r="D22" s="3" t="s">
        <v>36</v>
      </c>
      <c r="E22">
        <v>1</v>
      </c>
      <c r="F22">
        <v>19.97</v>
      </c>
      <c r="G22">
        <v>103.84</v>
      </c>
    </row>
    <row r="23" spans="1:8" x14ac:dyDescent="0.35">
      <c r="A23">
        <v>22</v>
      </c>
      <c r="B23" t="s">
        <v>10</v>
      </c>
      <c r="C23">
        <v>1982</v>
      </c>
      <c r="D23" s="3" t="s">
        <v>35</v>
      </c>
      <c r="E23">
        <v>1</v>
      </c>
      <c r="F23">
        <v>19.72</v>
      </c>
      <c r="G23">
        <v>102.46</v>
      </c>
    </row>
    <row r="24" spans="1:8" x14ac:dyDescent="0.35">
      <c r="A24">
        <v>23</v>
      </c>
      <c r="B24" t="s">
        <v>9</v>
      </c>
      <c r="C24">
        <v>1982</v>
      </c>
      <c r="D24" t="s">
        <v>33</v>
      </c>
      <c r="E24">
        <v>2</v>
      </c>
      <c r="F24">
        <v>20.52</v>
      </c>
      <c r="G24">
        <v>103.18</v>
      </c>
      <c r="H24" t="s">
        <v>34</v>
      </c>
    </row>
    <row r="25" spans="1:8" x14ac:dyDescent="0.35">
      <c r="A25">
        <v>24</v>
      </c>
      <c r="B25" t="s">
        <v>9</v>
      </c>
      <c r="C25">
        <v>1982</v>
      </c>
      <c r="D25" t="s">
        <v>18</v>
      </c>
      <c r="E25">
        <v>3</v>
      </c>
      <c r="F25">
        <v>20.66</v>
      </c>
      <c r="G25">
        <v>103.35</v>
      </c>
      <c r="H25" t="s">
        <v>19</v>
      </c>
    </row>
    <row r="26" spans="1:8" x14ac:dyDescent="0.35">
      <c r="A26">
        <v>25</v>
      </c>
      <c r="B26" t="s">
        <v>9</v>
      </c>
      <c r="C26">
        <v>1992</v>
      </c>
      <c r="D26" s="3" t="s">
        <v>50</v>
      </c>
      <c r="E26">
        <v>1</v>
      </c>
      <c r="F26">
        <f>19+(26+17.75/60)/60</f>
        <v>19.438263888888891</v>
      </c>
      <c r="G26">
        <f>104+(44+27.25/60)/60</f>
        <v>104.74090277777778</v>
      </c>
    </row>
    <row r="27" spans="1:8" x14ac:dyDescent="0.35">
      <c r="A27" s="8">
        <v>26</v>
      </c>
      <c r="B27" s="8" t="s">
        <v>4</v>
      </c>
      <c r="C27" s="8">
        <v>1992</v>
      </c>
      <c r="D27" s="8" t="s">
        <v>51</v>
      </c>
      <c r="E27" s="8">
        <v>1</v>
      </c>
      <c r="F27" s="8">
        <f>20+(22+24.77/60)/60</f>
        <v>20.373547222222221</v>
      </c>
      <c r="G27" s="8">
        <f>101+(4+6.05/60)/60</f>
        <v>101.06834722222223</v>
      </c>
      <c r="H27" s="8"/>
    </row>
    <row r="28" spans="1:8" x14ac:dyDescent="0.35">
      <c r="A28" s="8">
        <v>27</v>
      </c>
      <c r="B28" s="8" t="s">
        <v>4</v>
      </c>
      <c r="C28" s="8">
        <v>1992</v>
      </c>
      <c r="D28" s="8" t="s">
        <v>52</v>
      </c>
      <c r="E28" s="8">
        <v>2</v>
      </c>
      <c r="F28" s="8">
        <f>20+(24+12.31/60)/60</f>
        <v>20.403419444444445</v>
      </c>
      <c r="G28" s="8">
        <f>101+(12+29.68/60)/60</f>
        <v>101.20824444444445</v>
      </c>
      <c r="H28" s="8"/>
    </row>
    <row r="29" spans="1:8" x14ac:dyDescent="0.35">
      <c r="A29">
        <v>28</v>
      </c>
      <c r="B29" t="s">
        <v>9</v>
      </c>
      <c r="C29">
        <v>1992</v>
      </c>
      <c r="D29" t="s">
        <v>30</v>
      </c>
      <c r="E29">
        <v>2</v>
      </c>
      <c r="F29">
        <v>19.7</v>
      </c>
      <c r="G29">
        <v>103.47</v>
      </c>
      <c r="H29" t="s">
        <v>31</v>
      </c>
    </row>
    <row r="30" spans="1:8" x14ac:dyDescent="0.35">
      <c r="A30">
        <v>29</v>
      </c>
      <c r="B30" t="s">
        <v>10</v>
      </c>
      <c r="C30">
        <v>1992</v>
      </c>
      <c r="D30" t="s">
        <v>53</v>
      </c>
      <c r="E30">
        <v>2</v>
      </c>
      <c r="F30">
        <f>19+(24+23.22/60)/60</f>
        <v>19.40645</v>
      </c>
      <c r="G30">
        <f>102+(2+34.97/60)/60</f>
        <v>102.04304722222223</v>
      </c>
      <c r="H30" t="s">
        <v>31</v>
      </c>
    </row>
    <row r="31" spans="1:8" x14ac:dyDescent="0.35">
      <c r="A31">
        <v>30</v>
      </c>
      <c r="B31" t="s">
        <v>12</v>
      </c>
      <c r="C31">
        <v>1991</v>
      </c>
      <c r="D31" s="3" t="s">
        <v>84</v>
      </c>
      <c r="E31">
        <v>1</v>
      </c>
      <c r="F31">
        <f>21+(24+7.22/60)/60</f>
        <v>21.402005555555554</v>
      </c>
      <c r="G31">
        <f>103+(17+50.75/60)/60</f>
        <v>103.29743055555555</v>
      </c>
      <c r="H31" t="s">
        <v>86</v>
      </c>
    </row>
    <row r="32" spans="1:8" x14ac:dyDescent="0.35">
      <c r="A32">
        <v>31</v>
      </c>
      <c r="B32" t="s">
        <v>20</v>
      </c>
      <c r="C32">
        <v>1993</v>
      </c>
      <c r="D32" t="s">
        <v>54</v>
      </c>
      <c r="E32">
        <v>3</v>
      </c>
      <c r="F32">
        <f>18+(20+41.46/60)/60</f>
        <v>18.344850000000001</v>
      </c>
      <c r="G32">
        <f>99+(32+23.05/60)/60</f>
        <v>99.539736111111111</v>
      </c>
    </row>
    <row r="33" spans="1:8" x14ac:dyDescent="0.35">
      <c r="A33">
        <v>32</v>
      </c>
      <c r="B33" t="s">
        <v>21</v>
      </c>
      <c r="C33">
        <v>1993</v>
      </c>
      <c r="D33" t="s">
        <v>55</v>
      </c>
      <c r="E33">
        <v>3</v>
      </c>
      <c r="F33">
        <f>22+(9+23.21/60)/60</f>
        <v>22.156447222222223</v>
      </c>
      <c r="G33">
        <f>100+(59+7.92/60)/60</f>
        <v>100.98553333333334</v>
      </c>
    </row>
    <row r="34" spans="1:8" x14ac:dyDescent="0.35">
      <c r="A34">
        <v>33</v>
      </c>
      <c r="B34" t="s">
        <v>22</v>
      </c>
      <c r="C34">
        <v>1994</v>
      </c>
      <c r="D34" t="s">
        <v>87</v>
      </c>
      <c r="E34">
        <v>1</v>
      </c>
      <c r="F34">
        <f xml:space="preserve"> 18+(54+8.45/60)/60</f>
        <v>18.902347222222222</v>
      </c>
      <c r="G34">
        <f>103+(47+31.06/60)/60</f>
        <v>103.79196111111111</v>
      </c>
      <c r="H34" t="s">
        <v>88</v>
      </c>
    </row>
    <row r="35" spans="1:8" x14ac:dyDescent="0.35">
      <c r="A35">
        <v>34</v>
      </c>
      <c r="B35" t="s">
        <v>12</v>
      </c>
      <c r="C35">
        <v>1994</v>
      </c>
      <c r="D35" t="s">
        <v>85</v>
      </c>
      <c r="E35">
        <v>3</v>
      </c>
      <c r="F35">
        <f>22+(46+15.08/60)/60</f>
        <v>22.770855555555556</v>
      </c>
      <c r="G35">
        <f>102+(34+59.67/60)/60</f>
        <v>102.58324166666667</v>
      </c>
    </row>
    <row r="36" spans="1:8" x14ac:dyDescent="0.35">
      <c r="A36">
        <v>35</v>
      </c>
      <c r="B36" t="s">
        <v>12</v>
      </c>
      <c r="C36">
        <v>1994</v>
      </c>
      <c r="D36" t="s">
        <v>89</v>
      </c>
      <c r="E36">
        <v>2</v>
      </c>
      <c r="F36">
        <f>22+(17+50.2/60)/60</f>
        <v>22.297277777777779</v>
      </c>
      <c r="G36">
        <f>101+(34+29.04/60)/60</f>
        <v>101.57473333333333</v>
      </c>
    </row>
    <row r="37" spans="1:8" x14ac:dyDescent="0.35">
      <c r="A37">
        <v>36</v>
      </c>
      <c r="B37" t="s">
        <v>21</v>
      </c>
      <c r="C37">
        <v>1994</v>
      </c>
      <c r="D37" t="s">
        <v>92</v>
      </c>
      <c r="E37">
        <v>2</v>
      </c>
      <c r="F37">
        <f>22+(25+55.36/60)/60</f>
        <v>22.432044444444443</v>
      </c>
      <c r="G37">
        <f>100+(17+4.73/60)/60</f>
        <v>100.28464722222222</v>
      </c>
    </row>
    <row r="38" spans="1:8" x14ac:dyDescent="0.35">
      <c r="A38">
        <v>37</v>
      </c>
      <c r="B38" t="s">
        <v>21</v>
      </c>
      <c r="C38">
        <v>1994</v>
      </c>
      <c r="D38" t="s">
        <v>93</v>
      </c>
      <c r="E38">
        <v>1</v>
      </c>
      <c r="F38">
        <f>22+(11+52.88/60)/60</f>
        <v>22.198022222222221</v>
      </c>
      <c r="G38">
        <f>100+(30+30.52/60)/60</f>
        <v>100.50847777777778</v>
      </c>
    </row>
    <row r="39" spans="1:8" x14ac:dyDescent="0.35">
      <c r="A39">
        <v>38</v>
      </c>
      <c r="B39" t="s">
        <v>21</v>
      </c>
      <c r="C39">
        <v>1994</v>
      </c>
      <c r="D39" t="s">
        <v>56</v>
      </c>
      <c r="E39">
        <v>3</v>
      </c>
      <c r="F39">
        <f>21+(55+40.31/60)/60</f>
        <v>21.92786388888889</v>
      </c>
      <c r="G39">
        <f>99+(59+8.37/60)/60</f>
        <v>99.985658333333333</v>
      </c>
    </row>
    <row r="40" spans="1:8" x14ac:dyDescent="0.35">
      <c r="A40">
        <v>39</v>
      </c>
      <c r="B40" t="s">
        <v>21</v>
      </c>
      <c r="C40">
        <v>1994</v>
      </c>
      <c r="D40" t="s">
        <v>91</v>
      </c>
      <c r="E40">
        <v>1</v>
      </c>
      <c r="F40">
        <f>21+(38+58.03/60)/60</f>
        <v>21.649452777777778</v>
      </c>
      <c r="G40">
        <f>99+(49+17.35/60)/60</f>
        <v>99.821486111111113</v>
      </c>
    </row>
    <row r="41" spans="1:8" x14ac:dyDescent="0.35">
      <c r="A41">
        <v>40</v>
      </c>
      <c r="B41" t="s">
        <v>12</v>
      </c>
      <c r="C41">
        <v>1995</v>
      </c>
      <c r="D41" t="s">
        <v>90</v>
      </c>
      <c r="E41">
        <v>3</v>
      </c>
      <c r="F41">
        <f>22+(38+48.75/60)/60</f>
        <v>22.646875000000001</v>
      </c>
      <c r="G41">
        <f>102+(59+15.44/60)/60</f>
        <v>102.98762222222223</v>
      </c>
    </row>
    <row r="42" spans="1:8" x14ac:dyDescent="0.35">
      <c r="A42">
        <v>41</v>
      </c>
      <c r="B42" t="s">
        <v>20</v>
      </c>
      <c r="C42">
        <v>1995</v>
      </c>
      <c r="D42" t="s">
        <v>103</v>
      </c>
      <c r="E42">
        <v>3</v>
      </c>
      <c r="F42">
        <f>18+(17+16.11/60)/60</f>
        <v>18.287808333333334</v>
      </c>
      <c r="G42">
        <f>99+(20+24.93/60)/60</f>
        <v>99.340258333333338</v>
      </c>
    </row>
    <row r="43" spans="1:8" x14ac:dyDescent="0.35">
      <c r="A43">
        <v>42</v>
      </c>
      <c r="B43" t="s">
        <v>20</v>
      </c>
      <c r="C43">
        <v>1995</v>
      </c>
      <c r="D43" t="s">
        <v>104</v>
      </c>
      <c r="E43">
        <v>2</v>
      </c>
      <c r="F43">
        <f>18+(13+33.44/60)/60</f>
        <v>18.225955555555554</v>
      </c>
      <c r="G43">
        <f>99+(28+51.84/60)/60</f>
        <v>99.481066666666663</v>
      </c>
    </row>
    <row r="44" spans="1:8" x14ac:dyDescent="0.35">
      <c r="A44">
        <v>43</v>
      </c>
      <c r="B44" t="s">
        <v>20</v>
      </c>
      <c r="C44">
        <v>1995</v>
      </c>
      <c r="D44" t="s">
        <v>57</v>
      </c>
      <c r="E44">
        <v>3</v>
      </c>
      <c r="F44">
        <f>16+(51+11.19/60)/60</f>
        <v>16.853108333333335</v>
      </c>
      <c r="G44">
        <f>99+(49+25.15/60)/60</f>
        <v>99.823652777777781</v>
      </c>
    </row>
    <row r="45" spans="1:8" x14ac:dyDescent="0.35">
      <c r="A45">
        <v>44</v>
      </c>
      <c r="B45" t="s">
        <v>21</v>
      </c>
      <c r="C45">
        <v>1995</v>
      </c>
      <c r="D45" t="s">
        <v>94</v>
      </c>
      <c r="E45">
        <v>2</v>
      </c>
      <c r="F45">
        <f>23+(20+9.52/60)/60</f>
        <v>23.335977777777778</v>
      </c>
      <c r="G45">
        <f>101+(44+16.02/60)/60</f>
        <v>101.73778333333334</v>
      </c>
      <c r="H45" t="s">
        <v>98</v>
      </c>
    </row>
    <row r="46" spans="1:8" x14ac:dyDescent="0.35">
      <c r="A46">
        <v>45</v>
      </c>
      <c r="B46" t="s">
        <v>21</v>
      </c>
      <c r="C46">
        <v>1996</v>
      </c>
      <c r="D46" t="s">
        <v>95</v>
      </c>
      <c r="E46">
        <v>1</v>
      </c>
      <c r="F46">
        <f>23+(15+30.58/60)/60</f>
        <v>23.258494444444445</v>
      </c>
      <c r="G46">
        <f>102+(3+18.56/60)/60</f>
        <v>102.05515555555556</v>
      </c>
    </row>
    <row r="47" spans="1:8" x14ac:dyDescent="0.35">
      <c r="A47">
        <v>46</v>
      </c>
      <c r="B47" t="s">
        <v>12</v>
      </c>
      <c r="C47">
        <v>1995</v>
      </c>
      <c r="D47" t="s">
        <v>105</v>
      </c>
      <c r="E47">
        <v>1</v>
      </c>
      <c r="F47">
        <f>22+(56+20.25/60)/60</f>
        <v>22.938958333333332</v>
      </c>
      <c r="G47">
        <f>102+(44+12.09/60)/60</f>
        <v>102.73669166666667</v>
      </c>
    </row>
    <row r="48" spans="1:8" x14ac:dyDescent="0.35">
      <c r="A48">
        <v>47</v>
      </c>
      <c r="B48" t="s">
        <v>21</v>
      </c>
      <c r="C48">
        <v>1996</v>
      </c>
      <c r="D48" t="s">
        <v>96</v>
      </c>
      <c r="E48">
        <v>1</v>
      </c>
      <c r="F48">
        <f>22+(15+15.94/60)/60</f>
        <v>22.254427777777778</v>
      </c>
      <c r="G48">
        <f>100+(6+44.59/60)/60</f>
        <v>100.11238611111111</v>
      </c>
    </row>
    <row r="49" spans="1:8" x14ac:dyDescent="0.35">
      <c r="A49">
        <v>48</v>
      </c>
      <c r="B49" t="s">
        <v>21</v>
      </c>
      <c r="C49">
        <v>1996</v>
      </c>
      <c r="D49" t="s">
        <v>97</v>
      </c>
      <c r="E49">
        <v>1</v>
      </c>
      <c r="F49">
        <f>22+(1+44.38/60)/60</f>
        <v>22.028994444444443</v>
      </c>
      <c r="G49">
        <f>99+(33+16.68/60)/60</f>
        <v>99.554633333333328</v>
      </c>
    </row>
    <row r="50" spans="1:8" x14ac:dyDescent="0.35">
      <c r="A50">
        <v>49</v>
      </c>
      <c r="B50" t="s">
        <v>23</v>
      </c>
      <c r="C50">
        <v>1996</v>
      </c>
      <c r="D50" t="s">
        <v>106</v>
      </c>
      <c r="E50">
        <v>1</v>
      </c>
      <c r="F50">
        <f>17+(19+12.07/60)/60</f>
        <v>17.320019444444444</v>
      </c>
      <c r="G50">
        <f>96+(29+38.61/60)/60</f>
        <v>96.494058333333328</v>
      </c>
    </row>
    <row r="51" spans="1:8" x14ac:dyDescent="0.35">
      <c r="A51">
        <v>50</v>
      </c>
      <c r="B51" t="s">
        <v>23</v>
      </c>
      <c r="C51">
        <v>1996</v>
      </c>
      <c r="D51" t="s">
        <v>107</v>
      </c>
      <c r="E51">
        <v>2</v>
      </c>
      <c r="F51">
        <f>17+(28+9.43/60)/60</f>
        <v>17.46928611111111</v>
      </c>
      <c r="G51">
        <f>96+(2+10.45/60)/60</f>
        <v>96.036236111111108</v>
      </c>
    </row>
    <row r="52" spans="1:8" x14ac:dyDescent="0.35">
      <c r="A52">
        <v>51</v>
      </c>
      <c r="B52" t="s">
        <v>23</v>
      </c>
      <c r="C52">
        <v>1997</v>
      </c>
      <c r="D52" t="s">
        <v>108</v>
      </c>
      <c r="E52">
        <v>3</v>
      </c>
      <c r="F52">
        <f>17+(16+7.5/60)/60</f>
        <v>17.268750000000001</v>
      </c>
      <c r="G52">
        <f>97+(40+46.66/60)/60</f>
        <v>97.679627777777782</v>
      </c>
    </row>
    <row r="53" spans="1:8" x14ac:dyDescent="0.35">
      <c r="A53">
        <v>52</v>
      </c>
      <c r="B53" t="s">
        <v>23</v>
      </c>
      <c r="C53">
        <v>1996</v>
      </c>
      <c r="D53" t="s">
        <v>23</v>
      </c>
      <c r="E53">
        <v>3</v>
      </c>
      <c r="F53">
        <f>17+(4+23.46/60)/60</f>
        <v>17.073183333333333</v>
      </c>
      <c r="G53">
        <f>96+(43+35.72/60)/60</f>
        <v>96.726588888888884</v>
      </c>
    </row>
    <row r="54" spans="1:8" x14ac:dyDescent="0.35">
      <c r="A54">
        <v>53</v>
      </c>
      <c r="B54" t="s">
        <v>24</v>
      </c>
      <c r="C54">
        <v>1998</v>
      </c>
      <c r="D54" t="s">
        <v>110</v>
      </c>
      <c r="E54">
        <v>2</v>
      </c>
      <c r="F54">
        <f>23+(9+44.02/60)/60</f>
        <v>23.162227777777776</v>
      </c>
      <c r="G54">
        <f>106+(5+23.94/60)/60</f>
        <v>106.08998333333334</v>
      </c>
    </row>
    <row r="55" spans="1:8" x14ac:dyDescent="0.35">
      <c r="A55">
        <v>54</v>
      </c>
      <c r="B55" t="s">
        <v>25</v>
      </c>
      <c r="C55">
        <v>1997</v>
      </c>
      <c r="D55" t="s">
        <v>25</v>
      </c>
      <c r="E55">
        <v>3</v>
      </c>
      <c r="F55">
        <f>19+(2+29.18/60)/60</f>
        <v>19.041438888888887</v>
      </c>
      <c r="G55">
        <f>98+(12+22.58/60)/60</f>
        <v>98.206272222222225</v>
      </c>
    </row>
    <row r="56" spans="1:8" x14ac:dyDescent="0.35">
      <c r="A56" s="8">
        <v>55</v>
      </c>
      <c r="B56" s="8" t="s">
        <v>4</v>
      </c>
      <c r="C56" s="8">
        <v>1997</v>
      </c>
      <c r="D56" s="8" t="s">
        <v>131</v>
      </c>
      <c r="E56" s="8">
        <v>1</v>
      </c>
      <c r="F56" s="8">
        <f>20+(28+43.77/60)/60</f>
        <v>20.478825000000001</v>
      </c>
      <c r="G56" s="8">
        <f>101+(26+8.05/60)/60</f>
        <v>101.43556944444444</v>
      </c>
      <c r="H56" s="8"/>
    </row>
    <row r="57" spans="1:8" x14ac:dyDescent="0.35">
      <c r="A57" s="8">
        <v>56</v>
      </c>
      <c r="B57" s="8" t="s">
        <v>4</v>
      </c>
      <c r="C57" s="8">
        <v>1998</v>
      </c>
      <c r="D57" s="8" t="s">
        <v>130</v>
      </c>
      <c r="E57" s="8">
        <v>1</v>
      </c>
      <c r="F57" s="8">
        <f>20+(28+47.93/60)/60</f>
        <v>20.479980555555557</v>
      </c>
      <c r="G57" s="8">
        <f>101+(36+24.38/60)/60</f>
        <v>101.60677222222222</v>
      </c>
      <c r="H57" s="8"/>
    </row>
    <row r="58" spans="1:8" x14ac:dyDescent="0.35">
      <c r="A58">
        <v>57</v>
      </c>
      <c r="B58" t="s">
        <v>9</v>
      </c>
      <c r="C58">
        <v>1998</v>
      </c>
      <c r="D58" t="s">
        <v>132</v>
      </c>
      <c r="E58">
        <v>2</v>
      </c>
      <c r="F58">
        <f>19+(56+47.51/60)/60</f>
        <v>19.946530555555555</v>
      </c>
      <c r="G58">
        <f>103+(45+35.74/60)/60</f>
        <v>103.75992777777778</v>
      </c>
    </row>
    <row r="59" spans="1:8" x14ac:dyDescent="0.35">
      <c r="A59">
        <v>58</v>
      </c>
      <c r="B59" t="s">
        <v>9</v>
      </c>
      <c r="C59">
        <v>1998</v>
      </c>
      <c r="D59" t="s">
        <v>133</v>
      </c>
      <c r="E59">
        <v>1</v>
      </c>
      <c r="F59">
        <f>19+(47+41.16/60)/60</f>
        <v>19.794766666666668</v>
      </c>
      <c r="G59">
        <f>103+(58+10.7/60)/60</f>
        <v>103.96963888888889</v>
      </c>
    </row>
    <row r="60" spans="1:8" x14ac:dyDescent="0.35">
      <c r="A60">
        <v>59</v>
      </c>
      <c r="B60" t="s">
        <v>25</v>
      </c>
      <c r="C60">
        <v>1997</v>
      </c>
      <c r="D60" t="s">
        <v>134</v>
      </c>
      <c r="E60">
        <v>2</v>
      </c>
      <c r="F60">
        <f>18+(20+8.25/60)/60</f>
        <v>18.335625</v>
      </c>
      <c r="G60">
        <f>98+(17+2.68/60)/60</f>
        <v>98.284077777777782</v>
      </c>
    </row>
    <row r="61" spans="1:8" x14ac:dyDescent="0.35">
      <c r="A61">
        <v>60</v>
      </c>
      <c r="B61" t="s">
        <v>25</v>
      </c>
      <c r="C61">
        <v>1997</v>
      </c>
      <c r="D61" t="s">
        <v>135</v>
      </c>
      <c r="E61">
        <v>3</v>
      </c>
      <c r="F61">
        <f>18+(17+53/60)/60</f>
        <v>18.298055555555557</v>
      </c>
      <c r="G61">
        <f>97+(23+3/60)/60</f>
        <v>97.384166666666673</v>
      </c>
    </row>
    <row r="62" spans="1:8" x14ac:dyDescent="0.35">
      <c r="A62">
        <v>61</v>
      </c>
      <c r="B62" t="s">
        <v>25</v>
      </c>
      <c r="C62">
        <v>1998</v>
      </c>
      <c r="D62" t="s">
        <v>58</v>
      </c>
      <c r="E62">
        <v>3</v>
      </c>
      <c r="F62">
        <f>18+(54+47.24/60)/60</f>
        <v>18.913122222222221</v>
      </c>
      <c r="G62">
        <f>98+(25+45.8/60)/60</f>
        <v>98.429388888888894</v>
      </c>
    </row>
    <row r="63" spans="1:8" x14ac:dyDescent="0.35">
      <c r="A63">
        <v>62</v>
      </c>
      <c r="B63" t="s">
        <v>24</v>
      </c>
      <c r="C63">
        <v>1998</v>
      </c>
      <c r="D63" t="s">
        <v>111</v>
      </c>
      <c r="E63">
        <v>1</v>
      </c>
      <c r="F63">
        <f>24+(16+9.19/60)/60</f>
        <v>24.269219444444445</v>
      </c>
      <c r="G63">
        <f>106+(33+47.89/60)/60</f>
        <v>106.56330277777778</v>
      </c>
    </row>
    <row r="64" spans="1:8" x14ac:dyDescent="0.35">
      <c r="A64">
        <v>63</v>
      </c>
      <c r="B64" t="s">
        <v>59</v>
      </c>
      <c r="C64">
        <v>1998</v>
      </c>
      <c r="D64" t="s">
        <v>60</v>
      </c>
      <c r="E64">
        <v>3</v>
      </c>
      <c r="F64">
        <f>32+(31+20.47/60)/60</f>
        <v>32.522352777777776</v>
      </c>
      <c r="G64">
        <f>117+(5+7.1/60)/60</f>
        <v>117.08530555555555</v>
      </c>
    </row>
    <row r="65" spans="1:8" x14ac:dyDescent="0.35">
      <c r="A65">
        <v>64</v>
      </c>
      <c r="B65" t="s">
        <v>59</v>
      </c>
      <c r="C65">
        <v>1998</v>
      </c>
      <c r="D65" t="s">
        <v>61</v>
      </c>
      <c r="E65">
        <v>3</v>
      </c>
      <c r="F65">
        <f>32+(27+2.87/60)/60</f>
        <v>32.450797222222221</v>
      </c>
      <c r="G65">
        <f>116+(59+35.72/60)/60</f>
        <v>116.99325555555555</v>
      </c>
    </row>
    <row r="66" spans="1:8" x14ac:dyDescent="0.35">
      <c r="A66">
        <v>65</v>
      </c>
      <c r="B66" t="s">
        <v>59</v>
      </c>
      <c r="C66">
        <v>1998</v>
      </c>
      <c r="D66" t="s">
        <v>62</v>
      </c>
      <c r="E66">
        <v>3</v>
      </c>
      <c r="F66">
        <f>32+(30+57.22/60)/60</f>
        <v>32.515894444444442</v>
      </c>
      <c r="G66">
        <f>116+(55+12.6/60)/60</f>
        <v>116.92016666666666</v>
      </c>
    </row>
    <row r="67" spans="1:8" x14ac:dyDescent="0.35">
      <c r="A67">
        <v>66</v>
      </c>
      <c r="B67" t="s">
        <v>59</v>
      </c>
      <c r="C67">
        <v>1998</v>
      </c>
      <c r="D67" t="s">
        <v>63</v>
      </c>
      <c r="E67">
        <v>3</v>
      </c>
      <c r="F67">
        <f>32+(27+39.18/60)/60</f>
        <v>32.460883333333335</v>
      </c>
      <c r="G67">
        <f>116+(51+19.04/60)/60</f>
        <v>116.85528888888889</v>
      </c>
    </row>
    <row r="68" spans="1:8" x14ac:dyDescent="0.35">
      <c r="A68">
        <v>67</v>
      </c>
      <c r="B68" t="s">
        <v>22</v>
      </c>
      <c r="C68">
        <v>1998</v>
      </c>
      <c r="D68" t="s">
        <v>120</v>
      </c>
      <c r="E68">
        <v>1</v>
      </c>
      <c r="F68">
        <f>19+(17+45.18/60)/60</f>
        <v>19.295883333333332</v>
      </c>
      <c r="G68">
        <f>103+(49+42.6/60)/60</f>
        <v>103.82850000000001</v>
      </c>
    </row>
    <row r="69" spans="1:8" x14ac:dyDescent="0.35">
      <c r="A69">
        <v>68</v>
      </c>
      <c r="B69" t="s">
        <v>22</v>
      </c>
      <c r="C69">
        <v>1998</v>
      </c>
      <c r="D69" t="s">
        <v>121</v>
      </c>
      <c r="E69">
        <v>1</v>
      </c>
      <c r="F69">
        <f>19+(15+10.86/60)/60</f>
        <v>19.253016666666667</v>
      </c>
      <c r="G69">
        <f>104+(8+53.51/60)/60</f>
        <v>104.14819722222222</v>
      </c>
    </row>
    <row r="70" spans="1:8" x14ac:dyDescent="0.35">
      <c r="A70">
        <v>69</v>
      </c>
      <c r="B70" t="s">
        <v>72</v>
      </c>
      <c r="C70">
        <v>1998</v>
      </c>
      <c r="D70" t="s">
        <v>73</v>
      </c>
      <c r="E70">
        <v>3</v>
      </c>
      <c r="F70">
        <f>22+(13+44.09/60)/60</f>
        <v>22.22891388888889</v>
      </c>
      <c r="G70">
        <f>102+(19+14.23/60)/60</f>
        <v>102.32061944444445</v>
      </c>
    </row>
    <row r="71" spans="1:8" x14ac:dyDescent="0.35">
      <c r="A71">
        <v>70</v>
      </c>
      <c r="B71" t="s">
        <v>24</v>
      </c>
      <c r="C71">
        <v>1998</v>
      </c>
      <c r="D71" t="s">
        <v>109</v>
      </c>
      <c r="E71">
        <v>3</v>
      </c>
      <c r="F71">
        <f>24+(24+49.09/60)/60</f>
        <v>24.41363611111111</v>
      </c>
      <c r="G71">
        <f>106+(41+29.53/60)/60</f>
        <v>106.69153611111111</v>
      </c>
    </row>
    <row r="72" spans="1:8" x14ac:dyDescent="0.35">
      <c r="A72">
        <v>71</v>
      </c>
      <c r="B72" t="s">
        <v>72</v>
      </c>
      <c r="C72">
        <v>1997</v>
      </c>
      <c r="E72">
        <v>1</v>
      </c>
      <c r="F72">
        <f>21+(58+41.2/60)/60</f>
        <v>21.978111111111112</v>
      </c>
      <c r="G72">
        <f>102+(31+31.3/60)/60</f>
        <v>102.52536111111111</v>
      </c>
    </row>
    <row r="73" spans="1:8" x14ac:dyDescent="0.35">
      <c r="A73">
        <v>72</v>
      </c>
      <c r="B73" t="s">
        <v>4</v>
      </c>
      <c r="C73">
        <v>2000</v>
      </c>
      <c r="D73" t="s">
        <v>75</v>
      </c>
      <c r="E73">
        <v>2</v>
      </c>
      <c r="F73">
        <f>20+(7+35.24/60)/60</f>
        <v>20.126455555555555</v>
      </c>
      <c r="G73">
        <f>101+(11+36.03/60)/60</f>
        <v>101.19334166666667</v>
      </c>
    </row>
    <row r="74" spans="1:8" x14ac:dyDescent="0.35">
      <c r="A74">
        <v>73</v>
      </c>
      <c r="B74" t="s">
        <v>69</v>
      </c>
      <c r="C74">
        <v>1999</v>
      </c>
      <c r="D74" t="s">
        <v>112</v>
      </c>
      <c r="E74">
        <v>2</v>
      </c>
      <c r="F74">
        <f>24+(53+6.61/60)/60</f>
        <v>24.885169444444443</v>
      </c>
      <c r="G74">
        <f>105+(4+34.32/60)/60</f>
        <v>105.0762</v>
      </c>
    </row>
    <row r="75" spans="1:8" x14ac:dyDescent="0.35">
      <c r="A75">
        <v>74</v>
      </c>
      <c r="B75" t="s">
        <v>69</v>
      </c>
      <c r="C75">
        <v>1999</v>
      </c>
      <c r="D75" t="s">
        <v>113</v>
      </c>
      <c r="E75">
        <v>3</v>
      </c>
      <c r="F75">
        <f>24+(26+49.72/60)/60</f>
        <v>24.447144444444444</v>
      </c>
      <c r="G75">
        <f>104+(46+39.06/60)/60</f>
        <v>104.77751666666667</v>
      </c>
    </row>
    <row r="76" spans="1:8" x14ac:dyDescent="0.35">
      <c r="A76">
        <v>75</v>
      </c>
      <c r="B76" t="s">
        <v>69</v>
      </c>
      <c r="C76">
        <v>1999</v>
      </c>
      <c r="D76" t="s">
        <v>114</v>
      </c>
      <c r="E76">
        <v>1</v>
      </c>
      <c r="F76">
        <f>24+(47+27.67/60)/60</f>
        <v>24.791019444444444</v>
      </c>
      <c r="G76">
        <f>104+(29+46.5/60)/60</f>
        <v>104.49625</v>
      </c>
    </row>
    <row r="77" spans="1:8" x14ac:dyDescent="0.35">
      <c r="A77">
        <v>76</v>
      </c>
      <c r="B77" t="s">
        <v>69</v>
      </c>
      <c r="C77">
        <v>1999</v>
      </c>
      <c r="D77" t="s">
        <v>69</v>
      </c>
      <c r="E77">
        <v>3</v>
      </c>
      <c r="F77">
        <f>24+(1+39.79/60)/60</f>
        <v>24.027719444444443</v>
      </c>
      <c r="G77">
        <f>104+(39+11.43/60)/60</f>
        <v>104.653175</v>
      </c>
    </row>
    <row r="78" spans="1:8" x14ac:dyDescent="0.35">
      <c r="A78">
        <v>77</v>
      </c>
      <c r="B78" t="s">
        <v>70</v>
      </c>
      <c r="C78">
        <v>2000</v>
      </c>
      <c r="D78" t="s">
        <v>71</v>
      </c>
      <c r="E78">
        <v>3</v>
      </c>
      <c r="F78">
        <f>25+(40+28.58/60)/60</f>
        <v>25.674605555555555</v>
      </c>
      <c r="G78">
        <f>100+(26+32.35/60)/60</f>
        <v>100.44231944444445</v>
      </c>
    </row>
    <row r="79" spans="1:8" x14ac:dyDescent="0.35">
      <c r="A79">
        <v>78</v>
      </c>
      <c r="B79" t="s">
        <v>64</v>
      </c>
      <c r="C79">
        <v>2000</v>
      </c>
      <c r="D79" t="s">
        <v>122</v>
      </c>
      <c r="E79">
        <v>3</v>
      </c>
      <c r="F79">
        <f>28+(11+18.99/60)/60</f>
        <v>28.188608333333335</v>
      </c>
      <c r="G79">
        <f>105+(33+27.71/60)/60</f>
        <v>105.55769722222222</v>
      </c>
    </row>
    <row r="80" spans="1:8" x14ac:dyDescent="0.35">
      <c r="A80">
        <v>79</v>
      </c>
      <c r="B80" t="s">
        <v>64</v>
      </c>
      <c r="C80">
        <v>2000</v>
      </c>
      <c r="D80" t="s">
        <v>123</v>
      </c>
      <c r="E80">
        <v>1</v>
      </c>
      <c r="F80">
        <f>29+(48+58.35/60)/60</f>
        <v>29.816208333333332</v>
      </c>
      <c r="G80">
        <f>107+(29+34.51/60)/60</f>
        <v>107.49291944444444</v>
      </c>
      <c r="H80" t="s">
        <v>124</v>
      </c>
    </row>
    <row r="81" spans="1:7" x14ac:dyDescent="0.35">
      <c r="A81">
        <v>80</v>
      </c>
      <c r="B81" t="s">
        <v>64</v>
      </c>
      <c r="C81">
        <v>2000</v>
      </c>
      <c r="D81" t="s">
        <v>64</v>
      </c>
      <c r="E81">
        <v>3</v>
      </c>
      <c r="F81">
        <f>28+(37+58.79/60)/60</f>
        <v>28.632997222222222</v>
      </c>
      <c r="G81">
        <f>106+(4+8.78/60)/60</f>
        <v>106.06910555555555</v>
      </c>
    </row>
    <row r="82" spans="1:7" x14ac:dyDescent="0.35">
      <c r="A82">
        <v>81</v>
      </c>
      <c r="B82" t="s">
        <v>64</v>
      </c>
      <c r="C82">
        <v>2000</v>
      </c>
      <c r="D82" t="s">
        <v>119</v>
      </c>
      <c r="E82">
        <v>1</v>
      </c>
      <c r="F82">
        <f>27+(52+40.31/60)/60</f>
        <v>27.877863888888889</v>
      </c>
      <c r="G82">
        <f>105+(10+57.81/60)/60</f>
        <v>105.182725</v>
      </c>
    </row>
    <row r="83" spans="1:7" x14ac:dyDescent="0.35">
      <c r="A83">
        <v>82</v>
      </c>
      <c r="B83" t="s">
        <v>64</v>
      </c>
      <c r="C83">
        <v>2001</v>
      </c>
      <c r="D83" t="s">
        <v>65</v>
      </c>
      <c r="E83">
        <v>3</v>
      </c>
      <c r="F83">
        <f>31+(44+31.08/60)/60</f>
        <v>31.741966666666666</v>
      </c>
      <c r="G83">
        <f>106+(26+7.78/60)/60</f>
        <v>106.43549444444444</v>
      </c>
    </row>
    <row r="84" spans="1:7" x14ac:dyDescent="0.35">
      <c r="A84">
        <v>83</v>
      </c>
      <c r="B84" t="s">
        <v>64</v>
      </c>
      <c r="C84">
        <v>2001</v>
      </c>
      <c r="D84" t="s">
        <v>66</v>
      </c>
      <c r="E84">
        <v>3</v>
      </c>
      <c r="F84">
        <f>31+(40+42.36/60)/60</f>
        <v>31.678433333333334</v>
      </c>
      <c r="G84">
        <f>106+(29+32.66/60)/60</f>
        <v>106.49240555555555</v>
      </c>
    </row>
    <row r="85" spans="1:7" x14ac:dyDescent="0.35">
      <c r="A85">
        <v>84</v>
      </c>
      <c r="B85" t="s">
        <v>64</v>
      </c>
      <c r="C85">
        <v>2001</v>
      </c>
      <c r="D85" t="s">
        <v>67</v>
      </c>
      <c r="E85">
        <v>3</v>
      </c>
      <c r="F85">
        <f>31+(40+36.45/60)/60</f>
        <v>31.676791666666666</v>
      </c>
      <c r="G85">
        <f>106+(22+1.2/60)/60</f>
        <v>106.367</v>
      </c>
    </row>
    <row r="86" spans="1:7" x14ac:dyDescent="0.35">
      <c r="A86">
        <v>85</v>
      </c>
      <c r="B86" t="s">
        <v>64</v>
      </c>
      <c r="C86">
        <v>2001</v>
      </c>
      <c r="D86" t="s">
        <v>68</v>
      </c>
      <c r="E86">
        <v>3</v>
      </c>
      <c r="F86">
        <f>31+(36+46.63/60)/60</f>
        <v>31.612952777777778</v>
      </c>
      <c r="G86">
        <f>106+(26+0.84/60)/60</f>
        <v>106.43356666666666</v>
      </c>
    </row>
    <row r="87" spans="1:7" x14ac:dyDescent="0.35">
      <c r="A87">
        <v>86</v>
      </c>
      <c r="B87" t="s">
        <v>70</v>
      </c>
      <c r="C87">
        <v>2001</v>
      </c>
      <c r="D87" t="s">
        <v>115</v>
      </c>
      <c r="E87">
        <v>2</v>
      </c>
      <c r="F87">
        <f>24+(52+(27.61/60))/60</f>
        <v>24.874336111111113</v>
      </c>
      <c r="G87">
        <f>99+(40+47.25/60)/60</f>
        <v>99.679791666666674</v>
      </c>
    </row>
    <row r="88" spans="1:7" x14ac:dyDescent="0.35">
      <c r="A88">
        <v>87</v>
      </c>
      <c r="B88" t="s">
        <v>4</v>
      </c>
      <c r="C88">
        <v>2001</v>
      </c>
      <c r="D88" t="s">
        <v>6</v>
      </c>
      <c r="E88">
        <v>3</v>
      </c>
      <c r="F88">
        <v>21.12</v>
      </c>
      <c r="G88">
        <v>101.68</v>
      </c>
    </row>
    <row r="89" spans="1:7" x14ac:dyDescent="0.35">
      <c r="A89">
        <v>88</v>
      </c>
      <c r="B89" t="s">
        <v>4</v>
      </c>
      <c r="C89">
        <v>2001</v>
      </c>
      <c r="D89" t="s">
        <v>74</v>
      </c>
      <c r="E89">
        <v>2</v>
      </c>
      <c r="F89">
        <f>20+(8+46.33/60)/60</f>
        <v>20.146202777777777</v>
      </c>
      <c r="G89">
        <f>101+(10+43.41/60)/60</f>
        <v>101.178725</v>
      </c>
    </row>
    <row r="90" spans="1:7" x14ac:dyDescent="0.35">
      <c r="A90">
        <v>89</v>
      </c>
      <c r="B90" t="s">
        <v>136</v>
      </c>
      <c r="C90">
        <v>2001</v>
      </c>
      <c r="D90" t="s">
        <v>138</v>
      </c>
      <c r="E90">
        <v>3</v>
      </c>
      <c r="F90">
        <f>20+(43+25.56/60)/60</f>
        <v>20.723766666666666</v>
      </c>
      <c r="G90">
        <f>101+(56+32.37/60)/60</f>
        <v>101.942325</v>
      </c>
    </row>
    <row r="91" spans="1:7" x14ac:dyDescent="0.35">
      <c r="A91">
        <v>90</v>
      </c>
      <c r="B91" t="s">
        <v>21</v>
      </c>
      <c r="C91">
        <v>2002</v>
      </c>
      <c r="D91" t="s">
        <v>99</v>
      </c>
      <c r="E91">
        <v>2</v>
      </c>
      <c r="F91">
        <f>22+(26+59.91/60)/60</f>
        <v>22.449974999999998</v>
      </c>
      <c r="G91">
        <f>101+(12+5.29/60)/60</f>
        <v>101.20146944444444</v>
      </c>
    </row>
    <row r="92" spans="1:7" x14ac:dyDescent="0.35">
      <c r="A92">
        <v>91</v>
      </c>
      <c r="B92" t="s">
        <v>9</v>
      </c>
      <c r="C92">
        <v>2002</v>
      </c>
      <c r="D92" t="s">
        <v>18</v>
      </c>
      <c r="E92">
        <v>3</v>
      </c>
      <c r="F92">
        <v>20.66</v>
      </c>
      <c r="G92">
        <v>103.35</v>
      </c>
    </row>
    <row r="93" spans="1:7" x14ac:dyDescent="0.35">
      <c r="A93">
        <v>92</v>
      </c>
      <c r="B93" t="s">
        <v>77</v>
      </c>
      <c r="C93">
        <v>2002</v>
      </c>
      <c r="D93" t="s">
        <v>144</v>
      </c>
      <c r="E93">
        <v>1</v>
      </c>
      <c r="F93">
        <f>20+(14+30.19/60)/60</f>
        <v>20.241719444444445</v>
      </c>
      <c r="G93">
        <f>99+(4+17.9/60)/60</f>
        <v>99.071638888888884</v>
      </c>
    </row>
    <row r="94" spans="1:7" x14ac:dyDescent="0.35">
      <c r="A94">
        <v>93</v>
      </c>
      <c r="B94" t="s">
        <v>77</v>
      </c>
      <c r="C94">
        <v>2002</v>
      </c>
      <c r="D94" t="s">
        <v>143</v>
      </c>
      <c r="E94">
        <v>2</v>
      </c>
      <c r="F94">
        <f>19+(54+41.22/60)/60</f>
        <v>19.911449999999999</v>
      </c>
      <c r="G94">
        <f>99+(21+2.38/60)/60</f>
        <v>99.350661111111108</v>
      </c>
    </row>
    <row r="95" spans="1:7" x14ac:dyDescent="0.35">
      <c r="A95">
        <v>94</v>
      </c>
      <c r="B95" t="s">
        <v>137</v>
      </c>
      <c r="C95">
        <v>2002</v>
      </c>
      <c r="D95" t="s">
        <v>145</v>
      </c>
      <c r="E95">
        <v>1</v>
      </c>
      <c r="F95">
        <f>19+(25+9.35/60)/60</f>
        <v>19.419263888888889</v>
      </c>
      <c r="G95">
        <f>98+(5+29.24/60)/60</f>
        <v>98.091455555555555</v>
      </c>
    </row>
    <row r="96" spans="1:7" x14ac:dyDescent="0.35">
      <c r="A96">
        <v>95</v>
      </c>
      <c r="B96" t="s">
        <v>137</v>
      </c>
      <c r="C96">
        <v>2002</v>
      </c>
      <c r="D96" t="s">
        <v>146</v>
      </c>
      <c r="E96">
        <v>1</v>
      </c>
      <c r="F96">
        <f>19+(19+42.47/60)/60</f>
        <v>19.328463888888891</v>
      </c>
      <c r="G96">
        <f>98+(14+17.25/60)/60</f>
        <v>98.238124999999997</v>
      </c>
    </row>
    <row r="97" spans="1:7" x14ac:dyDescent="0.35">
      <c r="A97">
        <v>96</v>
      </c>
      <c r="B97" t="s">
        <v>137</v>
      </c>
      <c r="C97">
        <v>2002</v>
      </c>
      <c r="D97" t="s">
        <v>147</v>
      </c>
      <c r="E97">
        <v>1</v>
      </c>
      <c r="F97">
        <f>19+(28+1.45/60)/60</f>
        <v>19.467069444444444</v>
      </c>
      <c r="G97">
        <f>98+(20+45.76/60)/60</f>
        <v>98.346044444444445</v>
      </c>
    </row>
    <row r="98" spans="1:7" x14ac:dyDescent="0.35">
      <c r="A98">
        <v>97</v>
      </c>
      <c r="B98" t="s">
        <v>9</v>
      </c>
      <c r="C98">
        <v>2003</v>
      </c>
      <c r="D98" t="s">
        <v>76</v>
      </c>
      <c r="E98">
        <v>3</v>
      </c>
      <c r="F98">
        <f>20+(42+20.02/60)/60</f>
        <v>20.705561111111113</v>
      </c>
      <c r="G98">
        <f>102+(20+49.02/60)/60</f>
        <v>102.34695000000001</v>
      </c>
    </row>
    <row r="99" spans="1:7" x14ac:dyDescent="0.35">
      <c r="A99">
        <v>98</v>
      </c>
      <c r="B99" t="s">
        <v>9</v>
      </c>
      <c r="C99">
        <v>2003</v>
      </c>
      <c r="D99" t="s">
        <v>32</v>
      </c>
      <c r="E99">
        <v>3</v>
      </c>
      <c r="F99">
        <v>20.67</v>
      </c>
      <c r="G99">
        <v>103.42</v>
      </c>
    </row>
    <row r="100" spans="1:7" x14ac:dyDescent="0.35">
      <c r="A100">
        <v>99</v>
      </c>
      <c r="B100" t="s">
        <v>9</v>
      </c>
      <c r="C100">
        <v>2003</v>
      </c>
      <c r="D100" t="s">
        <v>148</v>
      </c>
      <c r="E100">
        <v>2</v>
      </c>
      <c r="F100">
        <f>20+(5+52.73/60)/60</f>
        <v>20.097980555555555</v>
      </c>
      <c r="G100">
        <f>103+(26+25.87/60)/60</f>
        <v>103.44051944444445</v>
      </c>
    </row>
    <row r="101" spans="1:7" x14ac:dyDescent="0.35">
      <c r="A101">
        <v>100</v>
      </c>
      <c r="B101" t="s">
        <v>78</v>
      </c>
      <c r="C101">
        <v>2004</v>
      </c>
      <c r="D101" t="s">
        <v>151</v>
      </c>
      <c r="E101">
        <v>1</v>
      </c>
      <c r="F101">
        <f>19+(28+59.74/60)/60</f>
        <v>19.483261111111112</v>
      </c>
      <c r="G101">
        <f>96+(45+35.86/60)/60</f>
        <v>96.75996111111111</v>
      </c>
    </row>
    <row r="102" spans="1:7" x14ac:dyDescent="0.35">
      <c r="A102">
        <v>101</v>
      </c>
      <c r="B102" t="s">
        <v>78</v>
      </c>
      <c r="C102">
        <v>2003</v>
      </c>
      <c r="D102" t="s">
        <v>149</v>
      </c>
      <c r="E102">
        <v>1</v>
      </c>
      <c r="F102">
        <f>19+(11+7.1/60)/60</f>
        <v>19.185305555555555</v>
      </c>
      <c r="G102">
        <f>96+(50+11.93/60)/60</f>
        <v>96.836647222222226</v>
      </c>
    </row>
    <row r="103" spans="1:7" x14ac:dyDescent="0.35">
      <c r="A103">
        <v>102</v>
      </c>
      <c r="B103" t="s">
        <v>78</v>
      </c>
      <c r="C103">
        <v>2004</v>
      </c>
      <c r="D103" t="s">
        <v>152</v>
      </c>
      <c r="E103">
        <v>1</v>
      </c>
      <c r="F103">
        <f>19+(17+31.21/60)/60</f>
        <v>19.292002777777778</v>
      </c>
      <c r="G103">
        <f>96+(56+20.9/60)/60</f>
        <v>96.939138888888891</v>
      </c>
    </row>
    <row r="104" spans="1:7" x14ac:dyDescent="0.35">
      <c r="A104">
        <v>103</v>
      </c>
      <c r="B104" t="s">
        <v>78</v>
      </c>
      <c r="C104">
        <v>2004</v>
      </c>
      <c r="D104" t="s">
        <v>153</v>
      </c>
      <c r="E104">
        <v>1</v>
      </c>
      <c r="F104">
        <f>19+(24+8.576)/60</f>
        <v>19.542933333333334</v>
      </c>
      <c r="G104">
        <f>96+(39+7.07/60)/60</f>
        <v>96.651963888888886</v>
      </c>
    </row>
    <row r="105" spans="1:7" x14ac:dyDescent="0.35">
      <c r="A105">
        <v>104</v>
      </c>
      <c r="B105" t="s">
        <v>78</v>
      </c>
      <c r="C105">
        <v>2004</v>
      </c>
      <c r="D105" t="s">
        <v>154</v>
      </c>
      <c r="E105">
        <v>1</v>
      </c>
      <c r="F105">
        <f>19+(20+42.44/60)/60</f>
        <v>19.345122222222223</v>
      </c>
      <c r="G105">
        <f>96+(38+13.26/60)/60</f>
        <v>96.637016666666668</v>
      </c>
    </row>
    <row r="106" spans="1:7" x14ac:dyDescent="0.35">
      <c r="A106">
        <v>105</v>
      </c>
      <c r="B106" t="s">
        <v>78</v>
      </c>
      <c r="C106">
        <v>2003</v>
      </c>
      <c r="D106" t="s">
        <v>150</v>
      </c>
      <c r="E106">
        <v>1</v>
      </c>
      <c r="F106">
        <f>19+(23+3.64/60)/60</f>
        <v>19.384344444444444</v>
      </c>
      <c r="G106">
        <f>96+(58+23.49/60)/60</f>
        <v>96.973191666666665</v>
      </c>
    </row>
    <row r="107" spans="1:7" x14ac:dyDescent="0.35">
      <c r="A107">
        <v>106</v>
      </c>
      <c r="B107" t="s">
        <v>78</v>
      </c>
      <c r="C107">
        <v>2004</v>
      </c>
      <c r="D107" t="s">
        <v>79</v>
      </c>
      <c r="E107">
        <v>3</v>
      </c>
      <c r="F107">
        <f>19+(32+37.59/60)/60</f>
        <v>19.543775</v>
      </c>
      <c r="G107">
        <f>96+(54+36.65/60)/60</f>
        <v>96.910180555555556</v>
      </c>
    </row>
    <row r="108" spans="1:7" x14ac:dyDescent="0.35">
      <c r="A108">
        <v>107</v>
      </c>
      <c r="B108" t="s">
        <v>9</v>
      </c>
      <c r="C108">
        <v>2004</v>
      </c>
      <c r="D108">
        <v>2004</v>
      </c>
      <c r="E108">
        <v>2</v>
      </c>
      <c r="F108">
        <f>20+(13+37.4/60)/60</f>
        <v>20.227055555555555</v>
      </c>
      <c r="G108">
        <f>103+(34+23.72/60)/60</f>
        <v>103.57325555555556</v>
      </c>
    </row>
    <row r="109" spans="1:7" x14ac:dyDescent="0.35">
      <c r="A109">
        <v>108</v>
      </c>
      <c r="B109" t="s">
        <v>10</v>
      </c>
      <c r="C109">
        <v>2004</v>
      </c>
      <c r="D109" t="s">
        <v>155</v>
      </c>
      <c r="E109">
        <v>1</v>
      </c>
      <c r="F109">
        <f>19+(34+3.96/60)/60</f>
        <v>19.567766666666667</v>
      </c>
      <c r="G109">
        <f>101+(56+13.7/60)/60</f>
        <v>101.9371388888889</v>
      </c>
    </row>
    <row r="110" spans="1:7" x14ac:dyDescent="0.35">
      <c r="A110">
        <v>109</v>
      </c>
      <c r="B110" t="s">
        <v>139</v>
      </c>
      <c r="C110">
        <v>2004</v>
      </c>
      <c r="D110" t="s">
        <v>154</v>
      </c>
      <c r="E110">
        <v>1</v>
      </c>
      <c r="F110">
        <f>19+(34+23.65/60)/60</f>
        <v>19.573236111111111</v>
      </c>
      <c r="G110">
        <f>101+(48+26.06/60)/60</f>
        <v>101.80723888888889</v>
      </c>
    </row>
    <row r="111" spans="1:7" x14ac:dyDescent="0.35">
      <c r="A111">
        <v>110</v>
      </c>
      <c r="B111" t="s">
        <v>140</v>
      </c>
      <c r="C111">
        <v>2005</v>
      </c>
      <c r="D111" t="s">
        <v>156</v>
      </c>
      <c r="E111">
        <v>1</v>
      </c>
      <c r="F111">
        <f>19+(8+49.05/60)/60</f>
        <v>19.146958333333334</v>
      </c>
      <c r="G111">
        <f>99+(25+19.86/60)/60</f>
        <v>99.422183333333336</v>
      </c>
    </row>
    <row r="112" spans="1:7" x14ac:dyDescent="0.35">
      <c r="A112">
        <v>111</v>
      </c>
      <c r="B112" t="s">
        <v>140</v>
      </c>
      <c r="C112">
        <v>2005</v>
      </c>
      <c r="D112" t="s">
        <v>157</v>
      </c>
      <c r="E112">
        <v>1</v>
      </c>
      <c r="F112">
        <f>18+(57+13.76/60)/60</f>
        <v>18.953822222222222</v>
      </c>
      <c r="G112">
        <f>99+(35+36.15/60)/60</f>
        <v>99.593374999999995</v>
      </c>
    </row>
    <row r="113" spans="1:7" x14ac:dyDescent="0.35">
      <c r="A113">
        <v>112</v>
      </c>
      <c r="B113" t="s">
        <v>140</v>
      </c>
      <c r="C113">
        <v>2005</v>
      </c>
      <c r="D113" t="s">
        <v>158</v>
      </c>
      <c r="E113">
        <v>1</v>
      </c>
      <c r="F113">
        <f>19+(24+26.26/60)/60</f>
        <v>19.407294444444446</v>
      </c>
      <c r="G113">
        <f>99+(30+43.28/60)/60</f>
        <v>99.512022222222228</v>
      </c>
    </row>
    <row r="114" spans="1:7" x14ac:dyDescent="0.35">
      <c r="A114">
        <v>113</v>
      </c>
      <c r="B114" t="s">
        <v>140</v>
      </c>
      <c r="C114">
        <v>2005</v>
      </c>
      <c r="D114" t="s">
        <v>159</v>
      </c>
      <c r="E114">
        <v>1</v>
      </c>
      <c r="F114">
        <f>19+(16+50.86/60)/60</f>
        <v>19.280794444444446</v>
      </c>
      <c r="G114">
        <f>99+(39+31.83/60)/60</f>
        <v>99.65884166666666</v>
      </c>
    </row>
    <row r="115" spans="1:7" x14ac:dyDescent="0.35">
      <c r="A115">
        <v>114</v>
      </c>
      <c r="B115" t="s">
        <v>140</v>
      </c>
      <c r="C115">
        <v>2005</v>
      </c>
      <c r="D115" t="s">
        <v>160</v>
      </c>
      <c r="E115">
        <v>1</v>
      </c>
      <c r="F115">
        <f>18+(55+45.84/60)/60</f>
        <v>18.929400000000001</v>
      </c>
      <c r="G115">
        <f>99+(56+13.51/60)/60</f>
        <v>99.937086111111114</v>
      </c>
    </row>
    <row r="116" spans="1:7" x14ac:dyDescent="0.35">
      <c r="A116">
        <v>115</v>
      </c>
      <c r="B116" t="s">
        <v>81</v>
      </c>
      <c r="C116">
        <v>2007</v>
      </c>
      <c r="D116" t="s">
        <v>161</v>
      </c>
      <c r="E116">
        <v>1</v>
      </c>
      <c r="F116">
        <f>18+(53+3.21/60)/60</f>
        <v>18.884225000000001</v>
      </c>
      <c r="G116">
        <f>99+(3+40.53/60)/60</f>
        <v>99.061258333333328</v>
      </c>
    </row>
    <row r="117" spans="1:7" x14ac:dyDescent="0.35">
      <c r="A117">
        <v>116</v>
      </c>
      <c r="B117" t="s">
        <v>81</v>
      </c>
      <c r="C117">
        <v>2007</v>
      </c>
      <c r="D117" t="s">
        <v>162</v>
      </c>
      <c r="E117">
        <v>1</v>
      </c>
      <c r="F117">
        <f>18+(46+42.97/60)/60</f>
        <v>18.778602777777778</v>
      </c>
      <c r="G117">
        <f>99+(12+27.34/60)/60</f>
        <v>99.207594444444439</v>
      </c>
    </row>
    <row r="118" spans="1:7" x14ac:dyDescent="0.35">
      <c r="A118">
        <v>117</v>
      </c>
      <c r="B118" t="s">
        <v>81</v>
      </c>
      <c r="C118">
        <v>2007</v>
      </c>
      <c r="D118" t="s">
        <v>163</v>
      </c>
      <c r="E118">
        <v>1</v>
      </c>
      <c r="F118">
        <f>18+(41+23.61/60)/60</f>
        <v>18.689891666666668</v>
      </c>
      <c r="G118">
        <f>99+(7+3.3/60)/60</f>
        <v>99.117583333333329</v>
      </c>
    </row>
    <row r="119" spans="1:7" x14ac:dyDescent="0.35">
      <c r="A119">
        <v>118</v>
      </c>
      <c r="B119" t="s">
        <v>81</v>
      </c>
      <c r="C119">
        <v>2007</v>
      </c>
      <c r="D119" t="s">
        <v>82</v>
      </c>
      <c r="E119">
        <v>2</v>
      </c>
      <c r="F119">
        <f>18+(48+45.38/60)/60</f>
        <v>18.812605555555557</v>
      </c>
      <c r="G119">
        <f>98+(57+17.37/60)/60</f>
        <v>98.954825</v>
      </c>
    </row>
    <row r="120" spans="1:7" x14ac:dyDescent="0.35">
      <c r="A120">
        <v>119</v>
      </c>
      <c r="B120" t="s">
        <v>78</v>
      </c>
      <c r="C120">
        <v>2007</v>
      </c>
      <c r="D120" t="s">
        <v>164</v>
      </c>
      <c r="E120">
        <v>2</v>
      </c>
      <c r="F120">
        <f>20+(27+24.02/60)/60</f>
        <v>20.456672222222224</v>
      </c>
      <c r="G120">
        <f>97+(18+56.21/60)/60</f>
        <v>97.31561388888889</v>
      </c>
    </row>
    <row r="121" spans="1:7" x14ac:dyDescent="0.35">
      <c r="A121">
        <v>120</v>
      </c>
      <c r="B121" t="s">
        <v>9</v>
      </c>
      <c r="C121">
        <v>2007</v>
      </c>
      <c r="D121" t="s">
        <v>165</v>
      </c>
      <c r="E121">
        <v>1</v>
      </c>
      <c r="F121">
        <f>20+(19+21.75/60)/60</f>
        <v>20.322708333333335</v>
      </c>
      <c r="G121">
        <f>104+(32+15.77/60)/60</f>
        <v>104.53771388888889</v>
      </c>
    </row>
    <row r="122" spans="1:7" x14ac:dyDescent="0.35">
      <c r="A122">
        <v>121</v>
      </c>
      <c r="B122" t="s">
        <v>10</v>
      </c>
      <c r="C122">
        <v>2008</v>
      </c>
      <c r="D122" t="s">
        <v>196</v>
      </c>
      <c r="E122">
        <v>3</v>
      </c>
      <c r="F122">
        <f>20+(0+27.55/60)/60</f>
        <v>20.007652777777778</v>
      </c>
      <c r="G122">
        <f>102+(26+43.64/60)/60</f>
        <v>102.44545555555555</v>
      </c>
    </row>
    <row r="123" spans="1:7" x14ac:dyDescent="0.35">
      <c r="A123">
        <v>122</v>
      </c>
      <c r="B123" t="s">
        <v>9</v>
      </c>
      <c r="C123">
        <v>2008</v>
      </c>
      <c r="D123" t="s">
        <v>166</v>
      </c>
      <c r="E123">
        <v>1</v>
      </c>
      <c r="F123">
        <f>20+(31+58.26/60)/60</f>
        <v>20.53285</v>
      </c>
      <c r="G123">
        <f>103+(28+19.66/60)/60</f>
        <v>103.47212777777777</v>
      </c>
    </row>
    <row r="124" spans="1:7" x14ac:dyDescent="0.35">
      <c r="A124">
        <v>123</v>
      </c>
      <c r="B124" t="s">
        <v>9</v>
      </c>
      <c r="C124">
        <v>2008</v>
      </c>
      <c r="D124" t="s">
        <v>18</v>
      </c>
      <c r="E124">
        <v>3</v>
      </c>
      <c r="F124">
        <v>20.66</v>
      </c>
      <c r="G124" t="s">
        <v>27</v>
      </c>
    </row>
    <row r="125" spans="1:7" x14ac:dyDescent="0.35">
      <c r="A125">
        <v>124</v>
      </c>
      <c r="B125" t="s">
        <v>9</v>
      </c>
      <c r="C125">
        <v>2008</v>
      </c>
      <c r="D125" t="s">
        <v>167</v>
      </c>
      <c r="E125">
        <v>1</v>
      </c>
      <c r="F125">
        <f>20+(28+5.39/60)/60</f>
        <v>20.468163888888888</v>
      </c>
      <c r="G125">
        <f>102+(55+39.41/60)/60</f>
        <v>102.92761388888889</v>
      </c>
    </row>
    <row r="126" spans="1:7" x14ac:dyDescent="0.35">
      <c r="A126">
        <v>125</v>
      </c>
      <c r="B126" t="s">
        <v>125</v>
      </c>
      <c r="C126">
        <v>2009</v>
      </c>
      <c r="D126" t="s">
        <v>127</v>
      </c>
      <c r="E126">
        <v>2</v>
      </c>
      <c r="F126">
        <f>20+(13+17.54/60)/60</f>
        <v>20.22153888888889</v>
      </c>
      <c r="G126">
        <f>89+(27+39.51/60)/60</f>
        <v>89.460975000000005</v>
      </c>
    </row>
    <row r="127" spans="1:7" x14ac:dyDescent="0.35">
      <c r="A127">
        <v>126</v>
      </c>
      <c r="B127" t="s">
        <v>125</v>
      </c>
      <c r="C127">
        <v>2009</v>
      </c>
      <c r="D127" t="s">
        <v>126</v>
      </c>
      <c r="E127">
        <v>3</v>
      </c>
      <c r="F127">
        <f>20+(18+24.4/60)/60</f>
        <v>20.306777777777778</v>
      </c>
      <c r="G127">
        <f>89+(24+51.47/60)/60</f>
        <v>89.414297222222217</v>
      </c>
    </row>
    <row r="128" spans="1:7" x14ac:dyDescent="0.35">
      <c r="A128">
        <v>127</v>
      </c>
      <c r="B128" t="s">
        <v>125</v>
      </c>
      <c r="C128">
        <v>2009</v>
      </c>
      <c r="D128" t="s">
        <v>128</v>
      </c>
      <c r="E128">
        <v>1</v>
      </c>
      <c r="F128">
        <f>20+(15+16.13/60)/60</f>
        <v>20.254480555555556</v>
      </c>
      <c r="G128">
        <f>89+(33+14.15/60)/60</f>
        <v>89.553930555555553</v>
      </c>
    </row>
    <row r="129" spans="1:12" x14ac:dyDescent="0.35">
      <c r="A129">
        <v>128</v>
      </c>
      <c r="B129" t="s">
        <v>125</v>
      </c>
      <c r="C129">
        <v>2009</v>
      </c>
      <c r="D129" t="s">
        <v>129</v>
      </c>
      <c r="E129">
        <v>2</v>
      </c>
      <c r="F129">
        <f>21+(9+25.51/60)/60</f>
        <v>21.157086111111113</v>
      </c>
      <c r="G129">
        <f>88+(18+49.18/60)/60</f>
        <v>88.313661111111116</v>
      </c>
    </row>
    <row r="130" spans="1:12" ht="14.5" customHeight="1" x14ac:dyDescent="0.35">
      <c r="A130">
        <v>129</v>
      </c>
      <c r="B130" t="s">
        <v>21</v>
      </c>
      <c r="C130">
        <v>2010</v>
      </c>
      <c r="D130" t="s">
        <v>100</v>
      </c>
      <c r="E130">
        <v>3</v>
      </c>
      <c r="F130">
        <f>23+(22+25.2/60)/60</f>
        <v>23.373666666666665</v>
      </c>
      <c r="G130">
        <f>100+(45+26.84/60)/60</f>
        <v>100.75745555555555</v>
      </c>
      <c r="H130" s="7" t="s">
        <v>102</v>
      </c>
      <c r="I130" s="7"/>
      <c r="J130" s="7"/>
      <c r="K130" s="7"/>
      <c r="L130" s="7"/>
    </row>
    <row r="131" spans="1:12" x14ac:dyDescent="0.35">
      <c r="A131">
        <v>130</v>
      </c>
      <c r="B131" t="s">
        <v>21</v>
      </c>
      <c r="C131">
        <v>2010</v>
      </c>
      <c r="D131" t="s">
        <v>101</v>
      </c>
      <c r="E131">
        <v>2</v>
      </c>
      <c r="F131">
        <f>23+(16+20.88/60)/60</f>
        <v>23.272466666666666</v>
      </c>
      <c r="G131">
        <f>100+(37+15.72/60)/60</f>
        <v>100.62103333333333</v>
      </c>
      <c r="H131" s="7"/>
      <c r="I131" s="7"/>
      <c r="J131" s="7"/>
      <c r="K131" s="7"/>
      <c r="L131" s="7"/>
    </row>
    <row r="132" spans="1:12" x14ac:dyDescent="0.35">
      <c r="A132">
        <v>131</v>
      </c>
      <c r="B132" t="s">
        <v>4</v>
      </c>
      <c r="C132">
        <v>2010</v>
      </c>
      <c r="D132" t="s">
        <v>142</v>
      </c>
      <c r="E132">
        <v>1</v>
      </c>
      <c r="F132">
        <f>20+(56+39.1/60)/60</f>
        <v>20.944194444444445</v>
      </c>
      <c r="G132">
        <f>101+(48+3.05/60)/60</f>
        <v>101.80084722222222</v>
      </c>
    </row>
    <row r="133" spans="1:12" x14ac:dyDescent="0.35">
      <c r="A133">
        <v>132</v>
      </c>
      <c r="B133" t="s">
        <v>25</v>
      </c>
      <c r="C133">
        <v>2011</v>
      </c>
      <c r="D133">
        <v>2011</v>
      </c>
      <c r="E133">
        <v>1</v>
      </c>
      <c r="F133">
        <f>19+(8+21.33/60)/60</f>
        <v>19.139258333333334</v>
      </c>
      <c r="G133">
        <f>98+(27+56.28/60)/60</f>
        <v>98.465633333333329</v>
      </c>
    </row>
    <row r="134" spans="1:12" x14ac:dyDescent="0.35">
      <c r="A134">
        <v>133</v>
      </c>
      <c r="B134" t="s">
        <v>25</v>
      </c>
      <c r="C134">
        <v>2011</v>
      </c>
      <c r="D134" t="s">
        <v>168</v>
      </c>
      <c r="E134">
        <v>1</v>
      </c>
      <c r="F134">
        <f>18+(57+3.41/60)/60</f>
        <v>18.950947222222222</v>
      </c>
      <c r="G134">
        <f>97+(56+55.28/60)/60</f>
        <v>97.948688888888896</v>
      </c>
    </row>
    <row r="135" spans="1:12" x14ac:dyDescent="0.35">
      <c r="A135">
        <v>134</v>
      </c>
      <c r="B135" t="s">
        <v>25</v>
      </c>
      <c r="C135">
        <v>2011</v>
      </c>
      <c r="D135" t="s">
        <v>25</v>
      </c>
      <c r="E135">
        <v>3</v>
      </c>
      <c r="F135">
        <f>19+(2+29.18/60)/60</f>
        <v>19.041438888888887</v>
      </c>
      <c r="G135">
        <f>98+(12+22.58/60)/60</f>
        <v>98.206272222222225</v>
      </c>
    </row>
    <row r="136" spans="1:12" x14ac:dyDescent="0.35">
      <c r="A136">
        <v>135</v>
      </c>
      <c r="B136" t="s">
        <v>141</v>
      </c>
      <c r="C136">
        <v>2012</v>
      </c>
      <c r="D136" t="s">
        <v>170</v>
      </c>
      <c r="E136">
        <v>2</v>
      </c>
      <c r="F136">
        <f>20+(49+48.73/60)/60</f>
        <v>20.830202777777778</v>
      </c>
      <c r="G136">
        <f>99+(43+18.74/60)/60</f>
        <v>99.721872222222217</v>
      </c>
    </row>
    <row r="137" spans="1:12" x14ac:dyDescent="0.35">
      <c r="A137">
        <v>136</v>
      </c>
      <c r="B137" t="s">
        <v>141</v>
      </c>
      <c r="C137">
        <v>2012</v>
      </c>
      <c r="D137" t="s">
        <v>173</v>
      </c>
      <c r="E137">
        <v>2</v>
      </c>
      <c r="F137">
        <f>20+(40+17.76/60)/60</f>
        <v>20.671600000000002</v>
      </c>
      <c r="G137">
        <f>100+(2+49.45/60)/60</f>
        <v>100.04706944444445</v>
      </c>
    </row>
    <row r="138" spans="1:12" x14ac:dyDescent="0.35">
      <c r="A138">
        <v>137</v>
      </c>
      <c r="B138" t="s">
        <v>141</v>
      </c>
      <c r="C138">
        <v>2012</v>
      </c>
      <c r="D138" t="s">
        <v>172</v>
      </c>
      <c r="E138">
        <v>2</v>
      </c>
      <c r="F138">
        <f>20+(37+5/60)/60</f>
        <v>20.618055555555557</v>
      </c>
      <c r="G138">
        <f>99+(52+19/60)/60</f>
        <v>99.871944444444438</v>
      </c>
    </row>
    <row r="139" spans="1:12" x14ac:dyDescent="0.35">
      <c r="A139">
        <v>138</v>
      </c>
      <c r="B139" t="s">
        <v>141</v>
      </c>
      <c r="C139">
        <v>2012</v>
      </c>
      <c r="D139" t="s">
        <v>171</v>
      </c>
      <c r="E139">
        <v>2</v>
      </c>
      <c r="F139">
        <f>20+(25+12.33/60)/60</f>
        <v>20.420091666666668</v>
      </c>
      <c r="G139">
        <f>100+(3+57.41/60)/60</f>
        <v>100.06594722222222</v>
      </c>
    </row>
    <row r="140" spans="1:12" x14ac:dyDescent="0.35">
      <c r="A140">
        <v>139</v>
      </c>
      <c r="B140" t="s">
        <v>141</v>
      </c>
      <c r="C140">
        <v>2012</v>
      </c>
      <c r="D140" t="s">
        <v>169</v>
      </c>
      <c r="E140">
        <v>2</v>
      </c>
      <c r="F140">
        <f>20+(54+59.35/60)/60</f>
        <v>20.916486111111112</v>
      </c>
      <c r="G140">
        <f>99+(33+53.96/60)/60</f>
        <v>99.564988888888891</v>
      </c>
    </row>
    <row r="141" spans="1:12" x14ac:dyDescent="0.35">
      <c r="A141">
        <v>140</v>
      </c>
      <c r="B141" t="s">
        <v>116</v>
      </c>
      <c r="C141">
        <v>2013</v>
      </c>
      <c r="D141" t="s">
        <v>119</v>
      </c>
      <c r="E141">
        <v>1</v>
      </c>
      <c r="F141">
        <f>17+(45+9.93/60)/60</f>
        <v>17.752758333333333</v>
      </c>
      <c r="G141">
        <f>93+(42+55.53/60)/60</f>
        <v>93.715424999999996</v>
      </c>
    </row>
    <row r="142" spans="1:12" x14ac:dyDescent="0.35">
      <c r="A142">
        <v>141</v>
      </c>
      <c r="B142" t="s">
        <v>116</v>
      </c>
      <c r="C142">
        <v>2013</v>
      </c>
      <c r="D142" t="s">
        <v>117</v>
      </c>
      <c r="E142">
        <v>2</v>
      </c>
      <c r="F142">
        <f>18+(24+2.21/60)/60</f>
        <v>18.400613888888888</v>
      </c>
      <c r="G142">
        <f>93+(12+45.78/60)/60</f>
        <v>93.212716666666665</v>
      </c>
    </row>
    <row r="143" spans="1:12" x14ac:dyDescent="0.35">
      <c r="A143">
        <v>142</v>
      </c>
      <c r="B143" t="s">
        <v>116</v>
      </c>
      <c r="C143">
        <v>2013</v>
      </c>
      <c r="D143" t="s">
        <v>111</v>
      </c>
      <c r="E143">
        <v>1</v>
      </c>
      <c r="F143">
        <f>18+(21+57.18/60)/60</f>
        <v>18.365883333333333</v>
      </c>
      <c r="G143">
        <f>93+(11+37.1/60)/60</f>
        <v>93.193638888888884</v>
      </c>
    </row>
    <row r="144" spans="1:12" x14ac:dyDescent="0.35">
      <c r="A144">
        <v>143</v>
      </c>
      <c r="B144" t="s">
        <v>116</v>
      </c>
      <c r="C144">
        <v>2013</v>
      </c>
      <c r="D144" t="s">
        <v>118</v>
      </c>
      <c r="E144">
        <v>3</v>
      </c>
      <c r="F144">
        <f>18+(19+53.9/60)/60</f>
        <v>18.331638888888889</v>
      </c>
      <c r="G144">
        <f>93+(15+19.02/60)/60</f>
        <v>93.255283333333338</v>
      </c>
    </row>
    <row r="145" spans="1:7" x14ac:dyDescent="0.35">
      <c r="A145">
        <v>144</v>
      </c>
      <c r="B145" t="s">
        <v>9</v>
      </c>
      <c r="C145">
        <v>2014</v>
      </c>
      <c r="D145" t="s">
        <v>175</v>
      </c>
      <c r="E145">
        <v>2</v>
      </c>
      <c r="F145">
        <f>21+(19+38.28/60)/60</f>
        <v>21.327300000000001</v>
      </c>
      <c r="G145">
        <f>101+(58+15.5/60)/60</f>
        <v>101.97097222222222</v>
      </c>
    </row>
    <row r="146" spans="1:7" x14ac:dyDescent="0.35">
      <c r="A146">
        <v>145</v>
      </c>
      <c r="B146" t="s">
        <v>9</v>
      </c>
      <c r="C146">
        <v>2014</v>
      </c>
      <c r="D146" t="s">
        <v>176</v>
      </c>
      <c r="E146">
        <v>2</v>
      </c>
      <c r="F146">
        <f>21+(30+8.53/60)/60</f>
        <v>21.502369444444444</v>
      </c>
      <c r="G146">
        <f>101+(45+5.75/60)/60</f>
        <v>101.75159722222222</v>
      </c>
    </row>
    <row r="147" spans="1:7" x14ac:dyDescent="0.35">
      <c r="A147">
        <v>146</v>
      </c>
      <c r="B147" t="s">
        <v>9</v>
      </c>
      <c r="C147">
        <v>2014</v>
      </c>
      <c r="D147" t="s">
        <v>174</v>
      </c>
      <c r="E147">
        <v>2</v>
      </c>
      <c r="F147">
        <f>21+(34+26.39/60)/60</f>
        <v>21.573997222222221</v>
      </c>
      <c r="G147">
        <f>102+(8+16.04/60)/60</f>
        <v>102.13778888888889</v>
      </c>
    </row>
    <row r="148" spans="1:7" x14ac:dyDescent="0.35">
      <c r="A148">
        <v>147</v>
      </c>
      <c r="B148" t="s">
        <v>9</v>
      </c>
      <c r="C148">
        <v>2014</v>
      </c>
      <c r="D148" t="s">
        <v>177</v>
      </c>
      <c r="E148">
        <v>1</v>
      </c>
      <c r="F148">
        <f>21+(40+54.67/60)/60</f>
        <v>21.681852777777777</v>
      </c>
      <c r="G148">
        <f>102+(1+21.17/60)/60</f>
        <v>102.02254722222222</v>
      </c>
    </row>
    <row r="149" spans="1:7" x14ac:dyDescent="0.35">
      <c r="A149">
        <v>148</v>
      </c>
      <c r="B149" t="s">
        <v>25</v>
      </c>
      <c r="C149">
        <v>2014</v>
      </c>
      <c r="D149" t="s">
        <v>180</v>
      </c>
      <c r="E149">
        <v>2</v>
      </c>
      <c r="F149">
        <f>18+(5+50.92/60)/60</f>
        <v>18.097477777777776</v>
      </c>
      <c r="G149">
        <f>98+(7+34.11/60)/60</f>
        <v>98.126141666666669</v>
      </c>
    </row>
    <row r="150" spans="1:7" x14ac:dyDescent="0.35">
      <c r="A150">
        <v>149</v>
      </c>
      <c r="B150" t="s">
        <v>25</v>
      </c>
      <c r="C150">
        <v>2014</v>
      </c>
      <c r="D150" t="s">
        <v>178</v>
      </c>
      <c r="E150">
        <v>2</v>
      </c>
      <c r="F150">
        <f>18+(13+21.83/60)/60</f>
        <v>18.222730555555554</v>
      </c>
      <c r="G150">
        <f>97+(54+36.95/60)/60</f>
        <v>97.910263888888892</v>
      </c>
    </row>
    <row r="151" spans="1:7" x14ac:dyDescent="0.35">
      <c r="A151">
        <v>150</v>
      </c>
      <c r="B151" t="s">
        <v>25</v>
      </c>
      <c r="C151">
        <v>2014</v>
      </c>
      <c r="D151" t="s">
        <v>179</v>
      </c>
      <c r="E151">
        <v>1</v>
      </c>
      <c r="F151">
        <f>18+(4+1/60)/60</f>
        <v>18.066944444444445</v>
      </c>
      <c r="G151">
        <f>97+(59+23/60)/60</f>
        <v>97.989722222222227</v>
      </c>
    </row>
    <row r="152" spans="1:7" x14ac:dyDescent="0.35">
      <c r="A152">
        <v>151</v>
      </c>
      <c r="B152" t="s">
        <v>9</v>
      </c>
      <c r="C152">
        <v>2015</v>
      </c>
      <c r="D152" t="s">
        <v>191</v>
      </c>
      <c r="E152">
        <v>2</v>
      </c>
      <c r="F152">
        <f>20+(46+32.05/60)/60</f>
        <v>20.775569444444443</v>
      </c>
      <c r="G152">
        <f>103+(41+41.73/60)/60</f>
        <v>103.694925</v>
      </c>
    </row>
    <row r="153" spans="1:7" x14ac:dyDescent="0.35">
      <c r="A153" s="6">
        <v>152</v>
      </c>
      <c r="B153" s="6" t="s">
        <v>9</v>
      </c>
      <c r="C153" s="6">
        <v>2015</v>
      </c>
      <c r="D153" s="6" t="s">
        <v>192</v>
      </c>
      <c r="E153" s="6">
        <v>1</v>
      </c>
      <c r="F153" s="6">
        <f>21+(0+57.82/60)/60</f>
        <v>21.01606111111111</v>
      </c>
      <c r="G153">
        <f>103+(43+4.26/60)/60</f>
        <v>103.71785</v>
      </c>
    </row>
    <row r="154" spans="1:7" x14ac:dyDescent="0.35">
      <c r="A154" s="6">
        <v>153</v>
      </c>
      <c r="B154" s="6" t="s">
        <v>12</v>
      </c>
      <c r="C154" s="6">
        <v>2015</v>
      </c>
      <c r="D154" s="6" t="s">
        <v>189</v>
      </c>
      <c r="E154" s="6">
        <v>2</v>
      </c>
      <c r="F154" s="6">
        <f>21+(21+48.48/60)/60</f>
        <v>21.363466666666667</v>
      </c>
      <c r="G154">
        <f>102+(50+37.2/60)/60</f>
        <v>102.84366666666666</v>
      </c>
    </row>
    <row r="155" spans="1:7" x14ac:dyDescent="0.35">
      <c r="A155" s="6">
        <v>154</v>
      </c>
      <c r="B155" s="6" t="s">
        <v>9</v>
      </c>
      <c r="C155" s="6">
        <v>2015</v>
      </c>
      <c r="D155" s="6" t="s">
        <v>190</v>
      </c>
      <c r="E155" s="6">
        <v>2</v>
      </c>
      <c r="F155" s="6">
        <f>20+(35+17.15/60)/60</f>
        <v>20.588097222222224</v>
      </c>
      <c r="G155">
        <f>103+(18+16.49/60)/60</f>
        <v>103.30458055555556</v>
      </c>
    </row>
    <row r="156" spans="1:7" x14ac:dyDescent="0.35">
      <c r="A156" s="6">
        <v>155</v>
      </c>
      <c r="B156" s="6" t="s">
        <v>140</v>
      </c>
      <c r="C156" s="6">
        <v>2016</v>
      </c>
      <c r="D156" s="6" t="s">
        <v>182</v>
      </c>
      <c r="E156" s="6">
        <v>1</v>
      </c>
      <c r="F156" s="6">
        <f>19+(18+15.33/60)/60</f>
        <v>19.304258333333333</v>
      </c>
      <c r="G156">
        <f>99+(44+54.07/60)/60</f>
        <v>99.748352777777782</v>
      </c>
    </row>
    <row r="157" spans="1:7" x14ac:dyDescent="0.35">
      <c r="A157" s="6">
        <v>156</v>
      </c>
      <c r="B157" s="6" t="s">
        <v>140</v>
      </c>
      <c r="C157" s="6">
        <v>2016</v>
      </c>
      <c r="D157" s="6" t="s">
        <v>183</v>
      </c>
      <c r="E157" s="6">
        <v>2</v>
      </c>
      <c r="F157" s="6">
        <f>19+(10+7.4/60)/60</f>
        <v>19.168722222222222</v>
      </c>
      <c r="G157">
        <f>99+(54+4.29/60)/60</f>
        <v>99.901191666666662</v>
      </c>
    </row>
    <row r="158" spans="1:7" x14ac:dyDescent="0.35">
      <c r="A158" s="6">
        <v>157</v>
      </c>
      <c r="B158" s="6" t="s">
        <v>140</v>
      </c>
      <c r="C158" s="6">
        <v>2016</v>
      </c>
      <c r="D158" s="6" t="s">
        <v>181</v>
      </c>
      <c r="E158" s="6">
        <v>2</v>
      </c>
      <c r="F158" s="6">
        <f>18+(50+0.45/60)/60</f>
        <v>18.833458333333333</v>
      </c>
      <c r="G158">
        <f>99+(34+56.23/60)/60</f>
        <v>99.582286111111117</v>
      </c>
    </row>
    <row r="159" spans="1:7" x14ac:dyDescent="0.35">
      <c r="A159" s="6">
        <v>158</v>
      </c>
      <c r="B159" s="6" t="s">
        <v>25</v>
      </c>
      <c r="C159" s="6">
        <v>2016</v>
      </c>
      <c r="D159" s="6" t="s">
        <v>195</v>
      </c>
      <c r="E159" s="6">
        <v>2</v>
      </c>
      <c r="F159" s="6">
        <f>18+(36+52.76/60)/60</f>
        <v>18.614655555555554</v>
      </c>
      <c r="G159">
        <f>98+(10+22.52/60)/60</f>
        <v>98.172922222222226</v>
      </c>
    </row>
    <row r="160" spans="1:7" x14ac:dyDescent="0.35">
      <c r="A160" s="6">
        <v>159</v>
      </c>
      <c r="B160" s="6" t="s">
        <v>25</v>
      </c>
      <c r="C160" s="6">
        <v>2016</v>
      </c>
      <c r="D160" s="6" t="s">
        <v>194</v>
      </c>
      <c r="E160" s="6">
        <v>3</v>
      </c>
      <c r="F160" s="6">
        <f>18+(27+13.89/60)/60</f>
        <v>18.453858333333333</v>
      </c>
      <c r="G160">
        <f>97+(49+52.86/60)/60</f>
        <v>97.83135</v>
      </c>
    </row>
    <row r="161" spans="1:8" x14ac:dyDescent="0.35">
      <c r="A161" s="6">
        <v>160</v>
      </c>
      <c r="B161" s="6" t="s">
        <v>141</v>
      </c>
      <c r="C161" s="6">
        <v>2016</v>
      </c>
      <c r="D161" s="6" t="s">
        <v>201</v>
      </c>
      <c r="E161" s="6">
        <v>1</v>
      </c>
      <c r="F161" s="6">
        <f>20+(41+47.43/60)/60</f>
        <v>20.696508333333334</v>
      </c>
      <c r="G161">
        <f>99+(45+32.84/60)/60</f>
        <v>99.759122222222217</v>
      </c>
    </row>
    <row r="162" spans="1:8" x14ac:dyDescent="0.35">
      <c r="A162" s="6">
        <v>161</v>
      </c>
      <c r="B162" s="6" t="s">
        <v>25</v>
      </c>
      <c r="C162" s="6">
        <v>2016</v>
      </c>
      <c r="D162" s="6" t="s">
        <v>193</v>
      </c>
      <c r="E162" s="6">
        <v>2</v>
      </c>
      <c r="F162" s="6">
        <f>18+(52+54.88/60)/60</f>
        <v>18.881911111111112</v>
      </c>
      <c r="G162">
        <f>97+(43+57.81/60)/60</f>
        <v>97.732725000000002</v>
      </c>
    </row>
    <row r="163" spans="1:8" x14ac:dyDescent="0.35">
      <c r="A163" s="6">
        <v>162</v>
      </c>
      <c r="B163" s="6" t="s">
        <v>81</v>
      </c>
      <c r="C163" s="6">
        <v>2017</v>
      </c>
      <c r="D163" s="6" t="s">
        <v>188</v>
      </c>
      <c r="E163" s="6">
        <v>2</v>
      </c>
      <c r="F163" s="6">
        <f>18+(52+56.54/60)/60</f>
        <v>18.882372222222223</v>
      </c>
      <c r="G163">
        <f>98+(49+3.77/60)/60</f>
        <v>98.817713888888889</v>
      </c>
    </row>
    <row r="164" spans="1:8" x14ac:dyDescent="0.35">
      <c r="A164" s="6">
        <v>163</v>
      </c>
      <c r="B164" s="6" t="s">
        <v>81</v>
      </c>
      <c r="C164" s="6">
        <v>2017</v>
      </c>
      <c r="D164" s="6" t="s">
        <v>184</v>
      </c>
      <c r="E164" s="6">
        <v>3</v>
      </c>
      <c r="F164" s="6">
        <f>18+(47+20.32/60)/60</f>
        <v>18.788977777777777</v>
      </c>
      <c r="G164">
        <f>98+(46+7.65/60)/60</f>
        <v>98.768791666666672</v>
      </c>
    </row>
    <row r="165" spans="1:8" x14ac:dyDescent="0.35">
      <c r="A165" s="6">
        <v>164</v>
      </c>
      <c r="B165" s="6" t="s">
        <v>81</v>
      </c>
      <c r="C165" s="6">
        <v>2017</v>
      </c>
      <c r="D165" s="6" t="s">
        <v>186</v>
      </c>
      <c r="E165" s="6">
        <v>2</v>
      </c>
      <c r="F165" s="6">
        <f>18+(37+23.06/60)/60</f>
        <v>18.623072222222223</v>
      </c>
      <c r="G165">
        <f>98+(59+51.67/60)/60</f>
        <v>98.997686111111108</v>
      </c>
    </row>
    <row r="166" spans="1:8" x14ac:dyDescent="0.35">
      <c r="A166" s="6">
        <v>165</v>
      </c>
      <c r="B166" s="6" t="s">
        <v>81</v>
      </c>
      <c r="C166" s="6">
        <v>2017</v>
      </c>
      <c r="D166" s="6" t="s">
        <v>187</v>
      </c>
      <c r="E166" s="6">
        <v>2</v>
      </c>
      <c r="F166" s="6">
        <f>18+(44+31.57/60)/60</f>
        <v>18.742102777777777</v>
      </c>
      <c r="G166">
        <f>98+(57+15.14/60)/60</f>
        <v>98.954205555555561</v>
      </c>
    </row>
    <row r="167" spans="1:8" x14ac:dyDescent="0.35">
      <c r="A167" s="6">
        <v>166</v>
      </c>
      <c r="B167" s="6" t="s">
        <v>81</v>
      </c>
      <c r="C167" s="6">
        <v>2017</v>
      </c>
      <c r="D167" s="6" t="s">
        <v>185</v>
      </c>
      <c r="E167" s="6">
        <v>3</v>
      </c>
      <c r="F167" s="6">
        <f>18+(43+22.11/60)/60</f>
        <v>18.722808333333333</v>
      </c>
      <c r="G167">
        <f>98+(47+40.63/60)/60</f>
        <v>98.79461944444445</v>
      </c>
    </row>
    <row r="168" spans="1:8" x14ac:dyDescent="0.35">
      <c r="A168" s="6">
        <v>167</v>
      </c>
      <c r="B168" s="6" t="s">
        <v>125</v>
      </c>
      <c r="C168" s="6">
        <v>2017</v>
      </c>
      <c r="D168" s="6" t="s">
        <v>197</v>
      </c>
      <c r="E168" s="6">
        <v>2</v>
      </c>
      <c r="F168" s="6">
        <f>20+(32+52.57/60)/60</f>
        <v>20.54793611111111</v>
      </c>
      <c r="G168">
        <f>88+(49+39.47/60)/60</f>
        <v>88.827630555555558</v>
      </c>
    </row>
    <row r="169" spans="1:8" x14ac:dyDescent="0.35">
      <c r="A169" s="6">
        <v>168</v>
      </c>
      <c r="B169" s="6" t="s">
        <v>125</v>
      </c>
      <c r="C169" s="6">
        <v>2017</v>
      </c>
      <c r="D169" s="6" t="s">
        <v>198</v>
      </c>
      <c r="E169" s="6">
        <v>1</v>
      </c>
      <c r="F169" s="6">
        <f>20+(47+49.71/60)/60</f>
        <v>20.797141666666668</v>
      </c>
      <c r="G169">
        <f>89+(2+6.71/60)/60</f>
        <v>89.035197222222223</v>
      </c>
    </row>
    <row r="170" spans="1:8" x14ac:dyDescent="0.35">
      <c r="A170" s="6">
        <v>169</v>
      </c>
      <c r="B170" s="6" t="s">
        <v>141</v>
      </c>
      <c r="C170" s="6">
        <v>2018</v>
      </c>
      <c r="D170" s="6" t="s">
        <v>199</v>
      </c>
      <c r="E170" s="6">
        <v>2</v>
      </c>
      <c r="F170" s="6">
        <f>20+(31+21/6/60)/60</f>
        <v>20.517638888888889</v>
      </c>
      <c r="G170">
        <f>100+(10+24.27/60)/60</f>
        <v>100.17340833333333</v>
      </c>
    </row>
    <row r="171" spans="1:8" x14ac:dyDescent="0.35">
      <c r="A171" s="6">
        <v>170</v>
      </c>
      <c r="B171" s="6" t="s">
        <v>141</v>
      </c>
      <c r="C171" s="6">
        <v>2018</v>
      </c>
      <c r="D171" s="6" t="s">
        <v>200</v>
      </c>
      <c r="E171" s="6">
        <v>2</v>
      </c>
      <c r="F171" s="6">
        <f>20+(45+24.13/60)/60</f>
        <v>20.756702777777779</v>
      </c>
      <c r="G171">
        <f>99+(49+38.91/60)/60</f>
        <v>99.827475000000007</v>
      </c>
      <c r="H171" t="s">
        <v>202</v>
      </c>
    </row>
    <row r="172" spans="1:8" x14ac:dyDescent="0.35">
      <c r="E172" t="s">
        <v>80</v>
      </c>
      <c r="F172">
        <f>COUNTA(F2:F171)</f>
        <v>170</v>
      </c>
    </row>
  </sheetData>
  <mergeCells count="1">
    <mergeCell ref="H130:L131"/>
  </mergeCells>
  <hyperlinks>
    <hyperlink ref="M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Lillian Midn USN USNA Annapolis</dc:creator>
  <cp:lastModifiedBy>Baker, Lillian Midn USN USNA Annapolis</cp:lastModifiedBy>
  <dcterms:created xsi:type="dcterms:W3CDTF">2020-09-16T03:44:38Z</dcterms:created>
  <dcterms:modified xsi:type="dcterms:W3CDTF">2021-04-12T19:21:51Z</dcterms:modified>
</cp:coreProperties>
</file>