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skystonebrasil.sharepoint.com/sites/SupplyChain/Documentos Compartilhados/03. Procurement/01. Purchase/02. Imports/06. Cost Forecast/app/backend/data/Excel_base/"/>
    </mc:Choice>
  </mc:AlternateContent>
  <xr:revisionPtr revIDLastSave="76" documentId="13_ncr:1_{940EB098-90CB-4DD6-BC83-7989F5FC7F27}" xr6:coauthVersionLast="47" xr6:coauthVersionMax="47" xr10:uidLastSave="{5569AA1C-8D25-4394-B59F-8D2E3F09616F}"/>
  <bookViews>
    <workbookView xWindow="-120" yWindow="-120" windowWidth="29040" windowHeight="15720" xr2:uid="{D9EBE27C-780A-4835-AF9B-2D3B7B895936}"/>
  </bookViews>
  <sheets>
    <sheet name="Custo" sheetId="1" r:id="rId1"/>
    <sheet name="Apoio" sheetId="2" r:id="rId2"/>
  </sheets>
  <definedNames>
    <definedName name="BRL">_xlfn.ANCHORARRAY(Apoio!$M$2)</definedName>
    <definedName name="Destinacao">_xlfn.ANCHORARRAY(Apoio!$K$2)</definedName>
    <definedName name="Incoterm">_xlfn.ANCHORARRAY(Apoio!$G$2)</definedName>
    <definedName name="Modal">_xlfn.ANCHORARRAY(Apoio!$I$2)</definedName>
    <definedName name="Origem">_xlfn.ANCHORARRAY(Apoio!$AD$2)</definedName>
    <definedName name="_xlnm.Print_Area" localSheetId="0">Custo!$A$1:$K$77</definedName>
    <definedName name="Trading_despachante">Tabela1[Tradin/Despachante]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AD2" i="2" a="1"/>
  <c r="AD2" i="2" s="1"/>
  <c r="Y2" i="2"/>
  <c r="Y3" i="2"/>
  <c r="Y4" i="2"/>
  <c r="Y5" i="2"/>
  <c r="Y6" i="2"/>
  <c r="BA46" i="1"/>
  <c r="AZ46" i="1"/>
  <c r="AY46" i="1"/>
  <c r="AX46" i="1"/>
  <c r="AW46" i="1"/>
  <c r="AS46" i="1"/>
  <c r="AU46" i="1" s="1"/>
  <c r="AP46" i="1"/>
  <c r="AO46" i="1"/>
  <c r="AQ46" i="1" s="1"/>
  <c r="AK46" i="1"/>
  <c r="AM46" i="1" s="1"/>
  <c r="AJ46" i="1"/>
  <c r="AL46" i="1" s="1"/>
  <c r="AI46" i="1"/>
  <c r="AG46" i="1"/>
  <c r="AF46" i="1"/>
  <c r="AE46" i="1"/>
  <c r="Z46" i="1"/>
  <c r="Y46" i="1"/>
  <c r="X46" i="1"/>
  <c r="W46" i="1"/>
  <c r="V46" i="1"/>
  <c r="U46" i="1"/>
  <c r="M46" i="1"/>
  <c r="I46" i="1"/>
  <c r="BA45" i="1"/>
  <c r="AZ45" i="1"/>
  <c r="AY45" i="1"/>
  <c r="AX45" i="1"/>
  <c r="AW45" i="1"/>
  <c r="AP45" i="1"/>
  <c r="AO45" i="1"/>
  <c r="AQ45" i="1" s="1"/>
  <c r="AL45" i="1"/>
  <c r="AK45" i="1"/>
  <c r="AS45" i="1" s="1"/>
  <c r="AU45" i="1" s="1"/>
  <c r="AJ45" i="1"/>
  <c r="AR45" i="1" s="1"/>
  <c r="AT45" i="1" s="1"/>
  <c r="AI45" i="1"/>
  <c r="AG45" i="1"/>
  <c r="AF45" i="1"/>
  <c r="AE45" i="1"/>
  <c r="Z45" i="1"/>
  <c r="Y45" i="1"/>
  <c r="X45" i="1"/>
  <c r="U45" i="1"/>
  <c r="M45" i="1"/>
  <c r="W45" i="1" s="1"/>
  <c r="I45" i="1"/>
  <c r="BA44" i="1"/>
  <c r="AZ44" i="1"/>
  <c r="AY44" i="1"/>
  <c r="AX44" i="1"/>
  <c r="AW44" i="1"/>
  <c r="AP44" i="1"/>
  <c r="AO44" i="1"/>
  <c r="AQ44" i="1" s="1"/>
  <c r="AK44" i="1"/>
  <c r="AM44" i="1" s="1"/>
  <c r="AJ44" i="1"/>
  <c r="AR44" i="1" s="1"/>
  <c r="AI44" i="1"/>
  <c r="AG44" i="1"/>
  <c r="AF44" i="1"/>
  <c r="AE44" i="1"/>
  <c r="Y44" i="1"/>
  <c r="X44" i="1"/>
  <c r="W44" i="1"/>
  <c r="V44" i="1"/>
  <c r="U44" i="1"/>
  <c r="M44" i="1"/>
  <c r="Z44" i="1" s="1"/>
  <c r="I44" i="1"/>
  <c r="BA43" i="1"/>
  <c r="AZ43" i="1"/>
  <c r="AY43" i="1"/>
  <c r="AX43" i="1"/>
  <c r="AW43" i="1"/>
  <c r="AP43" i="1"/>
  <c r="AO43" i="1"/>
  <c r="AQ43" i="1" s="1"/>
  <c r="AK43" i="1"/>
  <c r="AM43" i="1" s="1"/>
  <c r="AJ43" i="1"/>
  <c r="AL43" i="1" s="1"/>
  <c r="AI43" i="1"/>
  <c r="AG43" i="1"/>
  <c r="AF43" i="1"/>
  <c r="AE43" i="1"/>
  <c r="U43" i="1"/>
  <c r="M43" i="1"/>
  <c r="Z43" i="1" s="1"/>
  <c r="I43" i="1"/>
  <c r="BA42" i="1"/>
  <c r="AZ42" i="1"/>
  <c r="AY42" i="1"/>
  <c r="AX42" i="1"/>
  <c r="AW42" i="1"/>
  <c r="AP42" i="1"/>
  <c r="AO42" i="1"/>
  <c r="AQ42" i="1" s="1"/>
  <c r="AK42" i="1"/>
  <c r="AM42" i="1" s="1"/>
  <c r="AJ42" i="1"/>
  <c r="AL42" i="1" s="1"/>
  <c r="AI42" i="1"/>
  <c r="AG42" i="1"/>
  <c r="AF42" i="1"/>
  <c r="AE42" i="1"/>
  <c r="Z42" i="1"/>
  <c r="Y42" i="1"/>
  <c r="X42" i="1"/>
  <c r="W42" i="1"/>
  <c r="V42" i="1"/>
  <c r="U42" i="1"/>
  <c r="M42" i="1"/>
  <c r="I42" i="1"/>
  <c r="BA41" i="1"/>
  <c r="AZ41" i="1"/>
  <c r="AY41" i="1"/>
  <c r="AX41" i="1"/>
  <c r="AW41" i="1"/>
  <c r="AP41" i="1"/>
  <c r="AO41" i="1"/>
  <c r="AQ41" i="1" s="1"/>
  <c r="AK41" i="1"/>
  <c r="AS41" i="1" s="1"/>
  <c r="AU41" i="1" s="1"/>
  <c r="AJ41" i="1"/>
  <c r="AR41" i="1" s="1"/>
  <c r="AT41" i="1" s="1"/>
  <c r="AI41" i="1"/>
  <c r="AG41" i="1"/>
  <c r="AF41" i="1"/>
  <c r="AE41" i="1"/>
  <c r="Z41" i="1"/>
  <c r="Y41" i="1"/>
  <c r="X41" i="1"/>
  <c r="U41" i="1"/>
  <c r="M41" i="1"/>
  <c r="W41" i="1" s="1"/>
  <c r="I41" i="1"/>
  <c r="BA40" i="1"/>
  <c r="AZ40" i="1"/>
  <c r="AY40" i="1"/>
  <c r="AX40" i="1"/>
  <c r="AW40" i="1"/>
  <c r="AP40" i="1"/>
  <c r="AO40" i="1"/>
  <c r="AQ40" i="1" s="1"/>
  <c r="AK40" i="1"/>
  <c r="AM40" i="1" s="1"/>
  <c r="AJ40" i="1"/>
  <c r="AR40" i="1" s="1"/>
  <c r="AI40" i="1"/>
  <c r="AG40" i="1"/>
  <c r="AF40" i="1"/>
  <c r="AE40" i="1"/>
  <c r="Y40" i="1"/>
  <c r="X40" i="1"/>
  <c r="W40" i="1"/>
  <c r="V40" i="1"/>
  <c r="U40" i="1"/>
  <c r="M40" i="1"/>
  <c r="Z40" i="1" s="1"/>
  <c r="I40" i="1"/>
  <c r="BA39" i="1"/>
  <c r="AZ39" i="1"/>
  <c r="AY39" i="1"/>
  <c r="AX39" i="1"/>
  <c r="AW39" i="1"/>
  <c r="AP39" i="1"/>
  <c r="AO39" i="1"/>
  <c r="AQ39" i="1" s="1"/>
  <c r="AK39" i="1"/>
  <c r="AM39" i="1" s="1"/>
  <c r="AJ39" i="1"/>
  <c r="AR39" i="1" s="1"/>
  <c r="AT39" i="1" s="1"/>
  <c r="AI39" i="1"/>
  <c r="AG39" i="1"/>
  <c r="AF39" i="1"/>
  <c r="AE39" i="1"/>
  <c r="U39" i="1"/>
  <c r="M39" i="1"/>
  <c r="Z39" i="1" s="1"/>
  <c r="I39" i="1"/>
  <c r="BA38" i="1"/>
  <c r="AZ38" i="1"/>
  <c r="AY38" i="1"/>
  <c r="AX38" i="1"/>
  <c r="AW38" i="1"/>
  <c r="AP38" i="1"/>
  <c r="AO38" i="1"/>
  <c r="AQ38" i="1" s="1"/>
  <c r="AK38" i="1"/>
  <c r="AM38" i="1" s="1"/>
  <c r="AJ38" i="1"/>
  <c r="AL38" i="1" s="1"/>
  <c r="AI38" i="1"/>
  <c r="AG38" i="1"/>
  <c r="AF38" i="1"/>
  <c r="AE38" i="1"/>
  <c r="Z38" i="1"/>
  <c r="Y38" i="1"/>
  <c r="X38" i="1"/>
  <c r="W38" i="1"/>
  <c r="V38" i="1"/>
  <c r="U38" i="1"/>
  <c r="M38" i="1"/>
  <c r="I38" i="1"/>
  <c r="BA37" i="1"/>
  <c r="AZ37" i="1"/>
  <c r="AY37" i="1"/>
  <c r="AX37" i="1"/>
  <c r="AW37" i="1"/>
  <c r="AR37" i="1"/>
  <c r="AT37" i="1" s="1"/>
  <c r="AP37" i="1"/>
  <c r="AO37" i="1"/>
  <c r="AQ37" i="1" s="1"/>
  <c r="AK37" i="1"/>
  <c r="AS37" i="1" s="1"/>
  <c r="AU37" i="1" s="1"/>
  <c r="AJ37" i="1"/>
  <c r="AL37" i="1" s="1"/>
  <c r="AI37" i="1"/>
  <c r="AG37" i="1"/>
  <c r="AF37" i="1"/>
  <c r="AE37" i="1"/>
  <c r="U37" i="1"/>
  <c r="M37" i="1"/>
  <c r="W37" i="1" s="1"/>
  <c r="I37" i="1"/>
  <c r="BA36" i="1"/>
  <c r="AZ36" i="1"/>
  <c r="AY36" i="1"/>
  <c r="AX36" i="1"/>
  <c r="AW36" i="1"/>
  <c r="AP36" i="1"/>
  <c r="AO36" i="1"/>
  <c r="AQ36" i="1" s="1"/>
  <c r="AK36" i="1"/>
  <c r="AM36" i="1" s="1"/>
  <c r="AJ36" i="1"/>
  <c r="AR36" i="1" s="1"/>
  <c r="AI36" i="1"/>
  <c r="AG36" i="1"/>
  <c r="AF36" i="1"/>
  <c r="AE36" i="1"/>
  <c r="Y36" i="1"/>
  <c r="X36" i="1"/>
  <c r="W36" i="1"/>
  <c r="V36" i="1"/>
  <c r="U36" i="1"/>
  <c r="M36" i="1"/>
  <c r="Z36" i="1" s="1"/>
  <c r="I36" i="1"/>
  <c r="BA35" i="1"/>
  <c r="AZ35" i="1"/>
  <c r="AY35" i="1"/>
  <c r="AX35" i="1"/>
  <c r="AW35" i="1"/>
  <c r="AP35" i="1"/>
  <c r="AO35" i="1"/>
  <c r="AQ35" i="1" s="1"/>
  <c r="AK35" i="1"/>
  <c r="AM35" i="1" s="1"/>
  <c r="AJ35" i="1"/>
  <c r="AR35" i="1" s="1"/>
  <c r="J35" i="1" s="1"/>
  <c r="AI35" i="1"/>
  <c r="AG35" i="1"/>
  <c r="AF35" i="1"/>
  <c r="AE35" i="1"/>
  <c r="U35" i="1"/>
  <c r="M35" i="1"/>
  <c r="Z35" i="1" s="1"/>
  <c r="I35" i="1"/>
  <c r="BA34" i="1"/>
  <c r="AZ34" i="1"/>
  <c r="AY34" i="1"/>
  <c r="AX34" i="1"/>
  <c r="AW34" i="1"/>
  <c r="AP34" i="1"/>
  <c r="AO34" i="1"/>
  <c r="AQ34" i="1" s="1"/>
  <c r="AK34" i="1"/>
  <c r="AM34" i="1" s="1"/>
  <c r="AJ34" i="1"/>
  <c r="AL34" i="1" s="1"/>
  <c r="AI34" i="1"/>
  <c r="AG34" i="1"/>
  <c r="AF34" i="1"/>
  <c r="AE34" i="1"/>
  <c r="Z34" i="1"/>
  <c r="Y34" i="1"/>
  <c r="X34" i="1"/>
  <c r="W34" i="1"/>
  <c r="V34" i="1"/>
  <c r="U34" i="1"/>
  <c r="M34" i="1"/>
  <c r="I34" i="1"/>
  <c r="BA33" i="1"/>
  <c r="AZ33" i="1"/>
  <c r="AY33" i="1"/>
  <c r="AX33" i="1"/>
  <c r="AW33" i="1"/>
  <c r="AP33" i="1"/>
  <c r="AO33" i="1"/>
  <c r="AQ33" i="1" s="1"/>
  <c r="AK33" i="1"/>
  <c r="AS33" i="1" s="1"/>
  <c r="AU33" i="1" s="1"/>
  <c r="AJ33" i="1"/>
  <c r="AR33" i="1" s="1"/>
  <c r="AT33" i="1" s="1"/>
  <c r="AI33" i="1"/>
  <c r="AG33" i="1"/>
  <c r="AF33" i="1"/>
  <c r="AE33" i="1"/>
  <c r="X33" i="1"/>
  <c r="U33" i="1"/>
  <c r="M33" i="1"/>
  <c r="W33" i="1" s="1"/>
  <c r="I33" i="1"/>
  <c r="BA32" i="1"/>
  <c r="AZ32" i="1"/>
  <c r="AY32" i="1"/>
  <c r="AX32" i="1"/>
  <c r="AW32" i="1"/>
  <c r="AP32" i="1"/>
  <c r="AO32" i="1"/>
  <c r="AQ32" i="1" s="1"/>
  <c r="AK32" i="1"/>
  <c r="AM32" i="1" s="1"/>
  <c r="AJ32" i="1"/>
  <c r="AR32" i="1" s="1"/>
  <c r="AI32" i="1"/>
  <c r="AG32" i="1"/>
  <c r="AF32" i="1"/>
  <c r="AE32" i="1"/>
  <c r="Y32" i="1"/>
  <c r="X32" i="1"/>
  <c r="W32" i="1"/>
  <c r="V32" i="1"/>
  <c r="U32" i="1"/>
  <c r="M32" i="1"/>
  <c r="Z32" i="1" s="1"/>
  <c r="I32" i="1"/>
  <c r="BA31" i="1"/>
  <c r="AZ31" i="1"/>
  <c r="AY31" i="1"/>
  <c r="AX31" i="1"/>
  <c r="AW31" i="1"/>
  <c r="AP31" i="1"/>
  <c r="AO31" i="1"/>
  <c r="AQ31" i="1" s="1"/>
  <c r="AK31" i="1"/>
  <c r="AM31" i="1" s="1"/>
  <c r="AJ31" i="1"/>
  <c r="AL31" i="1" s="1"/>
  <c r="AI31" i="1"/>
  <c r="AG31" i="1"/>
  <c r="AF31" i="1"/>
  <c r="AE31" i="1"/>
  <c r="Z31" i="1"/>
  <c r="U31" i="1"/>
  <c r="M31" i="1"/>
  <c r="Y31" i="1" s="1"/>
  <c r="I31" i="1"/>
  <c r="BA30" i="1"/>
  <c r="AZ30" i="1"/>
  <c r="AY30" i="1"/>
  <c r="AX30" i="1"/>
  <c r="AW30" i="1"/>
  <c r="AP30" i="1"/>
  <c r="AO30" i="1"/>
  <c r="AQ30" i="1" s="1"/>
  <c r="AK30" i="1"/>
  <c r="AM30" i="1" s="1"/>
  <c r="AJ30" i="1"/>
  <c r="AL30" i="1" s="1"/>
  <c r="AI30" i="1"/>
  <c r="AG30" i="1"/>
  <c r="AF30" i="1"/>
  <c r="AE30" i="1"/>
  <c r="Z30" i="1"/>
  <c r="Y30" i="1"/>
  <c r="X30" i="1"/>
  <c r="W30" i="1"/>
  <c r="V30" i="1"/>
  <c r="U30" i="1"/>
  <c r="M30" i="1"/>
  <c r="I30" i="1"/>
  <c r="BA29" i="1"/>
  <c r="AZ29" i="1"/>
  <c r="AY29" i="1"/>
  <c r="AX29" i="1"/>
  <c r="AW29" i="1"/>
  <c r="AP29" i="1"/>
  <c r="AO29" i="1"/>
  <c r="AQ29" i="1" s="1"/>
  <c r="AK29" i="1"/>
  <c r="AS29" i="1" s="1"/>
  <c r="AU29" i="1" s="1"/>
  <c r="AJ29" i="1"/>
  <c r="AL29" i="1" s="1"/>
  <c r="AI29" i="1"/>
  <c r="AG29" i="1"/>
  <c r="AF29" i="1"/>
  <c r="AE29" i="1"/>
  <c r="X29" i="1"/>
  <c r="U29" i="1"/>
  <c r="M29" i="1"/>
  <c r="W29" i="1" s="1"/>
  <c r="I29" i="1"/>
  <c r="BA28" i="1"/>
  <c r="AZ28" i="1"/>
  <c r="AY28" i="1"/>
  <c r="AX28" i="1"/>
  <c r="AW28" i="1"/>
  <c r="AP28" i="1"/>
  <c r="AO28" i="1"/>
  <c r="AQ28" i="1" s="1"/>
  <c r="AK28" i="1"/>
  <c r="AM28" i="1" s="1"/>
  <c r="AJ28" i="1"/>
  <c r="AR28" i="1" s="1"/>
  <c r="AI28" i="1"/>
  <c r="AG28" i="1"/>
  <c r="AF28" i="1"/>
  <c r="AE28" i="1"/>
  <c r="Y28" i="1"/>
  <c r="X28" i="1"/>
  <c r="W28" i="1"/>
  <c r="V28" i="1"/>
  <c r="U28" i="1"/>
  <c r="M28" i="1"/>
  <c r="Z28" i="1" s="1"/>
  <c r="I28" i="1"/>
  <c r="BA27" i="1"/>
  <c r="AZ27" i="1"/>
  <c r="AY27" i="1"/>
  <c r="AX27" i="1"/>
  <c r="AW27" i="1"/>
  <c r="AR27" i="1"/>
  <c r="AT27" i="1" s="1"/>
  <c r="AP27" i="1"/>
  <c r="AO27" i="1"/>
  <c r="AQ27" i="1" s="1"/>
  <c r="AK27" i="1"/>
  <c r="AM27" i="1" s="1"/>
  <c r="AJ27" i="1"/>
  <c r="AL27" i="1" s="1"/>
  <c r="AI27" i="1"/>
  <c r="AG27" i="1"/>
  <c r="AF27" i="1"/>
  <c r="AE27" i="1"/>
  <c r="Z27" i="1"/>
  <c r="X27" i="1"/>
  <c r="U27" i="1"/>
  <c r="M27" i="1"/>
  <c r="Y27" i="1" s="1"/>
  <c r="I27" i="1"/>
  <c r="BA26" i="1"/>
  <c r="AZ26" i="1"/>
  <c r="AY26" i="1"/>
  <c r="AX26" i="1"/>
  <c r="AW26" i="1"/>
  <c r="AP26" i="1"/>
  <c r="AO26" i="1"/>
  <c r="AQ26" i="1" s="1"/>
  <c r="AK26" i="1"/>
  <c r="AM26" i="1" s="1"/>
  <c r="AJ26" i="1"/>
  <c r="AL26" i="1" s="1"/>
  <c r="AI26" i="1"/>
  <c r="AG26" i="1"/>
  <c r="AF26" i="1"/>
  <c r="AE26" i="1"/>
  <c r="Z26" i="1"/>
  <c r="Y26" i="1"/>
  <c r="X26" i="1"/>
  <c r="W26" i="1"/>
  <c r="V26" i="1"/>
  <c r="U26" i="1"/>
  <c r="M26" i="1"/>
  <c r="I26" i="1"/>
  <c r="BA25" i="1"/>
  <c r="AZ25" i="1"/>
  <c r="AY25" i="1"/>
  <c r="AX25" i="1"/>
  <c r="AW25" i="1"/>
  <c r="AP25" i="1"/>
  <c r="AO25" i="1"/>
  <c r="AQ25" i="1" s="1"/>
  <c r="AK25" i="1"/>
  <c r="AM25" i="1" s="1"/>
  <c r="AJ25" i="1"/>
  <c r="AR25" i="1" s="1"/>
  <c r="AI25" i="1"/>
  <c r="AG25" i="1"/>
  <c r="AE25" i="1"/>
  <c r="U25" i="1"/>
  <c r="M25" i="1"/>
  <c r="Z25" i="1" s="1"/>
  <c r="I25" i="1"/>
  <c r="J75" i="1"/>
  <c r="J76" i="1" s="1"/>
  <c r="J72" i="1"/>
  <c r="I72" i="1"/>
  <c r="I73" i="1" s="1"/>
  <c r="J69" i="1"/>
  <c r="I69" i="1"/>
  <c r="J59" i="1"/>
  <c r="I59" i="1"/>
  <c r="J53" i="1"/>
  <c r="I53" i="1"/>
  <c r="G47" i="1"/>
  <c r="AS32" i="1" l="1"/>
  <c r="AU32" i="1" s="1"/>
  <c r="AS39" i="1"/>
  <c r="AU39" i="1" s="1"/>
  <c r="AS31" i="1"/>
  <c r="AU31" i="1" s="1"/>
  <c r="AL35" i="1"/>
  <c r="AL41" i="1"/>
  <c r="AS28" i="1"/>
  <c r="AU28" i="1" s="1"/>
  <c r="AR43" i="1"/>
  <c r="AT43" i="1" s="1"/>
  <c r="AR31" i="1"/>
  <c r="AT31" i="1" s="1"/>
  <c r="AS35" i="1"/>
  <c r="AU35" i="1" s="1"/>
  <c r="AS38" i="1"/>
  <c r="AU38" i="1" s="1"/>
  <c r="AL33" i="1"/>
  <c r="AS34" i="1"/>
  <c r="AU34" i="1" s="1"/>
  <c r="AS42" i="1"/>
  <c r="AU42" i="1" s="1"/>
  <c r="AR29" i="1"/>
  <c r="AT29" i="1" s="1"/>
  <c r="AL39" i="1"/>
  <c r="AS40" i="1"/>
  <c r="AU40" i="1" s="1"/>
  <c r="AS44" i="1"/>
  <c r="AU44" i="1" s="1"/>
  <c r="AS36" i="1"/>
  <c r="AU36" i="1" s="1"/>
  <c r="AS26" i="1"/>
  <c r="AU26" i="1" s="1"/>
  <c r="AS30" i="1"/>
  <c r="AU30" i="1" s="1"/>
  <c r="AT40" i="1"/>
  <c r="J40" i="1"/>
  <c r="AT36" i="1"/>
  <c r="J36" i="1"/>
  <c r="AT32" i="1"/>
  <c r="J32" i="1"/>
  <c r="AT44" i="1"/>
  <c r="J44" i="1"/>
  <c r="AT28" i="1"/>
  <c r="J28" i="1"/>
  <c r="J43" i="1"/>
  <c r="AS43" i="1"/>
  <c r="AU43" i="1" s="1"/>
  <c r="Y29" i="1"/>
  <c r="J31" i="1"/>
  <c r="Y33" i="1"/>
  <c r="Z33" i="1"/>
  <c r="AM37" i="1"/>
  <c r="Y37" i="1"/>
  <c r="J39" i="1"/>
  <c r="AM29" i="1"/>
  <c r="AM33" i="1"/>
  <c r="AT35" i="1"/>
  <c r="Z37" i="1"/>
  <c r="AM41" i="1"/>
  <c r="AM45" i="1"/>
  <c r="AR26" i="1"/>
  <c r="AR30" i="1"/>
  <c r="AR34" i="1"/>
  <c r="AR38" i="1"/>
  <c r="AR42" i="1"/>
  <c r="AR46" i="1"/>
  <c r="Z29" i="1"/>
  <c r="AL28" i="1"/>
  <c r="V35" i="1"/>
  <c r="AL36" i="1"/>
  <c r="V39" i="1"/>
  <c r="AL40" i="1"/>
  <c r="V43" i="1"/>
  <c r="AL44" i="1"/>
  <c r="X37" i="1"/>
  <c r="J27" i="1"/>
  <c r="AS27" i="1"/>
  <c r="AU27" i="1" s="1"/>
  <c r="V27" i="1"/>
  <c r="V31" i="1"/>
  <c r="AL32" i="1"/>
  <c r="W27" i="1"/>
  <c r="W31" i="1"/>
  <c r="W35" i="1"/>
  <c r="W39" i="1"/>
  <c r="W43" i="1"/>
  <c r="X31" i="1"/>
  <c r="X35" i="1"/>
  <c r="X39" i="1"/>
  <c r="X43" i="1"/>
  <c r="J33" i="1"/>
  <c r="Y35" i="1"/>
  <c r="J37" i="1"/>
  <c r="Y39" i="1"/>
  <c r="J41" i="1"/>
  <c r="Y43" i="1"/>
  <c r="J45" i="1"/>
  <c r="V45" i="1"/>
  <c r="V29" i="1"/>
  <c r="V33" i="1"/>
  <c r="V37" i="1"/>
  <c r="V41" i="1"/>
  <c r="AS25" i="1"/>
  <c r="AU25" i="1" s="1"/>
  <c r="AL25" i="1"/>
  <c r="Y25" i="1"/>
  <c r="AT25" i="1"/>
  <c r="J25" i="1"/>
  <c r="V25" i="1"/>
  <c r="W25" i="1"/>
  <c r="X25" i="1"/>
  <c r="I47" i="1"/>
  <c r="F50" i="1"/>
  <c r="F51" i="1"/>
  <c r="F52" i="1"/>
  <c r="F54" i="1"/>
  <c r="F55" i="1"/>
  <c r="F56" i="1"/>
  <c r="F57" i="1"/>
  <c r="F58" i="1"/>
  <c r="F60" i="1"/>
  <c r="F61" i="1"/>
  <c r="F62" i="1"/>
  <c r="F63" i="1"/>
  <c r="F64" i="1"/>
  <c r="F65" i="1"/>
  <c r="F66" i="1"/>
  <c r="F67" i="1"/>
  <c r="F68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J29" i="1" l="1"/>
  <c r="AT38" i="1"/>
  <c r="J38" i="1"/>
  <c r="AT42" i="1"/>
  <c r="J42" i="1"/>
  <c r="AT30" i="1"/>
  <c r="J30" i="1"/>
  <c r="AT34" i="1"/>
  <c r="J34" i="1"/>
  <c r="AT26" i="1"/>
  <c r="J26" i="1"/>
  <c r="AT46" i="1"/>
  <c r="J46" i="1"/>
  <c r="L47" i="1"/>
  <c r="E61" i="1"/>
  <c r="E67" i="1"/>
  <c r="F69" i="1"/>
  <c r="F59" i="1"/>
  <c r="F53" i="1"/>
  <c r="G71" i="1"/>
  <c r="G70" i="1"/>
  <c r="G61" i="1"/>
  <c r="G57" i="1"/>
  <c r="G55" i="1"/>
  <c r="G54" i="1"/>
  <c r="G68" i="1"/>
  <c r="G67" i="1"/>
  <c r="G66" i="1"/>
  <c r="G65" i="1"/>
  <c r="G64" i="1"/>
  <c r="G63" i="1"/>
  <c r="G62" i="1"/>
  <c r="G60" i="1"/>
  <c r="G58" i="1"/>
  <c r="G56" i="1"/>
  <c r="G52" i="1"/>
  <c r="G51" i="1"/>
  <c r="G50" i="1"/>
  <c r="E51" i="1" l="1"/>
  <c r="H51" i="1" s="1"/>
  <c r="AF25" i="1"/>
  <c r="G59" i="1"/>
  <c r="G53" i="1"/>
  <c r="G72" i="1"/>
  <c r="G73" i="1" s="1"/>
  <c r="G69" i="1"/>
  <c r="F71" i="1"/>
  <c r="F70" i="1"/>
  <c r="F72" i="1" s="1"/>
  <c r="F73" i="1" s="1"/>
  <c r="I75" i="1" l="1"/>
  <c r="I76" i="1" s="1"/>
  <c r="H66" i="1"/>
  <c r="M2" i="2" a="1"/>
  <c r="M2" i="2" s="1"/>
  <c r="K2" i="2" a="1"/>
  <c r="K2" i="2" s="1"/>
  <c r="I2" i="2" a="1"/>
  <c r="I2" i="2" s="1"/>
  <c r="G2" i="2" a="1"/>
  <c r="G2" i="2" s="1"/>
  <c r="G75" i="1" l="1"/>
  <c r="G76" i="1" s="1"/>
  <c r="F75" i="1"/>
  <c r="F76" i="1" s="1"/>
  <c r="H68" i="1"/>
  <c r="H65" i="1"/>
  <c r="AI47" i="1"/>
  <c r="AG47" i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M76" i="1" l="1"/>
  <c r="H67" i="1" l="1"/>
  <c r="E81" i="1"/>
  <c r="E82" i="1"/>
  <c r="E50" i="1"/>
  <c r="H61" i="1"/>
  <c r="AF47" i="1"/>
  <c r="H63" i="1"/>
  <c r="E62" i="1" l="1" a="1"/>
  <c r="E62" i="1" s="1"/>
  <c r="E52" i="1"/>
  <c r="E53" i="1" s="1"/>
  <c r="H50" i="1"/>
  <c r="H64" i="1"/>
  <c r="AC47" i="1"/>
  <c r="AE47" i="1"/>
  <c r="AH47" i="1"/>
  <c r="AH25" i="1" l="1"/>
  <c r="AH45" i="1"/>
  <c r="AH41" i="1"/>
  <c r="AH37" i="1"/>
  <c r="AH33" i="1"/>
  <c r="AH29" i="1"/>
  <c r="AH26" i="1"/>
  <c r="AH46" i="1"/>
  <c r="AH42" i="1"/>
  <c r="AH38" i="1"/>
  <c r="AH34" i="1"/>
  <c r="AH30" i="1"/>
  <c r="AH44" i="1"/>
  <c r="AH40" i="1"/>
  <c r="AH36" i="1"/>
  <c r="AH28" i="1"/>
  <c r="AH43" i="1"/>
  <c r="AH39" i="1"/>
  <c r="AH35" i="1"/>
  <c r="AH31" i="1"/>
  <c r="AH27" i="1"/>
  <c r="AH32" i="1"/>
  <c r="AC25" i="1"/>
  <c r="AC35" i="1"/>
  <c r="AC31" i="1"/>
  <c r="AC27" i="1"/>
  <c r="AC43" i="1"/>
  <c r="AC39" i="1"/>
  <c r="AC44" i="1"/>
  <c r="AC40" i="1"/>
  <c r="AC36" i="1"/>
  <c r="AC32" i="1"/>
  <c r="AC28" i="1"/>
  <c r="AC37" i="1"/>
  <c r="AC33" i="1"/>
  <c r="AC29" i="1"/>
  <c r="AC30" i="1"/>
  <c r="AC26" i="1"/>
  <c r="AC45" i="1"/>
  <c r="AC41" i="1"/>
  <c r="AC42" i="1"/>
  <c r="AC38" i="1"/>
  <c r="AC34" i="1"/>
  <c r="AC46" i="1"/>
  <c r="AD47" i="1"/>
  <c r="H62" i="1"/>
  <c r="E60" i="1"/>
  <c r="H60" i="1" s="1"/>
  <c r="H52" i="1"/>
  <c r="H53" i="1" s="1"/>
  <c r="AD25" i="1" l="1"/>
  <c r="AD43" i="1"/>
  <c r="AD39" i="1"/>
  <c r="AD35" i="1"/>
  <c r="AD31" i="1"/>
  <c r="AD27" i="1"/>
  <c r="AD32" i="1"/>
  <c r="AD40" i="1"/>
  <c r="AD36" i="1"/>
  <c r="AD28" i="1"/>
  <c r="AD44" i="1"/>
  <c r="AD45" i="1"/>
  <c r="AD41" i="1"/>
  <c r="AD37" i="1"/>
  <c r="AD33" i="1"/>
  <c r="AD29" i="1"/>
  <c r="AD26" i="1"/>
  <c r="AD30" i="1"/>
  <c r="AD46" i="1"/>
  <c r="AD42" i="1"/>
  <c r="AD38" i="1"/>
  <c r="AD34" i="1"/>
  <c r="H69" i="1"/>
  <c r="AB47" i="1"/>
  <c r="M47" i="1"/>
  <c r="W47" i="1"/>
  <c r="E55" i="1" s="1"/>
  <c r="H55" i="1" s="1"/>
  <c r="X47" i="1"/>
  <c r="E56" i="1" s="1"/>
  <c r="H56" i="1" s="1"/>
  <c r="E69" i="1"/>
  <c r="AB25" i="1" l="1"/>
  <c r="AB43" i="1"/>
  <c r="AB39" i="1"/>
  <c r="AB35" i="1"/>
  <c r="AB31" i="1"/>
  <c r="AB27" i="1"/>
  <c r="AB28" i="1"/>
  <c r="AB44" i="1"/>
  <c r="AB40" i="1"/>
  <c r="AB36" i="1"/>
  <c r="AB32" i="1"/>
  <c r="AB46" i="1"/>
  <c r="AB42" i="1"/>
  <c r="AB38" i="1"/>
  <c r="AB34" i="1"/>
  <c r="AB30" i="1"/>
  <c r="AB45" i="1"/>
  <c r="AB41" i="1"/>
  <c r="AB37" i="1"/>
  <c r="AB33" i="1"/>
  <c r="AB29" i="1"/>
  <c r="AB26" i="1"/>
  <c r="Y47" i="1"/>
  <c r="E57" i="1" s="1"/>
  <c r="H57" i="1" s="1"/>
  <c r="V47" i="1"/>
  <c r="AJ47" i="1" l="1"/>
  <c r="E54" i="1"/>
  <c r="H54" i="1" s="1"/>
  <c r="Z47" i="1" l="1"/>
  <c r="AK47" i="1" s="1"/>
  <c r="AL47" i="1"/>
  <c r="AR47" i="1"/>
  <c r="AT47" i="1" s="1"/>
  <c r="AQ47" i="1"/>
  <c r="AO47" i="1"/>
  <c r="E70" i="1" s="1"/>
  <c r="E58" i="1" l="1"/>
  <c r="H58" i="1" s="1"/>
  <c r="AS47" i="1"/>
  <c r="AU47" i="1" s="1"/>
  <c r="AM47" i="1"/>
  <c r="AP47" i="1"/>
  <c r="H70" i="1"/>
  <c r="E75" i="1"/>
  <c r="E59" i="1" l="1"/>
  <c r="E71" i="1"/>
  <c r="E76" i="1" s="1"/>
  <c r="H59" i="1"/>
  <c r="H75" i="1"/>
  <c r="H71" i="1" l="1"/>
  <c r="H72" i="1" s="1"/>
  <c r="J73" i="1" s="1"/>
  <c r="E72" i="1"/>
  <c r="G77" i="1"/>
  <c r="F77" i="1"/>
  <c r="H76" i="1" l="1"/>
  <c r="J77" i="1" l="1"/>
  <c r="I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<sst xmlns="http://schemas.openxmlformats.org/spreadsheetml/2006/main" count="191" uniqueCount="138">
  <si>
    <t>Data</t>
  </si>
  <si>
    <t>SKB ID</t>
  </si>
  <si>
    <t>Proforma Invoice</t>
  </si>
  <si>
    <t>Incoterm</t>
  </si>
  <si>
    <t>Modal</t>
  </si>
  <si>
    <t>Destinação</t>
  </si>
  <si>
    <t>Moeda</t>
  </si>
  <si>
    <t>Solicitante</t>
  </si>
  <si>
    <t>ID</t>
  </si>
  <si>
    <t>Código</t>
  </si>
  <si>
    <t>Descrição</t>
  </si>
  <si>
    <t>Quantidade</t>
  </si>
  <si>
    <t>Valor Unitário</t>
  </si>
  <si>
    <t>Valor Total</t>
  </si>
  <si>
    <t>Custo Unitário</t>
  </si>
  <si>
    <t>Peso Liquido</t>
  </si>
  <si>
    <t>Valor Aduaneiro</t>
  </si>
  <si>
    <t>NCM</t>
  </si>
  <si>
    <t>Al. II</t>
  </si>
  <si>
    <t>Al.PIS</t>
  </si>
  <si>
    <t>Al. COFINS</t>
  </si>
  <si>
    <t>Al. IPI</t>
  </si>
  <si>
    <t>Al. ICMS</t>
  </si>
  <si>
    <t>Aliq. ICMS (Revenda)</t>
  </si>
  <si>
    <t>Valor II</t>
  </si>
  <si>
    <t>Valor PIS</t>
  </si>
  <si>
    <t>Valor COFINS</t>
  </si>
  <si>
    <t>Valor IPI</t>
  </si>
  <si>
    <t>Valor ICMS</t>
  </si>
  <si>
    <t>AFRMM</t>
  </si>
  <si>
    <t>Tx. Siscomex</t>
  </si>
  <si>
    <t>Arm. e Mov.</t>
  </si>
  <si>
    <t>Taxas do Frete</t>
  </si>
  <si>
    <t>Capatazia</t>
  </si>
  <si>
    <t>Taxas Exworks</t>
  </si>
  <si>
    <t>Despachante</t>
  </si>
  <si>
    <t>Frete Local</t>
  </si>
  <si>
    <t>Valor ICMS (Revenda)</t>
  </si>
  <si>
    <t>Bonificação</t>
  </si>
  <si>
    <t>Total</t>
  </si>
  <si>
    <t>Observações</t>
  </si>
  <si>
    <t>Taxa Moeda</t>
  </si>
  <si>
    <t>Previsão</t>
  </si>
  <si>
    <t>Embarque</t>
  </si>
  <si>
    <t>Antecipação</t>
  </si>
  <si>
    <t>Chegada</t>
  </si>
  <si>
    <t>Fechamento</t>
  </si>
  <si>
    <t>FOB</t>
  </si>
  <si>
    <t>Frete</t>
  </si>
  <si>
    <t>Seguro</t>
  </si>
  <si>
    <t>Sub-Total</t>
  </si>
  <si>
    <t>Impostos</t>
  </si>
  <si>
    <t>PIS</t>
  </si>
  <si>
    <t>COFINS</t>
  </si>
  <si>
    <t>IPI</t>
  </si>
  <si>
    <t>ICMS</t>
  </si>
  <si>
    <t>Despesas</t>
  </si>
  <si>
    <t>Armazenagem e Movimentação</t>
  </si>
  <si>
    <t>Taxas do Destino</t>
  </si>
  <si>
    <t>Outras</t>
  </si>
  <si>
    <t>Bonificação Financeira</t>
  </si>
  <si>
    <t>Despesas Acessórias</t>
  </si>
  <si>
    <t>EXW</t>
  </si>
  <si>
    <t>EUR</t>
  </si>
  <si>
    <t>CIF</t>
  </si>
  <si>
    <t>By Sea</t>
  </si>
  <si>
    <t>By Air</t>
  </si>
  <si>
    <t>Entreposto</t>
  </si>
  <si>
    <t>Insumo</t>
  </si>
  <si>
    <t>Imobilizado</t>
  </si>
  <si>
    <t>Uso e Consumo</t>
  </si>
  <si>
    <t>CIP</t>
  </si>
  <si>
    <t>USD</t>
  </si>
  <si>
    <t>BRL</t>
  </si>
  <si>
    <t>Número de NCMs</t>
  </si>
  <si>
    <t>Fixa</t>
  </si>
  <si>
    <t>Variável</t>
  </si>
  <si>
    <t>Incoterms</t>
  </si>
  <si>
    <t>Serviço</t>
  </si>
  <si>
    <t>Limite</t>
  </si>
  <si>
    <t>Parâmetro</t>
  </si>
  <si>
    <t>valor</t>
  </si>
  <si>
    <t>Carregamento de Veículo – Até 10kg</t>
  </si>
  <si>
    <t>Docto Liber.</t>
  </si>
  <si>
    <t>Revenda</t>
  </si>
  <si>
    <t>Carregamento de Veículo – 10,01kg a 30kg</t>
  </si>
  <si>
    <t>Carregamento de Veículo – 30,01kg a 100kg</t>
  </si>
  <si>
    <t>Raw Material</t>
  </si>
  <si>
    <t>Carregamento de Veículo – 100,01kg a 500kg</t>
  </si>
  <si>
    <t>Carregamento de Veículo – 500,01kg a 1.000kg</t>
  </si>
  <si>
    <t>Carregamento de Veículo – 1.000,01kg a 4.000kg</t>
  </si>
  <si>
    <t>Carregamento de Veículo – 4.000,01kg a 7.000kg</t>
  </si>
  <si>
    <t>Carregamento de Veículo – 7.000,01kg a 10.000kg</t>
  </si>
  <si>
    <t>Carregamento de Veículo – Adicional de carga desunitizada (movimentação manual)</t>
  </si>
  <si>
    <t>Hora ou Fração</t>
  </si>
  <si>
    <t>Taxas de Origem</t>
  </si>
  <si>
    <t>Exworks</t>
  </si>
  <si>
    <t>Saldo</t>
  </si>
  <si>
    <t>Trading/Despachante</t>
  </si>
  <si>
    <t>Tradin/Despachante</t>
  </si>
  <si>
    <t>Rio Doce</t>
  </si>
  <si>
    <t>Macroex</t>
  </si>
  <si>
    <t>Superia</t>
  </si>
  <si>
    <t>Aliq. IPI (Revenda)</t>
  </si>
  <si>
    <t>Valor IPI (Revenda)</t>
  </si>
  <si>
    <t>Derivação</t>
  </si>
  <si>
    <t>Reve.</t>
  </si>
  <si>
    <t>Valor Final</t>
  </si>
  <si>
    <t>Custo</t>
  </si>
  <si>
    <t>Sug.</t>
  </si>
  <si>
    <t>Atracação</t>
  </si>
  <si>
    <t>Origem</t>
  </si>
  <si>
    <t>China</t>
  </si>
  <si>
    <t>Italia</t>
  </si>
  <si>
    <t>Disponibilidade</t>
  </si>
  <si>
    <t>Brasil</t>
  </si>
  <si>
    <t>Tempo de Embarque</t>
  </si>
  <si>
    <t>Tempo de trânsito</t>
  </si>
  <si>
    <t>Tempo de Nacionalização</t>
  </si>
  <si>
    <t>Concatenar</t>
  </si>
  <si>
    <t>Freight</t>
  </si>
  <si>
    <t>Insurance</t>
  </si>
  <si>
    <t>Expenses</t>
  </si>
  <si>
    <t>Freight+Insurance</t>
  </si>
  <si>
    <t>Avg Gross Sales Price (BRL/machine)</t>
  </si>
  <si>
    <t>Taxes Over Sales (-%)</t>
  </si>
  <si>
    <t>Avg Net Sales Price (BRL/machine)</t>
  </si>
  <si>
    <t>Exchange Rate</t>
  </si>
  <si>
    <t>Avg Net Sales Price (USD/machine)</t>
  </si>
  <si>
    <t>FOB Cost (USD/machine)</t>
  </si>
  <si>
    <t>Freight (USD/machine)</t>
  </si>
  <si>
    <t>Insurance (USD/machine)</t>
  </si>
  <si>
    <t>Import Tax (%)</t>
  </si>
  <si>
    <t>Import Taxes (USD/machine)</t>
  </si>
  <si>
    <t>Import Expenses (USD/machine)</t>
  </si>
  <si>
    <t>Total Cost (USD/machine)</t>
  </si>
  <si>
    <t>Gross Margin</t>
  </si>
  <si>
    <t>Custo Prévio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</si>
</sst>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R$&quot;\ * #,##0.00_-;\-&quot;R$&quot;\ * #,##0.00_-;_-&quot;R$&quot;\ * &quot;-&quot;??_-;_-@_-"/>
    <numFmt numFmtId="165" formatCode="_-[$USD]\ * #,##0.00_-;\-[$USD]\ * #,##0.00_-;_-[$USD]\ * &quot;-&quot;??_-;_-@_-"/>
    <numFmt numFmtId="166" formatCode="0.0%"/>
    <numFmt numFmtId="167" formatCode="_-[$BRL]\ * #,##0.00_-;\-[$BRL]\ * #,##0.00_-;_-[$BRL]\ * &quot;-&quot;??_-;_-@_-"/>
    <numFmt numFmtId="168" formatCode="_-[$BRL]\ * #,##0.0000_-;\-[$BRL]\ * #,##0.0000_-;_-[$BRL]\ * &quot;-&quot;??_-;_-@_-"/>
    <numFmt numFmtId="169" formatCode="[$BRL]\ #,##0.00"/>
    <numFmt numFmtId="170" formatCode="_-[$BRL]\ * #,##0.0000_-;\-[$BRL]\ * #,##0.0000_-;_-[$BRL]\ * &quot;-&quot;????_-;_-@_-"/>
    <numFmt numFmtId="171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7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theme="0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thin">
        <color indexed="64"/>
      </right>
      <top style="thin">
        <color auto="1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thin">
        <color indexed="64"/>
      </top>
      <bottom/>
      <diagonal/>
    </border>
    <border>
      <left style="dotted">
        <color theme="0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dotted">
        <color theme="0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4" fillId="0" borderId="2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horizontal="centerContinuous" vertical="center"/>
      <protection locked="0"/>
    </xf>
    <xf numFmtId="168" fontId="4" fillId="0" borderId="23" xfId="1" applyNumberFormat="1" applyFont="1" applyBorder="1" applyAlignment="1" applyProtection="1">
      <alignment vertical="center"/>
      <protection locked="0"/>
    </xf>
    <xf numFmtId="14" fontId="4" fillId="0" borderId="23" xfId="1" applyNumberFormat="1" applyFont="1" applyBorder="1" applyAlignment="1" applyProtection="1">
      <alignment horizontal="center" vertical="center"/>
      <protection locked="0"/>
    </xf>
    <xf numFmtId="10" fontId="4" fillId="0" borderId="2" xfId="2" applyNumberFormat="1" applyFont="1" applyBorder="1" applyAlignment="1" applyProtection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Continuous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7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7" fontId="4" fillId="3" borderId="2" xfId="0" applyNumberFormat="1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12" xfId="0" applyFont="1" applyBorder="1" applyAlignment="1" applyProtection="1">
      <alignment horizontal="centerContinuous" vertical="center"/>
      <protection locked="0"/>
    </xf>
    <xf numFmtId="167" fontId="4" fillId="0" borderId="2" xfId="0" applyNumberFormat="1" applyFont="1" applyBorder="1" applyAlignment="1" applyProtection="1">
      <alignment vertical="center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2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166" fontId="4" fillId="0" borderId="3" xfId="2" applyNumberFormat="1" applyFont="1" applyFill="1" applyBorder="1" applyAlignment="1" applyProtection="1">
      <alignment horizontal="center" vertical="center"/>
      <protection locked="0"/>
    </xf>
    <xf numFmtId="10" fontId="4" fillId="0" borderId="3" xfId="2" applyNumberFormat="1" applyFont="1" applyFill="1" applyBorder="1" applyAlignment="1" applyProtection="1">
      <alignment horizontal="center" vertical="center"/>
      <protection locked="0"/>
    </xf>
    <xf numFmtId="9" fontId="4" fillId="0" borderId="3" xfId="2" applyFont="1" applyFill="1" applyBorder="1" applyAlignment="1" applyProtection="1">
      <alignment horizontal="center" vertical="center"/>
      <protection locked="0"/>
    </xf>
    <xf numFmtId="10" fontId="4" fillId="0" borderId="3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165" fontId="4" fillId="0" borderId="2" xfId="0" applyNumberFormat="1" applyFont="1" applyBorder="1" applyAlignment="1" applyProtection="1">
      <alignment vertical="center"/>
      <protection locked="0"/>
    </xf>
    <xf numFmtId="168" fontId="4" fillId="0" borderId="0" xfId="1" applyNumberFormat="1" applyFont="1" applyBorder="1" applyAlignment="1" applyProtection="1">
      <alignment vertical="center"/>
      <protection locked="0"/>
    </xf>
    <xf numFmtId="14" fontId="4" fillId="0" borderId="0" xfId="1" applyNumberFormat="1" applyFont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170" fontId="4" fillId="0" borderId="2" xfId="0" applyNumberFormat="1" applyFont="1" applyBorder="1" applyAlignment="1" applyProtection="1">
      <alignment vertical="center"/>
      <protection locked="0"/>
    </xf>
    <xf numFmtId="0" fontId="5" fillId="4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left" vertical="center"/>
      <protection locked="0"/>
    </xf>
    <xf numFmtId="0" fontId="4" fillId="5" borderId="12" xfId="0" applyFont="1" applyFill="1" applyBorder="1" applyAlignment="1" applyProtection="1">
      <alignment horizontal="centerContinuous" vertical="center"/>
      <protection locked="0"/>
    </xf>
    <xf numFmtId="0" fontId="4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171" fontId="4" fillId="0" borderId="2" xfId="1" applyNumberFormat="1" applyFont="1" applyBorder="1" applyAlignment="1" applyProtection="1">
      <alignment horizontal="center" vertical="center"/>
      <protection locked="0"/>
    </xf>
    <xf numFmtId="171" fontId="4" fillId="0" borderId="2" xfId="1" applyNumberFormat="1" applyFont="1" applyBorder="1" applyAlignment="1" applyProtection="1">
      <alignment horizontal="center" vertical="center"/>
    </xf>
    <xf numFmtId="0" fontId="5" fillId="2" borderId="45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textRotation="90"/>
    </xf>
    <xf numFmtId="0" fontId="5" fillId="2" borderId="47" xfId="0" applyFont="1" applyFill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textRotation="90"/>
    </xf>
    <xf numFmtId="0" fontId="5" fillId="2" borderId="37" xfId="0" applyFont="1" applyFill="1" applyBorder="1" applyAlignment="1">
      <alignment horizontal="center" vertical="center" textRotation="90"/>
    </xf>
    <xf numFmtId="0" fontId="5" fillId="2" borderId="3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0" borderId="13" xfId="0" applyFont="1" applyBorder="1" applyAlignment="1" applyProtection="1">
      <alignment horizontal="left" vertical="top" wrapText="1"/>
      <protection locked="0"/>
    </xf>
    <xf numFmtId="0" fontId="4" fillId="0" borderId="15" xfId="0" applyFont="1" applyBorder="1" applyAlignment="1" applyProtection="1">
      <alignment horizontal="left" vertical="top"/>
      <protection locked="0"/>
    </xf>
    <xf numFmtId="0" fontId="4" fillId="0" borderId="14" xfId="0" applyFont="1" applyBorder="1" applyAlignment="1" applyProtection="1">
      <alignment horizontal="left" vertical="top"/>
      <protection locked="0"/>
    </xf>
    <xf numFmtId="0" fontId="4" fillId="0" borderId="16" xfId="0" applyFont="1" applyBorder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17" xfId="0" applyFont="1" applyBorder="1" applyAlignment="1" applyProtection="1">
      <alignment horizontal="left" vertical="top"/>
      <protection locked="0"/>
    </xf>
    <xf numFmtId="0" fontId="4" fillId="0" borderId="18" xfId="0" applyFont="1" applyBorder="1" applyAlignment="1" applyProtection="1">
      <alignment horizontal="left" vertical="top"/>
      <protection locked="0"/>
    </xf>
    <xf numFmtId="0" fontId="4" fillId="0" borderId="19" xfId="0" applyFont="1" applyBorder="1" applyAlignment="1" applyProtection="1">
      <alignment horizontal="left" vertical="top"/>
      <protection locked="0"/>
    </xf>
    <xf numFmtId="0" fontId="4" fillId="0" borderId="20" xfId="0" applyFont="1" applyBorder="1" applyAlignment="1" applyProtection="1">
      <alignment horizontal="left" vertical="top"/>
      <protection locked="0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textRotation="90"/>
    </xf>
    <xf numFmtId="0" fontId="5" fillId="2" borderId="40" xfId="0" applyFont="1" applyFill="1" applyBorder="1" applyAlignment="1">
      <alignment horizontal="center" vertical="center" textRotation="90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34">
    <dxf>
      <numFmt numFmtId="172" formatCode="[$USD]\ #,##0.00"/>
    </dxf>
    <dxf>
      <numFmt numFmtId="173" formatCode="[$EUR]\ #,##0.00"/>
    </dxf>
    <dxf>
      <numFmt numFmtId="169" formatCode="[$BRL]\ #,##0.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72" formatCode="[$USD]\ #,##0.00"/>
    </dxf>
    <dxf>
      <numFmt numFmtId="173" formatCode="[$EUR]\ #,##0.00"/>
    </dxf>
    <dxf>
      <numFmt numFmtId="169" formatCode="[$BRL]\ #,##0.00"/>
    </dxf>
    <dxf>
      <numFmt numFmtId="172" formatCode="[$USD]\ #,##0.00"/>
    </dxf>
    <dxf>
      <numFmt numFmtId="173" formatCode="[$EUR]\ #,##0.00"/>
    </dxf>
    <dxf>
      <numFmt numFmtId="169" formatCode="[$BRL]\ #,##0.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theme="5" tint="-0.24994659260841701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[$BRL]\ #,##0.00"/>
    </dxf>
    <dxf>
      <numFmt numFmtId="167" formatCode="_-[$BRL]\ * #,##0.00_-;\-[$BRL]\ * #,##0.00_-;_-[$BRL]\ * &quot;-&quot;??_-;_-@_-"/>
    </dxf>
    <dxf>
      <numFmt numFmtId="167" formatCode="_-[$BRL]\ * #,##0.00_-;\-[$BRL]\ * #,##0.00_-;_-[$BRL]\ * &quot;-&quot;??_-;_-@_-"/>
    </dxf>
    <dxf>
      <numFmt numFmtId="167" formatCode="_-[$BRL]\ * #,##0.00_-;\-[$BRL]\ * #,##0.00_-;_-[$BRL]\ * &quot;-&quot;??_-;_-@_-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1410988</xdr:colOff>
      <xdr:row>1</xdr:row>
      <xdr:rowOff>17318</xdr:rowOff>
    </xdr:from>
    <xdr:to>
      <xdr:col>9</xdr:col>
      <xdr:colOff>1668894</xdr:colOff>
      <xdr:row>3</xdr:row>
      <xdr:rowOff>917863</xdr:rowOff>
    </xdr:to>
    <xdr:pic>
      <xdr:nvPicPr>
        <xdr:cNvPr id="2" name="Imagem 1" descr="SkySto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0988" y="311727"/>
          <a:ext cx="4200101" cy="117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35283-C2C9-41EB-9809-06CABF0AF02F}" name="Apoio_Tabela_Siscomex3" displayName="Apoio_Tabela_Siscomex3" ref="A1:D52" totalsRowShown="0" headerRowDxfId="33">
  <autoFilter ref="A1:D52" xr:uid="{84035283-C2C9-41EB-9809-06CABF0AF02F}"/>
  <tableColumns count="4">
    <tableColumn id="1" xr3:uid="{F75D0399-C0E5-473A-87DA-EA6EB31397DA}" name="Número de NCMs"/>
    <tableColumn id="2" xr3:uid="{37AB7AED-DED0-4AA8-85E3-9609F6D64FE9}" name="Fixa" dataDxfId="32"/>
    <tableColumn id="3" xr3:uid="{42A9C6B0-2408-4CFF-BB01-713E3D4C74EA}" name="Variável" dataDxfId="31"/>
    <tableColumn id="4" xr3:uid="{846E7B57-63D4-4DD3-B814-7C1641DA7461}" name="Valor Final" dataDxfId="30">
      <calculatedColumnFormula>SUM($C$2:C2)+Apoio_Tabela_Siscomex3[[#This Row],[Fixa]]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B5A52-2E2E-48B1-96E2-CC95F73E1331}" name="Incoterm4" displayName="Incoterm4" ref="F1:F5" totalsRowShown="0">
  <autoFilter ref="F1:F5" xr:uid="{4B7B5A52-2E2E-48B1-96E2-CC95F73E1331}"/>
  <tableColumns count="1">
    <tableColumn id="1" xr3:uid="{E0C3A170-8E30-4459-81D1-2CA7746189A7}" name="Incoterm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04592-6485-428B-940A-8781774EF2F1}" name="Modal5" displayName="Modal5" ref="H1:H4" totalsRowShown="0">
  <autoFilter ref="H1:H4" xr:uid="{B6804592-6485-428B-940A-8781774EF2F1}"/>
  <tableColumns count="1">
    <tableColumn id="1" xr3:uid="{F3B29CFF-4189-4650-BC66-17598DB15938}" name="Mod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832601-9D4A-4FDB-B98E-83C229F14411}" name="Destinacao6" displayName="Destinacao6" ref="J1:J6" totalsRowShown="0">
  <autoFilter ref="J1:J6" xr:uid="{2E832601-9D4A-4FDB-B98E-83C229F14411}"/>
  <tableColumns count="1">
    <tableColumn id="1" xr3:uid="{E2A4C943-E46E-4964-9DCB-B6D553A4813E}" name="Destinaçã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5D453B-27A7-437F-B956-F3878C71CC34}" name="Tabela5" displayName="Tabela5" ref="L1:L4" totalsRowShown="0">
  <autoFilter ref="L1:L4" xr:uid="{BC5D453B-27A7-437F-B956-F3878C71CC34}"/>
  <tableColumns count="1">
    <tableColumn id="1" xr3:uid="{392B7567-A16B-44E3-A2A4-8D0F94CEED39}" name="Moed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69B4E6-EB91-4B5E-9A7D-85DC251283FD}" name="Tabela6" displayName="Tabela6" ref="N1:Q10" totalsRowShown="0">
  <autoFilter ref="N1:Q10" xr:uid="{0169B4E6-EB91-4B5E-9A7D-85DC251283FD}"/>
  <tableColumns count="4">
    <tableColumn id="1" xr3:uid="{B3805899-715E-4911-8268-C20500A4DB78}" name="Serviço"/>
    <tableColumn id="4" xr3:uid="{D37811C8-D5B6-4301-9ACB-21A13BEAE731}" name="Limite"/>
    <tableColumn id="2" xr3:uid="{0E4A621C-B6D3-4567-933A-83A3765F16B0}" name="Parâmetro"/>
    <tableColumn id="3" xr3:uid="{81F48D46-B1A8-4213-8A17-46E925383866}" name="valor" dataDxfId="2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8ABB3-655C-410D-8852-3B8232070945}" name="Tabela1" displayName="Tabela1" ref="S1:U4" totalsRowShown="0">
  <autoFilter ref="S1:U4" xr:uid="{CCF8ABB3-655C-410D-8852-3B8232070945}"/>
  <tableColumns count="3">
    <tableColumn id="1" xr3:uid="{8125BA40-3F7F-4F08-B3ED-764AE5D1800E}" name="Tradin/Despachante"/>
    <tableColumn id="2" xr3:uid="{0A45BD5D-67B4-426B-B0AA-496E4E2AE9AE}" name="Bonificação"/>
    <tableColumn id="3" xr3:uid="{BFAB5254-AD1C-4FC9-AFFA-946489309661}" name="Cust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250178-1CF4-4DB8-8F0E-787EB438A12F}" name="Tabela8" displayName="Tabela8" ref="W1:AB6" totalsRowShown="0" headerRowDxfId="28" dataDxfId="27">
  <autoFilter ref="W1:AB6" xr:uid="{0F250178-1CF4-4DB8-8F0E-787EB438A12F}"/>
  <tableColumns count="6">
    <tableColumn id="1" xr3:uid="{C71A9438-2DC3-4A4D-A0B3-86934273FD0C}" name="Origem" dataDxfId="26"/>
    <tableColumn id="2" xr3:uid="{78E4F941-2153-4E1B-AA65-2C6C285F1121}" name="Modal" dataDxfId="25"/>
    <tableColumn id="6" xr3:uid="{4CFEE94A-14CC-45D3-A57D-2E0800B79AF1}" name="Concatenar" dataDxfId="24">
      <calculatedColumnFormula>W2&amp;X2</calculatedColumnFormula>
    </tableColumn>
    <tableColumn id="3" xr3:uid="{203765AE-733C-4E90-A549-097AA4E2AC26}" name="Tempo de Embarque" dataDxfId="23"/>
    <tableColumn id="4" xr3:uid="{ED4DA38C-B92A-40FD-B1CB-DF052B18660E}" name="Tempo de trânsito" dataDxfId="22"/>
    <tableColumn id="5" xr3:uid="{04684FB9-02FB-42A9-9A65-B29568F11022}" name="Tempo de Nacionalização" dataDxfId="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DFBA-BD80-416D-A99E-D1677097B7B2}">
  <sheetPr codeName="Planilha1">
    <pageSetUpPr fitToPage="1"/>
  </sheetPr>
  <dimension ref="A2:BQ82"/>
  <sheetViews>
    <sheetView showGridLines="0" tabSelected="1" zoomScale="55" zoomScaleNormal="55" zoomScaleSheetLayoutView="55" workbookViewId="0">
      <selection activeCell="B2" sqref="B2"/>
    </sheetView>
  </sheetViews>
  <sheetFormatPr defaultColWidth="8.7109375" defaultRowHeight="23.25" x14ac:dyDescent="0.25"/>
  <cols>
    <col min="1" max="1" width="2" style="10" customWidth="1"/>
    <col min="2" max="2" width="5.28515625" style="10" bestFit="1" customWidth="1"/>
    <col min="3" max="3" width="29.42578125" style="10" customWidth="1"/>
    <col min="4" max="4" width="46" style="10" customWidth="1"/>
    <col min="5" max="10" width="29.7109375" style="10" customWidth="1"/>
    <col min="11" max="11" width="1.85546875" style="10" customWidth="1"/>
    <col min="12" max="12" width="23.140625" style="10" bestFit="1" customWidth="1"/>
    <col min="13" max="13" width="25.28515625" style="10" bestFit="1" customWidth="1"/>
    <col min="14" max="14" width="18" style="10" bestFit="1" customWidth="1"/>
    <col min="15" max="15" width="11.7109375" style="10" customWidth="1"/>
    <col min="16" max="16" width="10.28515625" style="10" bestFit="1" customWidth="1"/>
    <col min="17" max="17" width="16.5703125" style="10" bestFit="1" customWidth="1"/>
    <col min="18" max="18" width="12.5703125" style="10" customWidth="1"/>
    <col min="19" max="19" width="13.140625" style="10" bestFit="1" customWidth="1"/>
    <col min="20" max="20" width="31.7109375" style="10" bestFit="1" customWidth="1"/>
    <col min="21" max="21" width="27.85546875" style="10" bestFit="1" customWidth="1"/>
    <col min="22" max="22" width="23" style="10" bestFit="1" customWidth="1"/>
    <col min="23" max="23" width="20.85546875" style="10" bestFit="1" customWidth="1"/>
    <col min="24" max="24" width="23" style="10" bestFit="1" customWidth="1"/>
    <col min="25" max="25" width="18.42578125" style="10" customWidth="1"/>
    <col min="26" max="26" width="17.140625" style="10" bestFit="1" customWidth="1"/>
    <col min="27" max="27" width="1.7109375" style="10" customWidth="1"/>
    <col min="28" max="28" width="16.28515625" style="10" bestFit="1" customWidth="1"/>
    <col min="29" max="29" width="19.7109375" style="10" bestFit="1" customWidth="1"/>
    <col min="30" max="30" width="19.42578125" style="10" bestFit="1" customWidth="1"/>
    <col min="31" max="31" width="22.42578125" style="10" bestFit="1" customWidth="1"/>
    <col min="32" max="32" width="16.28515625" style="10" bestFit="1" customWidth="1"/>
    <col min="33" max="33" width="22.7109375" style="10" bestFit="1" customWidth="1"/>
    <col min="34" max="34" width="20.140625" style="10" bestFit="1" customWidth="1"/>
    <col min="35" max="35" width="17.5703125" style="10" bestFit="1" customWidth="1"/>
    <col min="36" max="36" width="22.42578125" style="10" bestFit="1" customWidth="1"/>
    <col min="37" max="37" width="22" style="10" bestFit="1" customWidth="1"/>
    <col min="38" max="39" width="24.28515625" style="10" bestFit="1" customWidth="1"/>
    <col min="40" max="40" width="2.7109375" customWidth="1"/>
    <col min="41" max="41" width="30.5703125" bestFit="1" customWidth="1"/>
    <col min="42" max="42" width="29.28515625" style="10" bestFit="1" customWidth="1"/>
    <col min="43" max="43" width="20.85546875" style="10" bestFit="1" customWidth="1"/>
    <col min="44" max="44" width="22.42578125" style="10" bestFit="1" customWidth="1"/>
    <col min="45" max="45" width="22" style="10" bestFit="1" customWidth="1"/>
    <col min="46" max="46" width="22.42578125" style="10" bestFit="1" customWidth="1"/>
    <col min="47" max="47" width="22" style="10" bestFit="1" customWidth="1"/>
    <col min="48" max="48" width="4" style="10" customWidth="1"/>
    <col min="49" max="51" width="17.28515625" style="10" customWidth="1"/>
    <col min="52" max="52" width="25.140625" style="10" bestFit="1" customWidth="1"/>
    <col min="53" max="53" width="17.28515625" style="10" customWidth="1"/>
    <col min="54" max="54" width="5.140625" style="10" customWidth="1"/>
    <col min="55" max="55" width="51" style="10" bestFit="1" customWidth="1"/>
    <col min="56" max="56" width="30.85546875" style="10" bestFit="1" customWidth="1"/>
    <col min="57" max="57" width="48.140625" style="10" bestFit="1" customWidth="1"/>
    <col min="58" max="58" width="20.85546875" style="10" bestFit="1" customWidth="1"/>
    <col min="59" max="59" width="49" style="10" bestFit="1" customWidth="1"/>
    <col min="60" max="60" width="4.28515625" style="10" customWidth="1"/>
    <col min="61" max="61" width="35.140625" style="10" bestFit="1" customWidth="1"/>
    <col min="62" max="62" width="32.28515625" style="10" bestFit="1" customWidth="1"/>
    <col min="63" max="63" width="35.7109375" style="10" bestFit="1" customWidth="1"/>
    <col min="64" max="64" width="21.140625" style="10" bestFit="1" customWidth="1"/>
    <col min="65" max="65" width="40.7109375" style="10" bestFit="1" customWidth="1"/>
    <col min="66" max="66" width="45.28515625" style="10" bestFit="1" customWidth="1"/>
    <col min="67" max="67" width="36.28515625" style="10" bestFit="1" customWidth="1"/>
    <col min="68" max="68" width="3.28515625" style="10" customWidth="1"/>
    <col min="69" max="69" width="18.5703125" style="10" customWidth="1"/>
    <col min="70" max="16384" width="8.7109375" style="10"/>
  </cols>
  <sheetData>
    <row r="2" spans="2:12" ht="11.25" customHeight="1" x14ac:dyDescent="0.25"/>
    <row r="3" spans="2:12" ht="11.25" customHeight="1" x14ac:dyDescent="0.25"/>
    <row r="4" spans="2:12" ht="92.25" x14ac:dyDescent="0.25">
      <c r="E4" s="72" t="s">
        <v>137</v>
      </c>
    </row>
    <row r="5" spans="2:12" ht="18" customHeight="1" x14ac:dyDescent="0.25"/>
    <row r="6" spans="2:12" ht="18" customHeight="1" x14ac:dyDescent="0.25"/>
    <row r="7" spans="2:12" ht="27.75" customHeight="1" x14ac:dyDescent="0.25">
      <c r="B7" s="112" t="s">
        <v>0</v>
      </c>
      <c r="C7" s="113"/>
      <c r="D7" s="35"/>
      <c r="F7" s="96" t="s">
        <v>114</v>
      </c>
      <c r="G7" s="97"/>
      <c r="H7" s="73"/>
    </row>
    <row r="8" spans="2:12" ht="27.75" customHeight="1" x14ac:dyDescent="0.25">
      <c r="B8" s="98" t="s">
        <v>1</v>
      </c>
      <c r="C8" s="90"/>
      <c r="D8" s="36"/>
      <c r="F8" s="98" t="s">
        <v>43</v>
      </c>
      <c r="G8" s="90"/>
      <c r="H8" s="74" t="str">
        <f>IF(AND($H$7&lt;&gt;"",$D$10&lt;&gt;"",$D$12&lt;&gt;""),_xlfn.XLOOKUP($D$10&amp;$D$12,Apoio!$Y:$Y,Apoio!$Z:$Z)+H7,"")</f>
        <v/>
      </c>
    </row>
    <row r="9" spans="2:12" ht="27.75" customHeight="1" x14ac:dyDescent="0.25">
      <c r="B9" s="98" t="s">
        <v>2</v>
      </c>
      <c r="C9" s="90"/>
      <c r="D9" s="36"/>
      <c r="F9" s="99" t="s">
        <v>110</v>
      </c>
      <c r="G9" s="100"/>
      <c r="H9" s="74" t="str">
        <f>IF(AND($H$7&lt;&gt;"",$D$10&lt;&gt;"",$D$12&lt;&gt;""),_xlfn.XLOOKUP($D$10&amp;$D$12,Apoio!$Y:$Y,Apoio!$AA:$AA)+H8,"")</f>
        <v/>
      </c>
    </row>
    <row r="10" spans="2:12" ht="27.75" customHeight="1" x14ac:dyDescent="0.25">
      <c r="B10" s="98" t="s">
        <v>111</v>
      </c>
      <c r="C10" s="90"/>
      <c r="D10" s="36"/>
      <c r="E10" s="71"/>
      <c r="F10" s="110" t="s">
        <v>45</v>
      </c>
      <c r="G10" s="111"/>
      <c r="H10" s="74" t="str">
        <f>IF(AND($H$7&lt;&gt;"",$D$10&lt;&gt;"",$D$12&lt;&gt;""),_xlfn.XLOOKUP($D$10&amp;$D$12,Apoio!$Y:$Y,Apoio!$AB:$AB)+H9,"")</f>
        <v/>
      </c>
    </row>
    <row r="11" spans="2:12" ht="27.75" customHeight="1" x14ac:dyDescent="0.25">
      <c r="B11" s="98" t="s">
        <v>3</v>
      </c>
      <c r="C11" s="90"/>
      <c r="D11" s="36"/>
    </row>
    <row r="12" spans="2:12" ht="27.75" customHeight="1" x14ac:dyDescent="0.25">
      <c r="B12" s="98" t="s">
        <v>4</v>
      </c>
      <c r="C12" s="90"/>
      <c r="D12" s="36"/>
      <c r="F12" s="23"/>
      <c r="G12" s="12" t="s">
        <v>41</v>
      </c>
      <c r="H12" s="15" t="s">
        <v>0</v>
      </c>
      <c r="K12" s="11"/>
    </row>
    <row r="13" spans="2:12" ht="27.75" customHeight="1" x14ac:dyDescent="0.25">
      <c r="B13" s="98" t="s">
        <v>5</v>
      </c>
      <c r="C13" s="90"/>
      <c r="D13" s="36"/>
      <c r="F13" s="24" t="s">
        <v>42</v>
      </c>
      <c r="G13" s="7"/>
      <c r="H13" s="8"/>
      <c r="K13" s="11"/>
      <c r="L13" s="11"/>
    </row>
    <row r="14" spans="2:12" ht="27.75" customHeight="1" x14ac:dyDescent="0.25">
      <c r="B14" s="98" t="s">
        <v>6</v>
      </c>
      <c r="C14" s="90"/>
      <c r="D14" s="36"/>
      <c r="F14" s="25" t="s">
        <v>44</v>
      </c>
      <c r="G14" s="7"/>
      <c r="H14" s="8"/>
      <c r="K14" s="11"/>
      <c r="L14" s="11"/>
    </row>
    <row r="15" spans="2:12" ht="27.75" customHeight="1" x14ac:dyDescent="0.25">
      <c r="B15" s="98" t="s">
        <v>7</v>
      </c>
      <c r="C15" s="90"/>
      <c r="D15" s="36"/>
      <c r="F15" s="26" t="s">
        <v>46</v>
      </c>
      <c r="G15" s="7"/>
      <c r="H15" s="8"/>
      <c r="K15" s="11"/>
      <c r="L15" s="11"/>
    </row>
    <row r="16" spans="2:12" ht="27.75" customHeight="1" x14ac:dyDescent="0.25">
      <c r="B16" s="110" t="s">
        <v>98</v>
      </c>
      <c r="C16" s="111"/>
      <c r="D16" s="37"/>
      <c r="F16" s="59"/>
      <c r="G16" s="59"/>
      <c r="H16" s="60"/>
      <c r="K16" s="11"/>
      <c r="L16" s="11"/>
    </row>
    <row r="17" spans="2:69" customFormat="1" ht="14.25" customHeight="1" x14ac:dyDescent="0.25"/>
    <row r="18" spans="2:69" customFormat="1" ht="27.75" customHeight="1" x14ac:dyDescent="0.25">
      <c r="B18" s="96" t="s">
        <v>40</v>
      </c>
      <c r="C18" s="97"/>
      <c r="D18" s="10"/>
      <c r="E18" s="10"/>
      <c r="F18" s="10"/>
      <c r="G18" s="10"/>
      <c r="H18" s="10"/>
      <c r="I18" s="10"/>
    </row>
    <row r="19" spans="2:69" customFormat="1" ht="27.75" customHeight="1" x14ac:dyDescent="0.25">
      <c r="B19" s="101"/>
      <c r="C19" s="102"/>
      <c r="D19" s="102"/>
      <c r="E19" s="102"/>
      <c r="F19" s="102"/>
      <c r="G19" s="102"/>
      <c r="H19" s="102"/>
      <c r="I19" s="102"/>
      <c r="J19" s="103"/>
    </row>
    <row r="20" spans="2:69" customFormat="1" ht="27.75" customHeight="1" x14ac:dyDescent="0.25">
      <c r="B20" s="104"/>
      <c r="C20" s="105"/>
      <c r="D20" s="105"/>
      <c r="E20" s="105"/>
      <c r="F20" s="105"/>
      <c r="G20" s="105"/>
      <c r="H20" s="105"/>
      <c r="I20" s="105"/>
      <c r="J20" s="106"/>
    </row>
    <row r="21" spans="2:69" customFormat="1" ht="27.75" customHeight="1" x14ac:dyDescent="0.25">
      <c r="B21" s="104"/>
      <c r="C21" s="105"/>
      <c r="D21" s="105"/>
      <c r="E21" s="105"/>
      <c r="F21" s="105"/>
      <c r="G21" s="105"/>
      <c r="H21" s="105"/>
      <c r="I21" s="105"/>
      <c r="J21" s="106"/>
    </row>
    <row r="22" spans="2:69" customFormat="1" ht="27.75" customHeight="1" x14ac:dyDescent="0.25">
      <c r="B22" s="107"/>
      <c r="C22" s="108"/>
      <c r="D22" s="108"/>
      <c r="E22" s="108"/>
      <c r="F22" s="108"/>
      <c r="G22" s="108"/>
      <c r="H22" s="108"/>
      <c r="I22" s="108"/>
      <c r="J22" s="109"/>
    </row>
    <row r="23" spans="2:69" ht="27.75" customHeight="1" x14ac:dyDescent="0.25"/>
    <row r="24" spans="2:69" s="16" customFormat="1" ht="27.75" customHeight="1" x14ac:dyDescent="0.25">
      <c r="B24" s="12" t="s">
        <v>8</v>
      </c>
      <c r="C24" s="13" t="s">
        <v>9</v>
      </c>
      <c r="D24" s="14" t="s">
        <v>10</v>
      </c>
      <c r="E24" s="14"/>
      <c r="F24" s="13" t="s">
        <v>105</v>
      </c>
      <c r="G24" s="13" t="s">
        <v>11</v>
      </c>
      <c r="H24" s="13" t="s">
        <v>12</v>
      </c>
      <c r="I24" s="13" t="s">
        <v>13</v>
      </c>
      <c r="J24" s="15" t="s">
        <v>14</v>
      </c>
      <c r="L24" s="17" t="s">
        <v>15</v>
      </c>
      <c r="M24" s="18" t="s">
        <v>16</v>
      </c>
      <c r="N24" s="18" t="s">
        <v>17</v>
      </c>
      <c r="O24" s="18" t="s">
        <v>18</v>
      </c>
      <c r="P24" s="18" t="s">
        <v>19</v>
      </c>
      <c r="Q24" s="18" t="s">
        <v>20</v>
      </c>
      <c r="R24" s="18" t="s">
        <v>21</v>
      </c>
      <c r="S24" s="67" t="s">
        <v>22</v>
      </c>
      <c r="T24" s="67" t="s">
        <v>23</v>
      </c>
      <c r="U24" s="18" t="s">
        <v>103</v>
      </c>
      <c r="V24" s="18" t="s">
        <v>24</v>
      </c>
      <c r="W24" s="18" t="s">
        <v>25</v>
      </c>
      <c r="X24" s="18" t="s">
        <v>26</v>
      </c>
      <c r="Y24" s="18" t="s">
        <v>27</v>
      </c>
      <c r="Z24" s="19" t="s">
        <v>28</v>
      </c>
      <c r="AB24" s="17" t="s">
        <v>29</v>
      </c>
      <c r="AC24" s="18" t="s">
        <v>30</v>
      </c>
      <c r="AD24" s="18" t="s">
        <v>31</v>
      </c>
      <c r="AE24" s="18" t="s">
        <v>32</v>
      </c>
      <c r="AF24" s="18" t="s">
        <v>33</v>
      </c>
      <c r="AG24" s="18" t="s">
        <v>34</v>
      </c>
      <c r="AH24" s="18" t="s">
        <v>35</v>
      </c>
      <c r="AI24" s="18" t="s">
        <v>36</v>
      </c>
      <c r="AJ24" s="18" t="s">
        <v>14</v>
      </c>
      <c r="AK24" s="18" t="s">
        <v>12</v>
      </c>
      <c r="AL24" s="18" t="s">
        <v>14</v>
      </c>
      <c r="AM24" s="19" t="s">
        <v>12</v>
      </c>
      <c r="AN24"/>
      <c r="AO24" s="39" t="s">
        <v>37</v>
      </c>
      <c r="AP24" s="17" t="s">
        <v>104</v>
      </c>
      <c r="AQ24" s="18" t="s">
        <v>38</v>
      </c>
      <c r="AR24" s="18" t="s">
        <v>14</v>
      </c>
      <c r="AS24" s="18" t="s">
        <v>12</v>
      </c>
      <c r="AT24" s="18" t="s">
        <v>14</v>
      </c>
      <c r="AU24" s="19" t="s">
        <v>12</v>
      </c>
      <c r="AW24" s="61" t="s">
        <v>47</v>
      </c>
      <c r="AX24" s="62" t="s">
        <v>120</v>
      </c>
      <c r="AY24" s="63" t="s">
        <v>121</v>
      </c>
      <c r="AZ24" s="65" t="s">
        <v>123</v>
      </c>
      <c r="BA24" s="64" t="s">
        <v>122</v>
      </c>
      <c r="BC24" s="61" t="s">
        <v>124</v>
      </c>
      <c r="BD24" s="61" t="s">
        <v>125</v>
      </c>
      <c r="BE24" s="61" t="s">
        <v>126</v>
      </c>
      <c r="BF24" s="61" t="s">
        <v>127</v>
      </c>
      <c r="BG24" s="61" t="s">
        <v>128</v>
      </c>
      <c r="BH24"/>
      <c r="BI24" s="61" t="s">
        <v>129</v>
      </c>
      <c r="BJ24" s="61" t="s">
        <v>130</v>
      </c>
      <c r="BK24" s="61" t="s">
        <v>131</v>
      </c>
      <c r="BL24" s="61" t="s">
        <v>132</v>
      </c>
      <c r="BM24" s="61" t="s">
        <v>133</v>
      </c>
      <c r="BN24" s="61" t="s">
        <v>134</v>
      </c>
      <c r="BO24" s="61" t="s">
        <v>135</v>
      </c>
      <c r="BP24"/>
      <c r="BQ24" s="61" t="s">
        <v>136</v>
      </c>
    </row>
    <row r="25" spans="2:69" s="23" customFormat="1" ht="27.75" customHeight="1" x14ac:dyDescent="0.25">
      <c r="B25" s="41">
        <v>1</v>
      </c>
      <c r="C25" s="68"/>
      <c r="D25" s="69"/>
      <c r="E25" s="70"/>
      <c r="F25" s="68"/>
      <c r="G25" s="68"/>
      <c r="H25" s="42"/>
      <c r="I25" s="41" t="str">
        <f>IF(C25&lt;&gt;"",IF(F25&lt;&gt;"U",G25*H25*F25,G25*H25),"")</f>
        <v/>
      </c>
      <c r="J25" s="44" t="str">
        <f t="shared" ref="J25" si="0">AR25</f>
        <v/>
      </c>
      <c r="L25" s="43"/>
      <c r="M25" s="44" t="str">
        <f>IF($C25&lt;&gt;"",($L25/$L$47)*SUM($E$51,$E$52,$E$65:$E$66)+I25,"")</f>
        <v/>
      </c>
      <c r="N25" s="45"/>
      <c r="O25" s="46"/>
      <c r="P25" s="46"/>
      <c r="Q25" s="47"/>
      <c r="R25" s="47"/>
      <c r="S25" s="48">
        <v>0</v>
      </c>
      <c r="T25" s="48">
        <v>0.04</v>
      </c>
      <c r="U25" s="49" t="str">
        <f t="shared" ref="U25" si="1">IF(AND($D$13="Revenda",N25&lt;&gt;""),R25,"")</f>
        <v/>
      </c>
      <c r="V25" s="44" t="str">
        <f t="shared" ref="V25:X25" si="2">IF($M25&lt;&gt;"",$M25*O25,"")</f>
        <v/>
      </c>
      <c r="W25" s="44" t="str">
        <f t="shared" si="2"/>
        <v/>
      </c>
      <c r="X25" s="44" t="str">
        <f t="shared" si="2"/>
        <v/>
      </c>
      <c r="Y25" s="44" t="str">
        <f>IF(M25&lt;&gt;"",(M25+V25)*R25,"")</f>
        <v/>
      </c>
      <c r="Z25" s="44" t="str">
        <f t="shared" ref="Z25" si="3">IF(M25&lt;&gt;"",(SUM(M25,AB25:AI25,V25:Y25)/(1-S25))*S25,"")</f>
        <v/>
      </c>
      <c r="AB25" s="44" t="str">
        <f t="shared" ref="AB25:AD40" si="4">IF(AB$47&lt;&gt;"",($L25/$L$47)*AB$47,"")</f>
        <v/>
      </c>
      <c r="AC25" s="44" t="str">
        <f t="shared" si="4"/>
        <v/>
      </c>
      <c r="AD25" s="44" t="str">
        <f t="shared" si="4"/>
        <v/>
      </c>
      <c r="AE25" s="44" t="str">
        <f>IF(C25&lt;&gt;"",IF(AE$47&lt;&gt;"",($L25/$L$47)*AE$47,""),"")</f>
        <v/>
      </c>
      <c r="AF25" s="44" t="str">
        <f t="shared" ref="AF25" si="5">IF(H25&lt;&gt;"",IF(AF$47&lt;&gt;"",($L25/$L$47)*AF$47,""),"")</f>
        <v/>
      </c>
      <c r="AG25" s="44" t="str">
        <f t="shared" ref="AG25:AG46" si="6">IF(AG$47&lt;&gt;0,($L25/$L$47)*AG$47,"")</f>
        <v/>
      </c>
      <c r="AH25" s="44" t="str">
        <f t="shared" ref="AH25:AH46" si="7">IF(AH$47&lt;&gt;"",($L25/$L$47)*AH$47,"")</f>
        <v/>
      </c>
      <c r="AI25" s="44" t="str">
        <f t="shared" ref="AI25:AI46" si="8">IF(AI$47&lt;&gt;0,($L25/$L$47)*AI$47,"")</f>
        <v/>
      </c>
      <c r="AJ25" s="44" t="str">
        <f>IF(G25&lt;&gt;"",IF(F25&lt;&gt;"U",SUM(AB25:AI25,M25,V25)/(G25*F25)+IF($Q25=0.1065,($M25*1%)/(G25*F25),0),SUM(AB25:AI25,M25,V25)/(G25)+IF($Q25=0.1065,($M25*1%)/(G25),0)),"")</f>
        <v/>
      </c>
      <c r="AK25" s="44" t="str">
        <f t="shared" ref="AK25" si="9">IF(G25&lt;&gt;"",SUM(AB25:AI25,M25,V25:Z25)/G25,"")</f>
        <v/>
      </c>
      <c r="AL25" s="50" t="str">
        <f t="shared" ref="AL25:AM25" si="10">IF(AJ25&lt;&gt;"",AJ25*$G$13,"")</f>
        <v/>
      </c>
      <c r="AM25" s="50" t="str">
        <f t="shared" si="10"/>
        <v/>
      </c>
      <c r="AO25" s="44" t="str">
        <f t="shared" ref="AO25" si="11">IF(G25&lt;&gt;"",G25*(AK25/(1-T25))*T25,"")</f>
        <v/>
      </c>
      <c r="AP25" s="44" t="str">
        <f t="shared" ref="AP25" si="12">IF(G25&lt;&gt;"",IF(U25&lt;&gt;"",(G25*AK25+AO25)*U25,""),"")</f>
        <v/>
      </c>
      <c r="AQ25" s="44" t="str">
        <f>IF(AO25&lt;&gt;"",AO25*_xlfn.XLOOKUP($D$16,Tabela1[Tradin/Despachante],Tabela1[Bonificação]),"")</f>
        <v/>
      </c>
      <c r="AR25" s="44" t="str">
        <f t="shared" ref="AR25" si="13">AJ25</f>
        <v/>
      </c>
      <c r="AS25" s="44" t="str">
        <f t="shared" ref="AS25" si="14">IF(AK25&lt;&gt;"",AK25+(AO25+AP25)/G25,"")</f>
        <v/>
      </c>
      <c r="AT25" s="51" t="str">
        <f t="shared" ref="AT25:AU25" si="15">IF(AR25&lt;&gt;"",AR25*$G$13,"")</f>
        <v/>
      </c>
      <c r="AU25" s="51" t="str">
        <f t="shared" si="15"/>
        <v/>
      </c>
      <c r="AW25" s="44" t="str">
        <f>IF($C25&lt;&gt;"",H25,"")</f>
        <v/>
      </c>
      <c r="AX25" s="44" t="str">
        <f>IF($C25&lt;&gt;"",($L25/$L$47)*SUM($E$51,$E$65:$E$66),"")</f>
        <v/>
      </c>
      <c r="AY25" s="44" t="str">
        <f>IF($C25&lt;&gt;"",($L25/$L$47)*SUM($E$52),"")</f>
        <v/>
      </c>
      <c r="AZ25" s="44" t="str">
        <f>IF($C25&lt;&gt;"",AX25+AY25,"")</f>
        <v/>
      </c>
      <c r="BA25" s="44" t="str">
        <f>IF($C25&lt;&gt;"",($L25/$L$47)*(SUM($E$69)-SUM($E$65:$E$66)),"")</f>
        <v/>
      </c>
    </row>
    <row r="26" spans="2:69" s="23" customFormat="1" ht="27.75" customHeight="1" x14ac:dyDescent="0.25">
      <c r="B26" s="41">
        <f>B25+1</f>
        <v>2</v>
      </c>
      <c r="C26" s="42"/>
      <c r="D26" s="6"/>
      <c r="E26" s="33"/>
      <c r="F26" s="42"/>
      <c r="G26" s="42"/>
      <c r="H26" s="42"/>
      <c r="I26" s="41" t="str">
        <f t="shared" ref="I26:I46" si="16">IF(C26&lt;&gt;"",IF(F26&lt;&gt;"U",G26*H26*F26,G26*H26),"")</f>
        <v/>
      </c>
      <c r="J26" s="44" t="str">
        <f t="shared" ref="J26:J46" si="17">AR26</f>
        <v/>
      </c>
      <c r="L26" s="43"/>
      <c r="M26" s="44" t="str">
        <f t="shared" ref="M26:M46" si="18">IF($C26&lt;&gt;"",($L26/$L$47)*SUM($E$51,$E$52,$E$65:$E$66)+I26,"")</f>
        <v/>
      </c>
      <c r="N26" s="45"/>
      <c r="O26" s="46"/>
      <c r="P26" s="46"/>
      <c r="Q26" s="47"/>
      <c r="R26" s="47"/>
      <c r="S26" s="48">
        <v>0</v>
      </c>
      <c r="T26" s="48">
        <v>0.04</v>
      </c>
      <c r="U26" s="49" t="str">
        <f t="shared" ref="U26:U46" si="19">IF(AND($D$13="Revenda",N26&lt;&gt;""),R26,"")</f>
        <v/>
      </c>
      <c r="V26" s="44" t="str">
        <f t="shared" ref="V26:V46" si="20">IF($M26&lt;&gt;"",$M26*O26,"")</f>
        <v/>
      </c>
      <c r="W26" s="44" t="str">
        <f t="shared" ref="W26:W46" si="21">IF($M26&lt;&gt;"",$M26*P26,"")</f>
        <v/>
      </c>
      <c r="X26" s="44" t="str">
        <f t="shared" ref="X26:X46" si="22">IF($M26&lt;&gt;"",$M26*Q26,"")</f>
        <v/>
      </c>
      <c r="Y26" s="44" t="str">
        <f t="shared" ref="Y26:Y46" si="23">IF(M26&lt;&gt;"",(M26+V26)*R26,"")</f>
        <v/>
      </c>
      <c r="Z26" s="44" t="str">
        <f t="shared" ref="Z26:Z46" si="24">IF(M26&lt;&gt;"",(SUM(M26,AB26:AI26,V26:Y26)/(1-S26))*S26,"")</f>
        <v/>
      </c>
      <c r="AB26" s="44" t="str">
        <f t="shared" si="4"/>
        <v/>
      </c>
      <c r="AC26" s="44" t="str">
        <f t="shared" si="4"/>
        <v/>
      </c>
      <c r="AD26" s="44" t="str">
        <f t="shared" si="4"/>
        <v/>
      </c>
      <c r="AE26" s="44" t="str">
        <f t="shared" ref="AE26:AE46" si="25">IF(C26&lt;&gt;"",IF(AE$47&lt;&gt;"",($L26/$L$47)*AE$47,""),"")</f>
        <v/>
      </c>
      <c r="AF26" s="44" t="str">
        <f t="shared" ref="AF26:AF46" si="26">IF(H26&lt;&gt;"",IF(AF$47&lt;&gt;"",($L26/$L$47)*AF$47,""),"")</f>
        <v/>
      </c>
      <c r="AG26" s="44" t="str">
        <f t="shared" si="6"/>
        <v/>
      </c>
      <c r="AH26" s="44" t="str">
        <f t="shared" si="7"/>
        <v/>
      </c>
      <c r="AI26" s="44" t="str">
        <f t="shared" si="8"/>
        <v/>
      </c>
      <c r="AJ26" s="44" t="str">
        <f t="shared" ref="AJ26:AJ46" si="27">IF(G26&lt;&gt;"",IF(F26&lt;&gt;"U",SUM(AB26:AI26,M26,V26)/(G26*F26)+IF($Q26=0.1065,($M26*1%)/(G26*F26),0),SUM(AB26:AI26,M26,V26)/(G26)+IF($Q26=0.1065,($M26*1%)/(G26),0)),"")</f>
        <v/>
      </c>
      <c r="AK26" s="44" t="str">
        <f t="shared" ref="AK26:AK46" si="28">IF(G26&lt;&gt;"",SUM(AB26:AI26,M26,V26:Z26)/G26,"")</f>
        <v/>
      </c>
      <c r="AL26" s="50" t="str">
        <f t="shared" ref="AL26:AL46" si="29">IF(AJ26&lt;&gt;"",AJ26*$G$13,"")</f>
        <v/>
      </c>
      <c r="AM26" s="50" t="str">
        <f t="shared" ref="AM26:AM46" si="30">IF(AK26&lt;&gt;"",AK26*$G$13,"")</f>
        <v/>
      </c>
      <c r="AO26" s="44" t="str">
        <f t="shared" ref="AO26:AO46" si="31">IF(G26&lt;&gt;"",G26*(AK26/(1-T26))*T26,"")</f>
        <v/>
      </c>
      <c r="AP26" s="44" t="str">
        <f t="shared" ref="AP26:AP46" si="32">IF(G26&lt;&gt;"",IF(U26&lt;&gt;"",(G26*AK26+AO26)*U26,""),"")</f>
        <v/>
      </c>
      <c r="AQ26" s="44" t="str">
        <f>IF(AO26&lt;&gt;"",AO26*_xlfn.XLOOKUP($D$16,Tabela1[Tradin/Despachante],Tabela1[Bonificação]),"")</f>
        <v/>
      </c>
      <c r="AR26" s="44" t="str">
        <f t="shared" ref="AR26:AR46" si="33">AJ26</f>
        <v/>
      </c>
      <c r="AS26" s="44" t="str">
        <f t="shared" ref="AS26:AS46" si="34">IF(AK26&lt;&gt;"",AK26+(AO26+AP26)/G26,"")</f>
        <v/>
      </c>
      <c r="AT26" s="51" t="str">
        <f t="shared" ref="AT26:AT46" si="35">IF(AR26&lt;&gt;"",AR26*$G$13,"")</f>
        <v/>
      </c>
      <c r="AU26" s="51" t="str">
        <f t="shared" ref="AU26:AU46" si="36">IF(AS26&lt;&gt;"",AS26*$G$13,"")</f>
        <v/>
      </c>
      <c r="AW26" s="41" t="str">
        <f t="shared" ref="AW26:AW46" si="37">IF($C26&lt;&gt;"",H26,"")</f>
        <v/>
      </c>
      <c r="AX26" s="41" t="str">
        <f t="shared" ref="AX26:AX46" si="38">IF($C26&lt;&gt;"",($L26/$L$47)*SUM($E$51,$E$65:$E$66),"")</f>
        <v/>
      </c>
      <c r="AY26" s="41" t="str">
        <f t="shared" ref="AY26:AY46" si="39">IF($C26&lt;&gt;"",($L26/$L$47)*SUM($E$52),"")</f>
        <v/>
      </c>
      <c r="AZ26" s="44" t="str">
        <f t="shared" ref="AZ26:AZ46" si="40">IF($C26&lt;&gt;"",AX26+AY26,"")</f>
        <v/>
      </c>
      <c r="BA26" s="41" t="str">
        <f t="shared" ref="BA26:BA46" si="41">IF($C26&lt;&gt;"",($L26/$L$47)*(SUM($E$69)-SUM($E$65:$E$66)),"")</f>
        <v/>
      </c>
    </row>
    <row r="27" spans="2:69" s="23" customFormat="1" ht="27.75" customHeight="1" x14ac:dyDescent="0.25">
      <c r="B27" s="41">
        <f t="shared" ref="B27:B46" si="42">B26+1</f>
        <v>3</v>
      </c>
      <c r="C27" s="42"/>
      <c r="D27" s="6"/>
      <c r="E27" s="33"/>
      <c r="F27" s="42"/>
      <c r="G27" s="42"/>
      <c r="H27" s="42"/>
      <c r="I27" s="41" t="str">
        <f t="shared" si="16"/>
        <v/>
      </c>
      <c r="J27" s="44" t="str">
        <f t="shared" si="17"/>
        <v/>
      </c>
      <c r="L27" s="43"/>
      <c r="M27" s="44" t="str">
        <f t="shared" si="18"/>
        <v/>
      </c>
      <c r="N27" s="45"/>
      <c r="O27" s="46"/>
      <c r="P27" s="46"/>
      <c r="Q27" s="47"/>
      <c r="R27" s="47"/>
      <c r="S27" s="48">
        <v>0</v>
      </c>
      <c r="T27" s="48">
        <v>0.04</v>
      </c>
      <c r="U27" s="49" t="str">
        <f t="shared" si="19"/>
        <v/>
      </c>
      <c r="V27" s="44" t="str">
        <f t="shared" si="20"/>
        <v/>
      </c>
      <c r="W27" s="44" t="str">
        <f t="shared" si="21"/>
        <v/>
      </c>
      <c r="X27" s="44" t="str">
        <f t="shared" si="22"/>
        <v/>
      </c>
      <c r="Y27" s="44" t="str">
        <f t="shared" si="23"/>
        <v/>
      </c>
      <c r="Z27" s="44" t="str">
        <f t="shared" si="24"/>
        <v/>
      </c>
      <c r="AB27" s="44" t="str">
        <f t="shared" si="4"/>
        <v/>
      </c>
      <c r="AC27" s="44" t="str">
        <f t="shared" si="4"/>
        <v/>
      </c>
      <c r="AD27" s="44" t="str">
        <f t="shared" si="4"/>
        <v/>
      </c>
      <c r="AE27" s="44" t="str">
        <f t="shared" si="25"/>
        <v/>
      </c>
      <c r="AF27" s="44" t="str">
        <f t="shared" si="26"/>
        <v/>
      </c>
      <c r="AG27" s="44" t="str">
        <f t="shared" si="6"/>
        <v/>
      </c>
      <c r="AH27" s="44" t="str">
        <f t="shared" si="7"/>
        <v/>
      </c>
      <c r="AI27" s="44" t="str">
        <f t="shared" si="8"/>
        <v/>
      </c>
      <c r="AJ27" s="44" t="str">
        <f t="shared" si="27"/>
        <v/>
      </c>
      <c r="AK27" s="44" t="str">
        <f t="shared" si="28"/>
        <v/>
      </c>
      <c r="AL27" s="50" t="str">
        <f t="shared" si="29"/>
        <v/>
      </c>
      <c r="AM27" s="50" t="str">
        <f t="shared" si="30"/>
        <v/>
      </c>
      <c r="AO27" s="44" t="str">
        <f t="shared" si="31"/>
        <v/>
      </c>
      <c r="AP27" s="44" t="str">
        <f t="shared" si="32"/>
        <v/>
      </c>
      <c r="AQ27" s="44" t="str">
        <f>IF(AO27&lt;&gt;"",AO27*_xlfn.XLOOKUP($D$16,Tabela1[Tradin/Despachante],Tabela1[Bonificação]),"")</f>
        <v/>
      </c>
      <c r="AR27" s="44" t="str">
        <f t="shared" si="33"/>
        <v/>
      </c>
      <c r="AS27" s="44" t="str">
        <f t="shared" si="34"/>
        <v/>
      </c>
      <c r="AT27" s="51" t="str">
        <f t="shared" si="35"/>
        <v/>
      </c>
      <c r="AU27" s="51" t="str">
        <f t="shared" si="36"/>
        <v/>
      </c>
      <c r="AW27" s="41" t="str">
        <f t="shared" si="37"/>
        <v/>
      </c>
      <c r="AX27" s="41" t="str">
        <f t="shared" si="38"/>
        <v/>
      </c>
      <c r="AY27" s="41" t="str">
        <f t="shared" si="39"/>
        <v/>
      </c>
      <c r="AZ27" s="44" t="str">
        <f t="shared" si="40"/>
        <v/>
      </c>
      <c r="BA27" s="41" t="str">
        <f t="shared" si="41"/>
        <v/>
      </c>
    </row>
    <row r="28" spans="2:69" s="23" customFormat="1" ht="27.75" customHeight="1" x14ac:dyDescent="0.25">
      <c r="B28" s="41">
        <f t="shared" si="42"/>
        <v>4</v>
      </c>
      <c r="C28" s="42"/>
      <c r="D28" s="6"/>
      <c r="E28" s="33"/>
      <c r="F28" s="42"/>
      <c r="G28" s="42"/>
      <c r="H28" s="42"/>
      <c r="I28" s="41" t="str">
        <f t="shared" si="16"/>
        <v/>
      </c>
      <c r="J28" s="44" t="str">
        <f t="shared" si="17"/>
        <v/>
      </c>
      <c r="L28" s="43"/>
      <c r="M28" s="44" t="str">
        <f t="shared" si="18"/>
        <v/>
      </c>
      <c r="N28" s="45"/>
      <c r="O28" s="46"/>
      <c r="P28" s="46"/>
      <c r="Q28" s="47"/>
      <c r="R28" s="47"/>
      <c r="S28" s="48">
        <v>0</v>
      </c>
      <c r="T28" s="48">
        <v>0.04</v>
      </c>
      <c r="U28" s="49" t="str">
        <f t="shared" si="19"/>
        <v/>
      </c>
      <c r="V28" s="44" t="str">
        <f t="shared" si="20"/>
        <v/>
      </c>
      <c r="W28" s="44" t="str">
        <f t="shared" si="21"/>
        <v/>
      </c>
      <c r="X28" s="44" t="str">
        <f t="shared" si="22"/>
        <v/>
      </c>
      <c r="Y28" s="44" t="str">
        <f t="shared" si="23"/>
        <v/>
      </c>
      <c r="Z28" s="44" t="str">
        <f t="shared" si="24"/>
        <v/>
      </c>
      <c r="AB28" s="44" t="str">
        <f t="shared" si="4"/>
        <v/>
      </c>
      <c r="AC28" s="44" t="str">
        <f t="shared" si="4"/>
        <v/>
      </c>
      <c r="AD28" s="44" t="str">
        <f t="shared" si="4"/>
        <v/>
      </c>
      <c r="AE28" s="44" t="str">
        <f t="shared" si="25"/>
        <v/>
      </c>
      <c r="AF28" s="44" t="str">
        <f t="shared" si="26"/>
        <v/>
      </c>
      <c r="AG28" s="44" t="str">
        <f t="shared" si="6"/>
        <v/>
      </c>
      <c r="AH28" s="44" t="str">
        <f t="shared" si="7"/>
        <v/>
      </c>
      <c r="AI28" s="44" t="str">
        <f t="shared" si="8"/>
        <v/>
      </c>
      <c r="AJ28" s="44" t="str">
        <f t="shared" si="27"/>
        <v/>
      </c>
      <c r="AK28" s="44" t="str">
        <f t="shared" si="28"/>
        <v/>
      </c>
      <c r="AL28" s="50" t="str">
        <f t="shared" si="29"/>
        <v/>
      </c>
      <c r="AM28" s="50" t="str">
        <f t="shared" si="30"/>
        <v/>
      </c>
      <c r="AO28" s="44" t="str">
        <f t="shared" si="31"/>
        <v/>
      </c>
      <c r="AP28" s="44" t="str">
        <f t="shared" si="32"/>
        <v/>
      </c>
      <c r="AQ28" s="44" t="str">
        <f>IF(AO28&lt;&gt;"",AO28*_xlfn.XLOOKUP($D$16,Tabela1[Tradin/Despachante],Tabela1[Bonificação]),"")</f>
        <v/>
      </c>
      <c r="AR28" s="44" t="str">
        <f t="shared" si="33"/>
        <v/>
      </c>
      <c r="AS28" s="44" t="str">
        <f t="shared" si="34"/>
        <v/>
      </c>
      <c r="AT28" s="51" t="str">
        <f t="shared" si="35"/>
        <v/>
      </c>
      <c r="AU28" s="51" t="str">
        <f t="shared" si="36"/>
        <v/>
      </c>
      <c r="AW28" s="41" t="str">
        <f t="shared" si="37"/>
        <v/>
      </c>
      <c r="AX28" s="41" t="str">
        <f t="shared" si="38"/>
        <v/>
      </c>
      <c r="AY28" s="41" t="str">
        <f t="shared" si="39"/>
        <v/>
      </c>
      <c r="AZ28" s="44" t="str">
        <f t="shared" si="40"/>
        <v/>
      </c>
      <c r="BA28" s="41" t="str">
        <f t="shared" si="41"/>
        <v/>
      </c>
    </row>
    <row r="29" spans="2:69" s="23" customFormat="1" ht="27.75" customHeight="1" x14ac:dyDescent="0.25">
      <c r="B29" s="41">
        <f t="shared" si="42"/>
        <v>5</v>
      </c>
      <c r="C29" s="42"/>
      <c r="D29" s="6"/>
      <c r="E29" s="33"/>
      <c r="F29" s="42"/>
      <c r="G29" s="42"/>
      <c r="H29" s="42"/>
      <c r="I29" s="41" t="str">
        <f t="shared" si="16"/>
        <v/>
      </c>
      <c r="J29" s="44" t="str">
        <f t="shared" si="17"/>
        <v/>
      </c>
      <c r="L29" s="43"/>
      <c r="M29" s="44" t="str">
        <f t="shared" si="18"/>
        <v/>
      </c>
      <c r="N29" s="45"/>
      <c r="O29" s="46"/>
      <c r="P29" s="46"/>
      <c r="Q29" s="47"/>
      <c r="R29" s="47"/>
      <c r="S29" s="48">
        <v>0</v>
      </c>
      <c r="T29" s="48">
        <v>0.04</v>
      </c>
      <c r="U29" s="49" t="str">
        <f t="shared" si="19"/>
        <v/>
      </c>
      <c r="V29" s="44" t="str">
        <f t="shared" si="20"/>
        <v/>
      </c>
      <c r="W29" s="44" t="str">
        <f t="shared" si="21"/>
        <v/>
      </c>
      <c r="X29" s="44" t="str">
        <f t="shared" si="22"/>
        <v/>
      </c>
      <c r="Y29" s="44" t="str">
        <f t="shared" si="23"/>
        <v/>
      </c>
      <c r="Z29" s="44" t="str">
        <f t="shared" si="24"/>
        <v/>
      </c>
      <c r="AB29" s="44" t="str">
        <f t="shared" si="4"/>
        <v/>
      </c>
      <c r="AC29" s="44" t="str">
        <f t="shared" si="4"/>
        <v/>
      </c>
      <c r="AD29" s="44" t="str">
        <f t="shared" si="4"/>
        <v/>
      </c>
      <c r="AE29" s="44" t="str">
        <f t="shared" si="25"/>
        <v/>
      </c>
      <c r="AF29" s="44" t="str">
        <f t="shared" si="26"/>
        <v/>
      </c>
      <c r="AG29" s="44" t="str">
        <f t="shared" si="6"/>
        <v/>
      </c>
      <c r="AH29" s="44" t="str">
        <f t="shared" si="7"/>
        <v/>
      </c>
      <c r="AI29" s="44" t="str">
        <f t="shared" si="8"/>
        <v/>
      </c>
      <c r="AJ29" s="44" t="str">
        <f t="shared" si="27"/>
        <v/>
      </c>
      <c r="AK29" s="44" t="str">
        <f t="shared" si="28"/>
        <v/>
      </c>
      <c r="AL29" s="50" t="str">
        <f t="shared" si="29"/>
        <v/>
      </c>
      <c r="AM29" s="50" t="str">
        <f t="shared" si="30"/>
        <v/>
      </c>
      <c r="AO29" s="44" t="str">
        <f t="shared" si="31"/>
        <v/>
      </c>
      <c r="AP29" s="44" t="str">
        <f t="shared" si="32"/>
        <v/>
      </c>
      <c r="AQ29" s="44" t="str">
        <f>IF(AO29&lt;&gt;"",AO29*_xlfn.XLOOKUP($D$16,Tabela1[Tradin/Despachante],Tabela1[Bonificação]),"")</f>
        <v/>
      </c>
      <c r="AR29" s="44" t="str">
        <f t="shared" si="33"/>
        <v/>
      </c>
      <c r="AS29" s="44" t="str">
        <f t="shared" si="34"/>
        <v/>
      </c>
      <c r="AT29" s="51" t="str">
        <f t="shared" si="35"/>
        <v/>
      </c>
      <c r="AU29" s="51" t="str">
        <f t="shared" si="36"/>
        <v/>
      </c>
      <c r="AW29" s="41" t="str">
        <f t="shared" si="37"/>
        <v/>
      </c>
      <c r="AX29" s="41" t="str">
        <f t="shared" si="38"/>
        <v/>
      </c>
      <c r="AY29" s="41" t="str">
        <f t="shared" si="39"/>
        <v/>
      </c>
      <c r="AZ29" s="44" t="str">
        <f t="shared" si="40"/>
        <v/>
      </c>
      <c r="BA29" s="41" t="str">
        <f t="shared" si="41"/>
        <v/>
      </c>
    </row>
    <row r="30" spans="2:69" s="23" customFormat="1" ht="27.75" customHeight="1" x14ac:dyDescent="0.25">
      <c r="B30" s="41">
        <f t="shared" si="42"/>
        <v>6</v>
      </c>
      <c r="C30" s="42"/>
      <c r="D30" s="6"/>
      <c r="E30" s="33"/>
      <c r="F30" s="42"/>
      <c r="G30" s="42"/>
      <c r="H30" s="42"/>
      <c r="I30" s="41" t="str">
        <f t="shared" si="16"/>
        <v/>
      </c>
      <c r="J30" s="44" t="str">
        <f t="shared" si="17"/>
        <v/>
      </c>
      <c r="L30" s="43"/>
      <c r="M30" s="44" t="str">
        <f t="shared" si="18"/>
        <v/>
      </c>
      <c r="N30" s="45"/>
      <c r="O30" s="46"/>
      <c r="P30" s="46"/>
      <c r="Q30" s="47"/>
      <c r="R30" s="47"/>
      <c r="S30" s="48">
        <v>0</v>
      </c>
      <c r="T30" s="48">
        <v>0.04</v>
      </c>
      <c r="U30" s="49" t="str">
        <f t="shared" si="19"/>
        <v/>
      </c>
      <c r="V30" s="44" t="str">
        <f t="shared" si="20"/>
        <v/>
      </c>
      <c r="W30" s="44" t="str">
        <f t="shared" si="21"/>
        <v/>
      </c>
      <c r="X30" s="44" t="str">
        <f t="shared" si="22"/>
        <v/>
      </c>
      <c r="Y30" s="44" t="str">
        <f t="shared" si="23"/>
        <v/>
      </c>
      <c r="Z30" s="44" t="str">
        <f t="shared" si="24"/>
        <v/>
      </c>
      <c r="AB30" s="44" t="str">
        <f t="shared" si="4"/>
        <v/>
      </c>
      <c r="AC30" s="44" t="str">
        <f t="shared" si="4"/>
        <v/>
      </c>
      <c r="AD30" s="44" t="str">
        <f t="shared" si="4"/>
        <v/>
      </c>
      <c r="AE30" s="44" t="str">
        <f t="shared" si="25"/>
        <v/>
      </c>
      <c r="AF30" s="44" t="str">
        <f t="shared" si="26"/>
        <v/>
      </c>
      <c r="AG30" s="44" t="str">
        <f t="shared" si="6"/>
        <v/>
      </c>
      <c r="AH30" s="44" t="str">
        <f t="shared" si="7"/>
        <v/>
      </c>
      <c r="AI30" s="44" t="str">
        <f t="shared" si="8"/>
        <v/>
      </c>
      <c r="AJ30" s="44" t="str">
        <f t="shared" si="27"/>
        <v/>
      </c>
      <c r="AK30" s="44" t="str">
        <f t="shared" si="28"/>
        <v/>
      </c>
      <c r="AL30" s="50" t="str">
        <f t="shared" si="29"/>
        <v/>
      </c>
      <c r="AM30" s="50" t="str">
        <f t="shared" si="30"/>
        <v/>
      </c>
      <c r="AO30" s="44" t="str">
        <f t="shared" si="31"/>
        <v/>
      </c>
      <c r="AP30" s="44" t="str">
        <f t="shared" si="32"/>
        <v/>
      </c>
      <c r="AQ30" s="44" t="str">
        <f>IF(AO30&lt;&gt;"",AO30*_xlfn.XLOOKUP($D$16,Tabela1[Tradin/Despachante],Tabela1[Bonificação]),"")</f>
        <v/>
      </c>
      <c r="AR30" s="44" t="str">
        <f t="shared" si="33"/>
        <v/>
      </c>
      <c r="AS30" s="44" t="str">
        <f t="shared" si="34"/>
        <v/>
      </c>
      <c r="AT30" s="51" t="str">
        <f t="shared" si="35"/>
        <v/>
      </c>
      <c r="AU30" s="51" t="str">
        <f t="shared" si="36"/>
        <v/>
      </c>
      <c r="AW30" s="41" t="str">
        <f t="shared" si="37"/>
        <v/>
      </c>
      <c r="AX30" s="41" t="str">
        <f t="shared" si="38"/>
        <v/>
      </c>
      <c r="AY30" s="41" t="str">
        <f t="shared" si="39"/>
        <v/>
      </c>
      <c r="AZ30" s="44" t="str">
        <f t="shared" si="40"/>
        <v/>
      </c>
      <c r="BA30" s="41" t="str">
        <f t="shared" si="41"/>
        <v/>
      </c>
    </row>
    <row r="31" spans="2:69" s="23" customFormat="1" ht="27.75" customHeight="1" x14ac:dyDescent="0.25">
      <c r="B31" s="41">
        <f t="shared" si="42"/>
        <v>7</v>
      </c>
      <c r="C31" s="42"/>
      <c r="D31" s="6"/>
      <c r="E31" s="33"/>
      <c r="F31" s="42"/>
      <c r="G31" s="42"/>
      <c r="H31" s="42"/>
      <c r="I31" s="41" t="str">
        <f t="shared" si="16"/>
        <v/>
      </c>
      <c r="J31" s="44" t="str">
        <f t="shared" si="17"/>
        <v/>
      </c>
      <c r="L31" s="43"/>
      <c r="M31" s="44" t="str">
        <f t="shared" si="18"/>
        <v/>
      </c>
      <c r="N31" s="45"/>
      <c r="O31" s="46"/>
      <c r="P31" s="46"/>
      <c r="Q31" s="47"/>
      <c r="R31" s="47"/>
      <c r="S31" s="48">
        <v>0</v>
      </c>
      <c r="T31" s="48">
        <v>0.04</v>
      </c>
      <c r="U31" s="49" t="str">
        <f t="shared" si="19"/>
        <v/>
      </c>
      <c r="V31" s="44" t="str">
        <f t="shared" si="20"/>
        <v/>
      </c>
      <c r="W31" s="44" t="str">
        <f t="shared" si="21"/>
        <v/>
      </c>
      <c r="X31" s="44" t="str">
        <f t="shared" si="22"/>
        <v/>
      </c>
      <c r="Y31" s="44" t="str">
        <f t="shared" si="23"/>
        <v/>
      </c>
      <c r="Z31" s="44" t="str">
        <f t="shared" si="24"/>
        <v/>
      </c>
      <c r="AB31" s="44" t="str">
        <f t="shared" si="4"/>
        <v/>
      </c>
      <c r="AC31" s="44" t="str">
        <f t="shared" si="4"/>
        <v/>
      </c>
      <c r="AD31" s="44" t="str">
        <f t="shared" si="4"/>
        <v/>
      </c>
      <c r="AE31" s="44" t="str">
        <f t="shared" si="25"/>
        <v/>
      </c>
      <c r="AF31" s="44" t="str">
        <f t="shared" si="26"/>
        <v/>
      </c>
      <c r="AG31" s="44" t="str">
        <f t="shared" si="6"/>
        <v/>
      </c>
      <c r="AH31" s="44" t="str">
        <f t="shared" si="7"/>
        <v/>
      </c>
      <c r="AI31" s="44" t="str">
        <f t="shared" si="8"/>
        <v/>
      </c>
      <c r="AJ31" s="44" t="str">
        <f t="shared" si="27"/>
        <v/>
      </c>
      <c r="AK31" s="44" t="str">
        <f t="shared" si="28"/>
        <v/>
      </c>
      <c r="AL31" s="50" t="str">
        <f t="shared" si="29"/>
        <v/>
      </c>
      <c r="AM31" s="50" t="str">
        <f t="shared" si="30"/>
        <v/>
      </c>
      <c r="AO31" s="44" t="str">
        <f t="shared" si="31"/>
        <v/>
      </c>
      <c r="AP31" s="44" t="str">
        <f t="shared" si="32"/>
        <v/>
      </c>
      <c r="AQ31" s="44" t="str">
        <f>IF(AO31&lt;&gt;"",AO31*_xlfn.XLOOKUP($D$16,Tabela1[Tradin/Despachante],Tabela1[Bonificação]),"")</f>
        <v/>
      </c>
      <c r="AR31" s="44" t="str">
        <f t="shared" si="33"/>
        <v/>
      </c>
      <c r="AS31" s="44" t="str">
        <f t="shared" si="34"/>
        <v/>
      </c>
      <c r="AT31" s="51" t="str">
        <f t="shared" si="35"/>
        <v/>
      </c>
      <c r="AU31" s="51" t="str">
        <f t="shared" si="36"/>
        <v/>
      </c>
      <c r="AW31" s="41" t="str">
        <f t="shared" si="37"/>
        <v/>
      </c>
      <c r="AX31" s="41" t="str">
        <f t="shared" si="38"/>
        <v/>
      </c>
      <c r="AY31" s="41" t="str">
        <f t="shared" si="39"/>
        <v/>
      </c>
      <c r="AZ31" s="44" t="str">
        <f t="shared" si="40"/>
        <v/>
      </c>
      <c r="BA31" s="41" t="str">
        <f t="shared" si="41"/>
        <v/>
      </c>
    </row>
    <row r="32" spans="2:69" s="23" customFormat="1" ht="27.75" customHeight="1" x14ac:dyDescent="0.25">
      <c r="B32" s="41">
        <f t="shared" si="42"/>
        <v>8</v>
      </c>
      <c r="C32" s="42"/>
      <c r="D32" s="6"/>
      <c r="E32" s="33"/>
      <c r="F32" s="42"/>
      <c r="G32" s="42"/>
      <c r="H32" s="42"/>
      <c r="I32" s="41" t="str">
        <f t="shared" si="16"/>
        <v/>
      </c>
      <c r="J32" s="44" t="str">
        <f t="shared" si="17"/>
        <v/>
      </c>
      <c r="L32" s="43"/>
      <c r="M32" s="44" t="str">
        <f t="shared" si="18"/>
        <v/>
      </c>
      <c r="N32" s="45"/>
      <c r="O32" s="46"/>
      <c r="P32" s="46"/>
      <c r="Q32" s="47"/>
      <c r="R32" s="47"/>
      <c r="S32" s="48">
        <v>0</v>
      </c>
      <c r="T32" s="48">
        <v>0.04</v>
      </c>
      <c r="U32" s="49" t="str">
        <f t="shared" si="19"/>
        <v/>
      </c>
      <c r="V32" s="44" t="str">
        <f t="shared" si="20"/>
        <v/>
      </c>
      <c r="W32" s="44" t="str">
        <f t="shared" si="21"/>
        <v/>
      </c>
      <c r="X32" s="44" t="str">
        <f t="shared" si="22"/>
        <v/>
      </c>
      <c r="Y32" s="44" t="str">
        <f t="shared" si="23"/>
        <v/>
      </c>
      <c r="Z32" s="44" t="str">
        <f t="shared" si="24"/>
        <v/>
      </c>
      <c r="AB32" s="44" t="str">
        <f t="shared" si="4"/>
        <v/>
      </c>
      <c r="AC32" s="44" t="str">
        <f t="shared" si="4"/>
        <v/>
      </c>
      <c r="AD32" s="44" t="str">
        <f t="shared" si="4"/>
        <v/>
      </c>
      <c r="AE32" s="44" t="str">
        <f t="shared" si="25"/>
        <v/>
      </c>
      <c r="AF32" s="44" t="str">
        <f t="shared" si="26"/>
        <v/>
      </c>
      <c r="AG32" s="44" t="str">
        <f t="shared" si="6"/>
        <v/>
      </c>
      <c r="AH32" s="44" t="str">
        <f t="shared" si="7"/>
        <v/>
      </c>
      <c r="AI32" s="44" t="str">
        <f t="shared" si="8"/>
        <v/>
      </c>
      <c r="AJ32" s="44" t="str">
        <f t="shared" si="27"/>
        <v/>
      </c>
      <c r="AK32" s="44" t="str">
        <f t="shared" si="28"/>
        <v/>
      </c>
      <c r="AL32" s="50" t="str">
        <f t="shared" si="29"/>
        <v/>
      </c>
      <c r="AM32" s="50" t="str">
        <f t="shared" si="30"/>
        <v/>
      </c>
      <c r="AO32" s="44" t="str">
        <f t="shared" si="31"/>
        <v/>
      </c>
      <c r="AP32" s="44" t="str">
        <f t="shared" si="32"/>
        <v/>
      </c>
      <c r="AQ32" s="44" t="str">
        <f>IF(AO32&lt;&gt;"",AO32*_xlfn.XLOOKUP($D$16,Tabela1[Tradin/Despachante],Tabela1[Bonificação]),"")</f>
        <v/>
      </c>
      <c r="AR32" s="44" t="str">
        <f t="shared" si="33"/>
        <v/>
      </c>
      <c r="AS32" s="44" t="str">
        <f t="shared" si="34"/>
        <v/>
      </c>
      <c r="AT32" s="51" t="str">
        <f t="shared" si="35"/>
        <v/>
      </c>
      <c r="AU32" s="51" t="str">
        <f t="shared" si="36"/>
        <v/>
      </c>
      <c r="AW32" s="41" t="str">
        <f t="shared" si="37"/>
        <v/>
      </c>
      <c r="AX32" s="41" t="str">
        <f t="shared" si="38"/>
        <v/>
      </c>
      <c r="AY32" s="41" t="str">
        <f t="shared" si="39"/>
        <v/>
      </c>
      <c r="AZ32" s="44" t="str">
        <f t="shared" si="40"/>
        <v/>
      </c>
      <c r="BA32" s="41" t="str">
        <f t="shared" si="41"/>
        <v/>
      </c>
    </row>
    <row r="33" spans="1:53" s="23" customFormat="1" ht="27.75" customHeight="1" x14ac:dyDescent="0.25">
      <c r="B33" s="41">
        <f t="shared" si="42"/>
        <v>9</v>
      </c>
      <c r="C33" s="42"/>
      <c r="D33" s="6"/>
      <c r="E33" s="33"/>
      <c r="F33" s="42"/>
      <c r="G33" s="42"/>
      <c r="H33" s="42"/>
      <c r="I33" s="41" t="str">
        <f t="shared" si="16"/>
        <v/>
      </c>
      <c r="J33" s="44" t="str">
        <f t="shared" si="17"/>
        <v/>
      </c>
      <c r="L33" s="43"/>
      <c r="M33" s="44" t="str">
        <f t="shared" si="18"/>
        <v/>
      </c>
      <c r="N33" s="45"/>
      <c r="O33" s="46"/>
      <c r="P33" s="46"/>
      <c r="Q33" s="47"/>
      <c r="R33" s="47"/>
      <c r="S33" s="48">
        <v>0</v>
      </c>
      <c r="T33" s="48">
        <v>0.04</v>
      </c>
      <c r="U33" s="49" t="str">
        <f t="shared" si="19"/>
        <v/>
      </c>
      <c r="V33" s="44" t="str">
        <f t="shared" si="20"/>
        <v/>
      </c>
      <c r="W33" s="44" t="str">
        <f t="shared" si="21"/>
        <v/>
      </c>
      <c r="X33" s="44" t="str">
        <f t="shared" si="22"/>
        <v/>
      </c>
      <c r="Y33" s="44" t="str">
        <f t="shared" si="23"/>
        <v/>
      </c>
      <c r="Z33" s="44" t="str">
        <f t="shared" si="24"/>
        <v/>
      </c>
      <c r="AB33" s="44" t="str">
        <f t="shared" si="4"/>
        <v/>
      </c>
      <c r="AC33" s="44" t="str">
        <f t="shared" si="4"/>
        <v/>
      </c>
      <c r="AD33" s="44" t="str">
        <f t="shared" si="4"/>
        <v/>
      </c>
      <c r="AE33" s="44" t="str">
        <f t="shared" si="25"/>
        <v/>
      </c>
      <c r="AF33" s="44" t="str">
        <f t="shared" si="26"/>
        <v/>
      </c>
      <c r="AG33" s="44" t="str">
        <f t="shared" si="6"/>
        <v/>
      </c>
      <c r="AH33" s="44" t="str">
        <f t="shared" si="7"/>
        <v/>
      </c>
      <c r="AI33" s="44" t="str">
        <f t="shared" si="8"/>
        <v/>
      </c>
      <c r="AJ33" s="44" t="str">
        <f t="shared" si="27"/>
        <v/>
      </c>
      <c r="AK33" s="44" t="str">
        <f t="shared" si="28"/>
        <v/>
      </c>
      <c r="AL33" s="50" t="str">
        <f t="shared" si="29"/>
        <v/>
      </c>
      <c r="AM33" s="50" t="str">
        <f t="shared" si="30"/>
        <v/>
      </c>
      <c r="AO33" s="44" t="str">
        <f t="shared" si="31"/>
        <v/>
      </c>
      <c r="AP33" s="44" t="str">
        <f t="shared" si="32"/>
        <v/>
      </c>
      <c r="AQ33" s="44" t="str">
        <f>IF(AO33&lt;&gt;"",AO33*_xlfn.XLOOKUP($D$16,Tabela1[Tradin/Despachante],Tabela1[Bonificação]),"")</f>
        <v/>
      </c>
      <c r="AR33" s="44" t="str">
        <f t="shared" si="33"/>
        <v/>
      </c>
      <c r="AS33" s="44" t="str">
        <f t="shared" si="34"/>
        <v/>
      </c>
      <c r="AT33" s="51" t="str">
        <f t="shared" si="35"/>
        <v/>
      </c>
      <c r="AU33" s="51" t="str">
        <f t="shared" si="36"/>
        <v/>
      </c>
      <c r="AW33" s="41" t="str">
        <f t="shared" si="37"/>
        <v/>
      </c>
      <c r="AX33" s="41" t="str">
        <f t="shared" si="38"/>
        <v/>
      </c>
      <c r="AY33" s="41" t="str">
        <f t="shared" si="39"/>
        <v/>
      </c>
      <c r="AZ33" s="44" t="str">
        <f t="shared" si="40"/>
        <v/>
      </c>
      <c r="BA33" s="41" t="str">
        <f t="shared" si="41"/>
        <v/>
      </c>
    </row>
    <row r="34" spans="1:53" s="23" customFormat="1" ht="27.75" customHeight="1" x14ac:dyDescent="0.25">
      <c r="B34" s="41">
        <f t="shared" si="42"/>
        <v>10</v>
      </c>
      <c r="C34" s="42"/>
      <c r="D34" s="6"/>
      <c r="E34" s="33"/>
      <c r="F34" s="42"/>
      <c r="G34" s="42"/>
      <c r="H34" s="42"/>
      <c r="I34" s="41" t="str">
        <f t="shared" si="16"/>
        <v/>
      </c>
      <c r="J34" s="44" t="str">
        <f t="shared" si="17"/>
        <v/>
      </c>
      <c r="L34" s="43"/>
      <c r="M34" s="44" t="str">
        <f t="shared" si="18"/>
        <v/>
      </c>
      <c r="N34" s="45"/>
      <c r="O34" s="46"/>
      <c r="P34" s="46"/>
      <c r="Q34" s="47"/>
      <c r="R34" s="47"/>
      <c r="S34" s="48">
        <v>0</v>
      </c>
      <c r="T34" s="48">
        <v>0.04</v>
      </c>
      <c r="U34" s="49" t="str">
        <f t="shared" si="19"/>
        <v/>
      </c>
      <c r="V34" s="44" t="str">
        <f t="shared" si="20"/>
        <v/>
      </c>
      <c r="W34" s="44" t="str">
        <f t="shared" si="21"/>
        <v/>
      </c>
      <c r="X34" s="44" t="str">
        <f t="shared" si="22"/>
        <v/>
      </c>
      <c r="Y34" s="44" t="str">
        <f t="shared" si="23"/>
        <v/>
      </c>
      <c r="Z34" s="44" t="str">
        <f t="shared" si="24"/>
        <v/>
      </c>
      <c r="AB34" s="44" t="str">
        <f t="shared" si="4"/>
        <v/>
      </c>
      <c r="AC34" s="44" t="str">
        <f t="shared" si="4"/>
        <v/>
      </c>
      <c r="AD34" s="44" t="str">
        <f t="shared" si="4"/>
        <v/>
      </c>
      <c r="AE34" s="44" t="str">
        <f t="shared" si="25"/>
        <v/>
      </c>
      <c r="AF34" s="44" t="str">
        <f t="shared" si="26"/>
        <v/>
      </c>
      <c r="AG34" s="44" t="str">
        <f t="shared" si="6"/>
        <v/>
      </c>
      <c r="AH34" s="44" t="str">
        <f t="shared" si="7"/>
        <v/>
      </c>
      <c r="AI34" s="44" t="str">
        <f t="shared" si="8"/>
        <v/>
      </c>
      <c r="AJ34" s="44" t="str">
        <f t="shared" si="27"/>
        <v/>
      </c>
      <c r="AK34" s="44" t="str">
        <f t="shared" si="28"/>
        <v/>
      </c>
      <c r="AL34" s="50" t="str">
        <f t="shared" si="29"/>
        <v/>
      </c>
      <c r="AM34" s="50" t="str">
        <f t="shared" si="30"/>
        <v/>
      </c>
      <c r="AO34" s="44" t="str">
        <f t="shared" si="31"/>
        <v/>
      </c>
      <c r="AP34" s="44" t="str">
        <f t="shared" si="32"/>
        <v/>
      </c>
      <c r="AQ34" s="44" t="str">
        <f>IF(AO34&lt;&gt;"",AO34*_xlfn.XLOOKUP($D$16,Tabela1[Tradin/Despachante],Tabela1[Bonificação]),"")</f>
        <v/>
      </c>
      <c r="AR34" s="44" t="str">
        <f t="shared" si="33"/>
        <v/>
      </c>
      <c r="AS34" s="44" t="str">
        <f t="shared" si="34"/>
        <v/>
      </c>
      <c r="AT34" s="51" t="str">
        <f t="shared" si="35"/>
        <v/>
      </c>
      <c r="AU34" s="51" t="str">
        <f t="shared" si="36"/>
        <v/>
      </c>
      <c r="AW34" s="41" t="str">
        <f t="shared" si="37"/>
        <v/>
      </c>
      <c r="AX34" s="41" t="str">
        <f t="shared" si="38"/>
        <v/>
      </c>
      <c r="AY34" s="41" t="str">
        <f t="shared" si="39"/>
        <v/>
      </c>
      <c r="AZ34" s="44" t="str">
        <f t="shared" si="40"/>
        <v/>
      </c>
      <c r="BA34" s="41" t="str">
        <f t="shared" si="41"/>
        <v/>
      </c>
    </row>
    <row r="35" spans="1:53" s="23" customFormat="1" ht="27.75" customHeight="1" x14ac:dyDescent="0.25">
      <c r="B35" s="41">
        <f t="shared" si="42"/>
        <v>11</v>
      </c>
      <c r="C35" s="42"/>
      <c r="D35" s="6"/>
      <c r="E35" s="33"/>
      <c r="F35" s="42"/>
      <c r="G35" s="42"/>
      <c r="H35" s="42"/>
      <c r="I35" s="41" t="str">
        <f t="shared" si="16"/>
        <v/>
      </c>
      <c r="J35" s="44" t="str">
        <f t="shared" si="17"/>
        <v/>
      </c>
      <c r="L35" s="43"/>
      <c r="M35" s="44" t="str">
        <f t="shared" si="18"/>
        <v/>
      </c>
      <c r="N35" s="45"/>
      <c r="O35" s="46"/>
      <c r="P35" s="46"/>
      <c r="Q35" s="47"/>
      <c r="R35" s="47"/>
      <c r="S35" s="48">
        <v>0</v>
      </c>
      <c r="T35" s="48">
        <v>0.04</v>
      </c>
      <c r="U35" s="49" t="str">
        <f t="shared" si="19"/>
        <v/>
      </c>
      <c r="V35" s="44" t="str">
        <f t="shared" si="20"/>
        <v/>
      </c>
      <c r="W35" s="44" t="str">
        <f t="shared" si="21"/>
        <v/>
      </c>
      <c r="X35" s="44" t="str">
        <f t="shared" si="22"/>
        <v/>
      </c>
      <c r="Y35" s="44" t="str">
        <f t="shared" si="23"/>
        <v/>
      </c>
      <c r="Z35" s="44" t="str">
        <f t="shared" si="24"/>
        <v/>
      </c>
      <c r="AB35" s="44" t="str">
        <f t="shared" si="4"/>
        <v/>
      </c>
      <c r="AC35" s="44" t="str">
        <f t="shared" si="4"/>
        <v/>
      </c>
      <c r="AD35" s="44" t="str">
        <f t="shared" si="4"/>
        <v/>
      </c>
      <c r="AE35" s="44" t="str">
        <f t="shared" si="25"/>
        <v/>
      </c>
      <c r="AF35" s="44" t="str">
        <f t="shared" si="26"/>
        <v/>
      </c>
      <c r="AG35" s="44" t="str">
        <f t="shared" si="6"/>
        <v/>
      </c>
      <c r="AH35" s="44" t="str">
        <f t="shared" si="7"/>
        <v/>
      </c>
      <c r="AI35" s="44" t="str">
        <f t="shared" si="8"/>
        <v/>
      </c>
      <c r="AJ35" s="44" t="str">
        <f t="shared" si="27"/>
        <v/>
      </c>
      <c r="AK35" s="44" t="str">
        <f t="shared" si="28"/>
        <v/>
      </c>
      <c r="AL35" s="50" t="str">
        <f t="shared" si="29"/>
        <v/>
      </c>
      <c r="AM35" s="50" t="str">
        <f t="shared" si="30"/>
        <v/>
      </c>
      <c r="AO35" s="44" t="str">
        <f t="shared" si="31"/>
        <v/>
      </c>
      <c r="AP35" s="44" t="str">
        <f t="shared" si="32"/>
        <v/>
      </c>
      <c r="AQ35" s="44" t="str">
        <f>IF(AO35&lt;&gt;"",AO35*_xlfn.XLOOKUP($D$16,Tabela1[Tradin/Despachante],Tabela1[Bonificação]),"")</f>
        <v/>
      </c>
      <c r="AR35" s="44" t="str">
        <f t="shared" si="33"/>
        <v/>
      </c>
      <c r="AS35" s="44" t="str">
        <f t="shared" si="34"/>
        <v/>
      </c>
      <c r="AT35" s="51" t="str">
        <f t="shared" si="35"/>
        <v/>
      </c>
      <c r="AU35" s="51" t="str">
        <f t="shared" si="36"/>
        <v/>
      </c>
      <c r="AW35" s="41" t="str">
        <f t="shared" si="37"/>
        <v/>
      </c>
      <c r="AX35" s="41" t="str">
        <f t="shared" si="38"/>
        <v/>
      </c>
      <c r="AY35" s="41" t="str">
        <f t="shared" si="39"/>
        <v/>
      </c>
      <c r="AZ35" s="44" t="str">
        <f t="shared" si="40"/>
        <v/>
      </c>
      <c r="BA35" s="41" t="str">
        <f t="shared" si="41"/>
        <v/>
      </c>
    </row>
    <row r="36" spans="1:53" s="23" customFormat="1" ht="27.75" customHeight="1" x14ac:dyDescent="0.25">
      <c r="B36" s="41">
        <f t="shared" si="42"/>
        <v>12</v>
      </c>
      <c r="C36" s="42"/>
      <c r="D36" s="6"/>
      <c r="E36" s="33"/>
      <c r="F36" s="42"/>
      <c r="G36" s="42"/>
      <c r="H36" s="42"/>
      <c r="I36" s="41" t="str">
        <f t="shared" si="16"/>
        <v/>
      </c>
      <c r="J36" s="44" t="str">
        <f t="shared" si="17"/>
        <v/>
      </c>
      <c r="L36" s="43"/>
      <c r="M36" s="44" t="str">
        <f t="shared" si="18"/>
        <v/>
      </c>
      <c r="N36" s="45"/>
      <c r="O36" s="46"/>
      <c r="P36" s="46"/>
      <c r="Q36" s="47"/>
      <c r="R36" s="47"/>
      <c r="S36" s="48">
        <v>0</v>
      </c>
      <c r="T36" s="48">
        <v>0.04</v>
      </c>
      <c r="U36" s="49" t="str">
        <f t="shared" si="19"/>
        <v/>
      </c>
      <c r="V36" s="44" t="str">
        <f t="shared" si="20"/>
        <v/>
      </c>
      <c r="W36" s="44" t="str">
        <f t="shared" si="21"/>
        <v/>
      </c>
      <c r="X36" s="44" t="str">
        <f t="shared" si="22"/>
        <v/>
      </c>
      <c r="Y36" s="44" t="str">
        <f t="shared" si="23"/>
        <v/>
      </c>
      <c r="Z36" s="44" t="str">
        <f t="shared" si="24"/>
        <v/>
      </c>
      <c r="AB36" s="44" t="str">
        <f t="shared" si="4"/>
        <v/>
      </c>
      <c r="AC36" s="44" t="str">
        <f t="shared" si="4"/>
        <v/>
      </c>
      <c r="AD36" s="44" t="str">
        <f t="shared" si="4"/>
        <v/>
      </c>
      <c r="AE36" s="44" t="str">
        <f t="shared" si="25"/>
        <v/>
      </c>
      <c r="AF36" s="44" t="str">
        <f t="shared" si="26"/>
        <v/>
      </c>
      <c r="AG36" s="44" t="str">
        <f t="shared" si="6"/>
        <v/>
      </c>
      <c r="AH36" s="44" t="str">
        <f t="shared" si="7"/>
        <v/>
      </c>
      <c r="AI36" s="44" t="str">
        <f t="shared" si="8"/>
        <v/>
      </c>
      <c r="AJ36" s="44" t="str">
        <f t="shared" si="27"/>
        <v/>
      </c>
      <c r="AK36" s="44" t="str">
        <f t="shared" si="28"/>
        <v/>
      </c>
      <c r="AL36" s="50" t="str">
        <f t="shared" si="29"/>
        <v/>
      </c>
      <c r="AM36" s="50" t="str">
        <f t="shared" si="30"/>
        <v/>
      </c>
      <c r="AO36" s="44" t="str">
        <f t="shared" si="31"/>
        <v/>
      </c>
      <c r="AP36" s="44" t="str">
        <f t="shared" si="32"/>
        <v/>
      </c>
      <c r="AQ36" s="44" t="str">
        <f>IF(AO36&lt;&gt;"",AO36*_xlfn.XLOOKUP($D$16,Tabela1[Tradin/Despachante],Tabela1[Bonificação]),"")</f>
        <v/>
      </c>
      <c r="AR36" s="44" t="str">
        <f t="shared" si="33"/>
        <v/>
      </c>
      <c r="AS36" s="44" t="str">
        <f t="shared" si="34"/>
        <v/>
      </c>
      <c r="AT36" s="51" t="str">
        <f t="shared" si="35"/>
        <v/>
      </c>
      <c r="AU36" s="51" t="str">
        <f t="shared" si="36"/>
        <v/>
      </c>
      <c r="AW36" s="41" t="str">
        <f t="shared" si="37"/>
        <v/>
      </c>
      <c r="AX36" s="41" t="str">
        <f t="shared" si="38"/>
        <v/>
      </c>
      <c r="AY36" s="41" t="str">
        <f t="shared" si="39"/>
        <v/>
      </c>
      <c r="AZ36" s="44" t="str">
        <f t="shared" si="40"/>
        <v/>
      </c>
      <c r="BA36" s="41" t="str">
        <f t="shared" si="41"/>
        <v/>
      </c>
    </row>
    <row r="37" spans="1:53" s="23" customFormat="1" ht="27.75" customHeight="1" x14ac:dyDescent="0.25">
      <c r="B37" s="41">
        <f t="shared" si="42"/>
        <v>13</v>
      </c>
      <c r="C37" s="42"/>
      <c r="D37" s="6"/>
      <c r="E37" s="33"/>
      <c r="F37" s="42"/>
      <c r="G37" s="42"/>
      <c r="H37" s="42"/>
      <c r="I37" s="41" t="str">
        <f t="shared" si="16"/>
        <v/>
      </c>
      <c r="J37" s="44" t="str">
        <f t="shared" si="17"/>
        <v/>
      </c>
      <c r="L37" s="43"/>
      <c r="M37" s="44" t="str">
        <f t="shared" si="18"/>
        <v/>
      </c>
      <c r="N37" s="45"/>
      <c r="O37" s="46"/>
      <c r="P37" s="46"/>
      <c r="Q37" s="47"/>
      <c r="R37" s="47"/>
      <c r="S37" s="48">
        <v>0</v>
      </c>
      <c r="T37" s="48">
        <v>0.04</v>
      </c>
      <c r="U37" s="49" t="str">
        <f t="shared" si="19"/>
        <v/>
      </c>
      <c r="V37" s="44" t="str">
        <f t="shared" si="20"/>
        <v/>
      </c>
      <c r="W37" s="44" t="str">
        <f t="shared" si="21"/>
        <v/>
      </c>
      <c r="X37" s="44" t="str">
        <f t="shared" si="22"/>
        <v/>
      </c>
      <c r="Y37" s="44" t="str">
        <f t="shared" si="23"/>
        <v/>
      </c>
      <c r="Z37" s="44" t="str">
        <f t="shared" si="24"/>
        <v/>
      </c>
      <c r="AB37" s="44" t="str">
        <f t="shared" si="4"/>
        <v/>
      </c>
      <c r="AC37" s="44" t="str">
        <f t="shared" si="4"/>
        <v/>
      </c>
      <c r="AD37" s="44" t="str">
        <f t="shared" si="4"/>
        <v/>
      </c>
      <c r="AE37" s="44" t="str">
        <f t="shared" si="25"/>
        <v/>
      </c>
      <c r="AF37" s="44" t="str">
        <f t="shared" si="26"/>
        <v/>
      </c>
      <c r="AG37" s="44" t="str">
        <f t="shared" si="6"/>
        <v/>
      </c>
      <c r="AH37" s="44" t="str">
        <f t="shared" si="7"/>
        <v/>
      </c>
      <c r="AI37" s="44" t="str">
        <f t="shared" si="8"/>
        <v/>
      </c>
      <c r="AJ37" s="44" t="str">
        <f t="shared" si="27"/>
        <v/>
      </c>
      <c r="AK37" s="44" t="str">
        <f t="shared" si="28"/>
        <v/>
      </c>
      <c r="AL37" s="50" t="str">
        <f t="shared" si="29"/>
        <v/>
      </c>
      <c r="AM37" s="50" t="str">
        <f t="shared" si="30"/>
        <v/>
      </c>
      <c r="AO37" s="44" t="str">
        <f t="shared" si="31"/>
        <v/>
      </c>
      <c r="AP37" s="44" t="str">
        <f t="shared" si="32"/>
        <v/>
      </c>
      <c r="AQ37" s="44" t="str">
        <f>IF(AO37&lt;&gt;"",AO37*_xlfn.XLOOKUP($D$16,Tabela1[Tradin/Despachante],Tabela1[Bonificação]),"")</f>
        <v/>
      </c>
      <c r="AR37" s="44" t="str">
        <f t="shared" si="33"/>
        <v/>
      </c>
      <c r="AS37" s="44" t="str">
        <f t="shared" si="34"/>
        <v/>
      </c>
      <c r="AT37" s="51" t="str">
        <f t="shared" si="35"/>
        <v/>
      </c>
      <c r="AU37" s="51" t="str">
        <f t="shared" si="36"/>
        <v/>
      </c>
      <c r="AW37" s="41" t="str">
        <f t="shared" si="37"/>
        <v/>
      </c>
      <c r="AX37" s="41" t="str">
        <f t="shared" si="38"/>
        <v/>
      </c>
      <c r="AY37" s="41" t="str">
        <f t="shared" si="39"/>
        <v/>
      </c>
      <c r="AZ37" s="44" t="str">
        <f t="shared" si="40"/>
        <v/>
      </c>
      <c r="BA37" s="41" t="str">
        <f t="shared" si="41"/>
        <v/>
      </c>
    </row>
    <row r="38" spans="1:53" s="23" customFormat="1" ht="27.75" customHeight="1" x14ac:dyDescent="0.25">
      <c r="B38" s="41">
        <f t="shared" si="42"/>
        <v>14</v>
      </c>
      <c r="C38" s="42"/>
      <c r="D38" s="6"/>
      <c r="E38" s="33"/>
      <c r="F38" s="42"/>
      <c r="G38" s="42"/>
      <c r="H38" s="42"/>
      <c r="I38" s="41" t="str">
        <f t="shared" si="16"/>
        <v/>
      </c>
      <c r="J38" s="44" t="str">
        <f t="shared" si="17"/>
        <v/>
      </c>
      <c r="L38" s="43"/>
      <c r="M38" s="44" t="str">
        <f t="shared" si="18"/>
        <v/>
      </c>
      <c r="N38" s="45"/>
      <c r="O38" s="46"/>
      <c r="P38" s="46"/>
      <c r="Q38" s="47"/>
      <c r="R38" s="47"/>
      <c r="S38" s="48">
        <v>0</v>
      </c>
      <c r="T38" s="48">
        <v>0.04</v>
      </c>
      <c r="U38" s="49" t="str">
        <f t="shared" si="19"/>
        <v/>
      </c>
      <c r="V38" s="44" t="str">
        <f t="shared" si="20"/>
        <v/>
      </c>
      <c r="W38" s="44" t="str">
        <f t="shared" si="21"/>
        <v/>
      </c>
      <c r="X38" s="44" t="str">
        <f t="shared" si="22"/>
        <v/>
      </c>
      <c r="Y38" s="44" t="str">
        <f t="shared" si="23"/>
        <v/>
      </c>
      <c r="Z38" s="44" t="str">
        <f t="shared" si="24"/>
        <v/>
      </c>
      <c r="AB38" s="44" t="str">
        <f t="shared" si="4"/>
        <v/>
      </c>
      <c r="AC38" s="44" t="str">
        <f t="shared" si="4"/>
        <v/>
      </c>
      <c r="AD38" s="44" t="str">
        <f t="shared" si="4"/>
        <v/>
      </c>
      <c r="AE38" s="44" t="str">
        <f t="shared" si="25"/>
        <v/>
      </c>
      <c r="AF38" s="44" t="str">
        <f t="shared" si="26"/>
        <v/>
      </c>
      <c r="AG38" s="44" t="str">
        <f t="shared" si="6"/>
        <v/>
      </c>
      <c r="AH38" s="44" t="str">
        <f t="shared" si="7"/>
        <v/>
      </c>
      <c r="AI38" s="44" t="str">
        <f t="shared" si="8"/>
        <v/>
      </c>
      <c r="AJ38" s="44" t="str">
        <f t="shared" si="27"/>
        <v/>
      </c>
      <c r="AK38" s="44" t="str">
        <f t="shared" si="28"/>
        <v/>
      </c>
      <c r="AL38" s="50" t="str">
        <f t="shared" si="29"/>
        <v/>
      </c>
      <c r="AM38" s="50" t="str">
        <f t="shared" si="30"/>
        <v/>
      </c>
      <c r="AO38" s="44" t="str">
        <f t="shared" si="31"/>
        <v/>
      </c>
      <c r="AP38" s="44" t="str">
        <f t="shared" si="32"/>
        <v/>
      </c>
      <c r="AQ38" s="44" t="str">
        <f>IF(AO38&lt;&gt;"",AO38*_xlfn.XLOOKUP($D$16,Tabela1[Tradin/Despachante],Tabela1[Bonificação]),"")</f>
        <v/>
      </c>
      <c r="AR38" s="44" t="str">
        <f t="shared" si="33"/>
        <v/>
      </c>
      <c r="AS38" s="44" t="str">
        <f t="shared" si="34"/>
        <v/>
      </c>
      <c r="AT38" s="51" t="str">
        <f t="shared" si="35"/>
        <v/>
      </c>
      <c r="AU38" s="51" t="str">
        <f t="shared" si="36"/>
        <v/>
      </c>
      <c r="AW38" s="41" t="str">
        <f t="shared" si="37"/>
        <v/>
      </c>
      <c r="AX38" s="41" t="str">
        <f t="shared" si="38"/>
        <v/>
      </c>
      <c r="AY38" s="41" t="str">
        <f t="shared" si="39"/>
        <v/>
      </c>
      <c r="AZ38" s="44" t="str">
        <f t="shared" si="40"/>
        <v/>
      </c>
      <c r="BA38" s="41" t="str">
        <f t="shared" si="41"/>
        <v/>
      </c>
    </row>
    <row r="39" spans="1:53" s="23" customFormat="1" ht="27.75" customHeight="1" x14ac:dyDescent="0.25">
      <c r="B39" s="41">
        <f t="shared" si="42"/>
        <v>15</v>
      </c>
      <c r="C39" s="42"/>
      <c r="D39" s="6"/>
      <c r="E39" s="33"/>
      <c r="F39" s="42"/>
      <c r="G39" s="42"/>
      <c r="H39" s="42"/>
      <c r="I39" s="41" t="str">
        <f t="shared" si="16"/>
        <v/>
      </c>
      <c r="J39" s="44" t="str">
        <f t="shared" si="17"/>
        <v/>
      </c>
      <c r="L39" s="43"/>
      <c r="M39" s="44" t="str">
        <f t="shared" si="18"/>
        <v/>
      </c>
      <c r="N39" s="45"/>
      <c r="O39" s="46"/>
      <c r="P39" s="46"/>
      <c r="Q39" s="47"/>
      <c r="R39" s="47"/>
      <c r="S39" s="48">
        <v>0</v>
      </c>
      <c r="T39" s="48">
        <v>0.04</v>
      </c>
      <c r="U39" s="49" t="str">
        <f t="shared" si="19"/>
        <v/>
      </c>
      <c r="V39" s="44" t="str">
        <f t="shared" si="20"/>
        <v/>
      </c>
      <c r="W39" s="44" t="str">
        <f t="shared" si="21"/>
        <v/>
      </c>
      <c r="X39" s="44" t="str">
        <f t="shared" si="22"/>
        <v/>
      </c>
      <c r="Y39" s="44" t="str">
        <f t="shared" si="23"/>
        <v/>
      </c>
      <c r="Z39" s="44" t="str">
        <f t="shared" si="24"/>
        <v/>
      </c>
      <c r="AB39" s="44" t="str">
        <f t="shared" si="4"/>
        <v/>
      </c>
      <c r="AC39" s="44" t="str">
        <f t="shared" si="4"/>
        <v/>
      </c>
      <c r="AD39" s="44" t="str">
        <f t="shared" si="4"/>
        <v/>
      </c>
      <c r="AE39" s="44" t="str">
        <f t="shared" si="25"/>
        <v/>
      </c>
      <c r="AF39" s="44" t="str">
        <f t="shared" si="26"/>
        <v/>
      </c>
      <c r="AG39" s="44" t="str">
        <f t="shared" si="6"/>
        <v/>
      </c>
      <c r="AH39" s="44" t="str">
        <f t="shared" si="7"/>
        <v/>
      </c>
      <c r="AI39" s="44" t="str">
        <f t="shared" si="8"/>
        <v/>
      </c>
      <c r="AJ39" s="44" t="str">
        <f t="shared" si="27"/>
        <v/>
      </c>
      <c r="AK39" s="44" t="str">
        <f t="shared" si="28"/>
        <v/>
      </c>
      <c r="AL39" s="50" t="str">
        <f t="shared" si="29"/>
        <v/>
      </c>
      <c r="AM39" s="50" t="str">
        <f t="shared" si="30"/>
        <v/>
      </c>
      <c r="AO39" s="44" t="str">
        <f t="shared" si="31"/>
        <v/>
      </c>
      <c r="AP39" s="44" t="str">
        <f t="shared" si="32"/>
        <v/>
      </c>
      <c r="AQ39" s="44" t="str">
        <f>IF(AO39&lt;&gt;"",AO39*_xlfn.XLOOKUP($D$16,Tabela1[Tradin/Despachante],Tabela1[Bonificação]),"")</f>
        <v/>
      </c>
      <c r="AR39" s="44" t="str">
        <f t="shared" si="33"/>
        <v/>
      </c>
      <c r="AS39" s="44" t="str">
        <f t="shared" si="34"/>
        <v/>
      </c>
      <c r="AT39" s="51" t="str">
        <f t="shared" si="35"/>
        <v/>
      </c>
      <c r="AU39" s="51" t="str">
        <f t="shared" si="36"/>
        <v/>
      </c>
      <c r="AW39" s="41" t="str">
        <f t="shared" si="37"/>
        <v/>
      </c>
      <c r="AX39" s="41" t="str">
        <f t="shared" si="38"/>
        <v/>
      </c>
      <c r="AY39" s="41" t="str">
        <f t="shared" si="39"/>
        <v/>
      </c>
      <c r="AZ39" s="44" t="str">
        <f t="shared" si="40"/>
        <v/>
      </c>
      <c r="BA39" s="41" t="str">
        <f t="shared" si="41"/>
        <v/>
      </c>
    </row>
    <row r="40" spans="1:53" s="23" customFormat="1" ht="27.75" customHeight="1" x14ac:dyDescent="0.25">
      <c r="B40" s="41">
        <f t="shared" si="42"/>
        <v>16</v>
      </c>
      <c r="C40" s="42"/>
      <c r="D40" s="6"/>
      <c r="E40" s="33"/>
      <c r="F40" s="42"/>
      <c r="G40" s="42"/>
      <c r="H40" s="42"/>
      <c r="I40" s="41" t="str">
        <f t="shared" si="16"/>
        <v/>
      </c>
      <c r="J40" s="44" t="str">
        <f t="shared" si="17"/>
        <v/>
      </c>
      <c r="L40" s="43"/>
      <c r="M40" s="44" t="str">
        <f t="shared" si="18"/>
        <v/>
      </c>
      <c r="N40" s="45"/>
      <c r="O40" s="46"/>
      <c r="P40" s="46"/>
      <c r="Q40" s="47"/>
      <c r="R40" s="47"/>
      <c r="S40" s="48">
        <v>0</v>
      </c>
      <c r="T40" s="48">
        <v>0.04</v>
      </c>
      <c r="U40" s="49" t="str">
        <f t="shared" si="19"/>
        <v/>
      </c>
      <c r="V40" s="44" t="str">
        <f t="shared" si="20"/>
        <v/>
      </c>
      <c r="W40" s="44" t="str">
        <f t="shared" si="21"/>
        <v/>
      </c>
      <c r="X40" s="44" t="str">
        <f t="shared" si="22"/>
        <v/>
      </c>
      <c r="Y40" s="44" t="str">
        <f t="shared" si="23"/>
        <v/>
      </c>
      <c r="Z40" s="44" t="str">
        <f t="shared" si="24"/>
        <v/>
      </c>
      <c r="AB40" s="44" t="str">
        <f t="shared" si="4"/>
        <v/>
      </c>
      <c r="AC40" s="44" t="str">
        <f t="shared" si="4"/>
        <v/>
      </c>
      <c r="AD40" s="44" t="str">
        <f t="shared" si="4"/>
        <v/>
      </c>
      <c r="AE40" s="44" t="str">
        <f t="shared" si="25"/>
        <v/>
      </c>
      <c r="AF40" s="44" t="str">
        <f t="shared" si="26"/>
        <v/>
      </c>
      <c r="AG40" s="44" t="str">
        <f t="shared" si="6"/>
        <v/>
      </c>
      <c r="AH40" s="44" t="str">
        <f t="shared" si="7"/>
        <v/>
      </c>
      <c r="AI40" s="44" t="str">
        <f t="shared" si="8"/>
        <v/>
      </c>
      <c r="AJ40" s="44" t="str">
        <f t="shared" si="27"/>
        <v/>
      </c>
      <c r="AK40" s="44" t="str">
        <f t="shared" si="28"/>
        <v/>
      </c>
      <c r="AL40" s="50" t="str">
        <f t="shared" si="29"/>
        <v/>
      </c>
      <c r="AM40" s="50" t="str">
        <f t="shared" si="30"/>
        <v/>
      </c>
      <c r="AO40" s="44" t="str">
        <f t="shared" si="31"/>
        <v/>
      </c>
      <c r="AP40" s="44" t="str">
        <f t="shared" si="32"/>
        <v/>
      </c>
      <c r="AQ40" s="44" t="str">
        <f>IF(AO40&lt;&gt;"",AO40*_xlfn.XLOOKUP($D$16,Tabela1[Tradin/Despachante],Tabela1[Bonificação]),"")</f>
        <v/>
      </c>
      <c r="AR40" s="44" t="str">
        <f t="shared" si="33"/>
        <v/>
      </c>
      <c r="AS40" s="44" t="str">
        <f t="shared" si="34"/>
        <v/>
      </c>
      <c r="AT40" s="51" t="str">
        <f t="shared" si="35"/>
        <v/>
      </c>
      <c r="AU40" s="51" t="str">
        <f t="shared" si="36"/>
        <v/>
      </c>
      <c r="AW40" s="41" t="str">
        <f t="shared" si="37"/>
        <v/>
      </c>
      <c r="AX40" s="41" t="str">
        <f t="shared" si="38"/>
        <v/>
      </c>
      <c r="AY40" s="41" t="str">
        <f t="shared" si="39"/>
        <v/>
      </c>
      <c r="AZ40" s="44" t="str">
        <f t="shared" si="40"/>
        <v/>
      </c>
      <c r="BA40" s="41" t="str">
        <f t="shared" si="41"/>
        <v/>
      </c>
    </row>
    <row r="41" spans="1:53" s="23" customFormat="1" ht="27.75" customHeight="1" x14ac:dyDescent="0.25">
      <c r="B41" s="41">
        <f t="shared" si="42"/>
        <v>17</v>
      </c>
      <c r="C41" s="42"/>
      <c r="D41" s="6"/>
      <c r="E41" s="33"/>
      <c r="F41" s="42"/>
      <c r="G41" s="42"/>
      <c r="H41" s="42"/>
      <c r="I41" s="41" t="str">
        <f t="shared" si="16"/>
        <v/>
      </c>
      <c r="J41" s="44" t="str">
        <f t="shared" si="17"/>
        <v/>
      </c>
      <c r="L41" s="43"/>
      <c r="M41" s="44" t="str">
        <f t="shared" si="18"/>
        <v/>
      </c>
      <c r="N41" s="45"/>
      <c r="O41" s="46"/>
      <c r="P41" s="46"/>
      <c r="Q41" s="47"/>
      <c r="R41" s="47"/>
      <c r="S41" s="48">
        <v>0</v>
      </c>
      <c r="T41" s="48">
        <v>0.04</v>
      </c>
      <c r="U41" s="49" t="str">
        <f t="shared" si="19"/>
        <v/>
      </c>
      <c r="V41" s="44" t="str">
        <f t="shared" si="20"/>
        <v/>
      </c>
      <c r="W41" s="44" t="str">
        <f t="shared" si="21"/>
        <v/>
      </c>
      <c r="X41" s="44" t="str">
        <f t="shared" si="22"/>
        <v/>
      </c>
      <c r="Y41" s="44" t="str">
        <f t="shared" si="23"/>
        <v/>
      </c>
      <c r="Z41" s="44" t="str">
        <f t="shared" si="24"/>
        <v/>
      </c>
      <c r="AB41" s="44" t="str">
        <f t="shared" ref="AB41:AD46" si="43">IF(AB$47&lt;&gt;"",($L41/$L$47)*AB$47,"")</f>
        <v/>
      </c>
      <c r="AC41" s="44" t="str">
        <f t="shared" si="43"/>
        <v/>
      </c>
      <c r="AD41" s="44" t="str">
        <f t="shared" si="43"/>
        <v/>
      </c>
      <c r="AE41" s="44" t="str">
        <f t="shared" si="25"/>
        <v/>
      </c>
      <c r="AF41" s="44" t="str">
        <f t="shared" si="26"/>
        <v/>
      </c>
      <c r="AG41" s="44" t="str">
        <f t="shared" si="6"/>
        <v/>
      </c>
      <c r="AH41" s="44" t="str">
        <f t="shared" si="7"/>
        <v/>
      </c>
      <c r="AI41" s="44" t="str">
        <f t="shared" si="8"/>
        <v/>
      </c>
      <c r="AJ41" s="44" t="str">
        <f t="shared" si="27"/>
        <v/>
      </c>
      <c r="AK41" s="44" t="str">
        <f t="shared" si="28"/>
        <v/>
      </c>
      <c r="AL41" s="50" t="str">
        <f t="shared" si="29"/>
        <v/>
      </c>
      <c r="AM41" s="50" t="str">
        <f t="shared" si="30"/>
        <v/>
      </c>
      <c r="AO41" s="44" t="str">
        <f t="shared" si="31"/>
        <v/>
      </c>
      <c r="AP41" s="44" t="str">
        <f t="shared" si="32"/>
        <v/>
      </c>
      <c r="AQ41" s="44" t="str">
        <f>IF(AO41&lt;&gt;"",AO41*_xlfn.XLOOKUP($D$16,Tabela1[Tradin/Despachante],Tabela1[Bonificação]),"")</f>
        <v/>
      </c>
      <c r="AR41" s="44" t="str">
        <f t="shared" si="33"/>
        <v/>
      </c>
      <c r="AS41" s="44" t="str">
        <f t="shared" si="34"/>
        <v/>
      </c>
      <c r="AT41" s="51" t="str">
        <f t="shared" si="35"/>
        <v/>
      </c>
      <c r="AU41" s="51" t="str">
        <f t="shared" si="36"/>
        <v/>
      </c>
      <c r="AW41" s="41" t="str">
        <f t="shared" si="37"/>
        <v/>
      </c>
      <c r="AX41" s="41" t="str">
        <f t="shared" si="38"/>
        <v/>
      </c>
      <c r="AY41" s="41" t="str">
        <f t="shared" si="39"/>
        <v/>
      </c>
      <c r="AZ41" s="44" t="str">
        <f t="shared" si="40"/>
        <v/>
      </c>
      <c r="BA41" s="41" t="str">
        <f t="shared" si="41"/>
        <v/>
      </c>
    </row>
    <row r="42" spans="1:53" s="23" customFormat="1" ht="27.75" customHeight="1" x14ac:dyDescent="0.25">
      <c r="B42" s="41">
        <f t="shared" si="42"/>
        <v>18</v>
      </c>
      <c r="C42" s="42"/>
      <c r="D42" s="6"/>
      <c r="E42" s="33"/>
      <c r="F42" s="42"/>
      <c r="G42" s="42"/>
      <c r="H42" s="42"/>
      <c r="I42" s="41" t="str">
        <f t="shared" si="16"/>
        <v/>
      </c>
      <c r="J42" s="44" t="str">
        <f t="shared" si="17"/>
        <v/>
      </c>
      <c r="L42" s="43"/>
      <c r="M42" s="44" t="str">
        <f t="shared" si="18"/>
        <v/>
      </c>
      <c r="N42" s="45"/>
      <c r="O42" s="46"/>
      <c r="P42" s="46"/>
      <c r="Q42" s="47"/>
      <c r="R42" s="47"/>
      <c r="S42" s="48">
        <v>0</v>
      </c>
      <c r="T42" s="48">
        <v>0.04</v>
      </c>
      <c r="U42" s="49" t="str">
        <f t="shared" si="19"/>
        <v/>
      </c>
      <c r="V42" s="44" t="str">
        <f t="shared" si="20"/>
        <v/>
      </c>
      <c r="W42" s="44" t="str">
        <f t="shared" si="21"/>
        <v/>
      </c>
      <c r="X42" s="44" t="str">
        <f t="shared" si="22"/>
        <v/>
      </c>
      <c r="Y42" s="44" t="str">
        <f t="shared" si="23"/>
        <v/>
      </c>
      <c r="Z42" s="44" t="str">
        <f t="shared" si="24"/>
        <v/>
      </c>
      <c r="AB42" s="44" t="str">
        <f t="shared" si="43"/>
        <v/>
      </c>
      <c r="AC42" s="44" t="str">
        <f t="shared" si="43"/>
        <v/>
      </c>
      <c r="AD42" s="44" t="str">
        <f t="shared" si="43"/>
        <v/>
      </c>
      <c r="AE42" s="44" t="str">
        <f t="shared" si="25"/>
        <v/>
      </c>
      <c r="AF42" s="44" t="str">
        <f t="shared" si="26"/>
        <v/>
      </c>
      <c r="AG42" s="44" t="str">
        <f t="shared" si="6"/>
        <v/>
      </c>
      <c r="AH42" s="44" t="str">
        <f t="shared" si="7"/>
        <v/>
      </c>
      <c r="AI42" s="44" t="str">
        <f t="shared" si="8"/>
        <v/>
      </c>
      <c r="AJ42" s="44" t="str">
        <f t="shared" si="27"/>
        <v/>
      </c>
      <c r="AK42" s="44" t="str">
        <f t="shared" si="28"/>
        <v/>
      </c>
      <c r="AL42" s="50" t="str">
        <f t="shared" si="29"/>
        <v/>
      </c>
      <c r="AM42" s="50" t="str">
        <f t="shared" si="30"/>
        <v/>
      </c>
      <c r="AO42" s="44" t="str">
        <f t="shared" si="31"/>
        <v/>
      </c>
      <c r="AP42" s="44" t="str">
        <f t="shared" si="32"/>
        <v/>
      </c>
      <c r="AQ42" s="44" t="str">
        <f>IF(AO42&lt;&gt;"",AO42*_xlfn.XLOOKUP($D$16,Tabela1[Tradin/Despachante],Tabela1[Bonificação]),"")</f>
        <v/>
      </c>
      <c r="AR42" s="44" t="str">
        <f t="shared" si="33"/>
        <v/>
      </c>
      <c r="AS42" s="44" t="str">
        <f t="shared" si="34"/>
        <v/>
      </c>
      <c r="AT42" s="51" t="str">
        <f t="shared" si="35"/>
        <v/>
      </c>
      <c r="AU42" s="51" t="str">
        <f t="shared" si="36"/>
        <v/>
      </c>
      <c r="AW42" s="41" t="str">
        <f t="shared" si="37"/>
        <v/>
      </c>
      <c r="AX42" s="41" t="str">
        <f t="shared" si="38"/>
        <v/>
      </c>
      <c r="AY42" s="41" t="str">
        <f t="shared" si="39"/>
        <v/>
      </c>
      <c r="AZ42" s="44" t="str">
        <f t="shared" si="40"/>
        <v/>
      </c>
      <c r="BA42" s="41" t="str">
        <f t="shared" si="41"/>
        <v/>
      </c>
    </row>
    <row r="43" spans="1:53" s="23" customFormat="1" ht="27.75" customHeight="1" x14ac:dyDescent="0.25">
      <c r="B43" s="41">
        <f t="shared" si="42"/>
        <v>19</v>
      </c>
      <c r="C43" s="42"/>
      <c r="D43" s="6"/>
      <c r="E43" s="33"/>
      <c r="F43" s="42"/>
      <c r="G43" s="42"/>
      <c r="H43" s="42"/>
      <c r="I43" s="41" t="str">
        <f t="shared" si="16"/>
        <v/>
      </c>
      <c r="J43" s="44" t="str">
        <f t="shared" si="17"/>
        <v/>
      </c>
      <c r="L43" s="43"/>
      <c r="M43" s="44" t="str">
        <f t="shared" si="18"/>
        <v/>
      </c>
      <c r="N43" s="45"/>
      <c r="O43" s="46"/>
      <c r="P43" s="46"/>
      <c r="Q43" s="47"/>
      <c r="R43" s="47"/>
      <c r="S43" s="48">
        <v>0</v>
      </c>
      <c r="T43" s="48">
        <v>0.04</v>
      </c>
      <c r="U43" s="49" t="str">
        <f t="shared" si="19"/>
        <v/>
      </c>
      <c r="V43" s="44" t="str">
        <f t="shared" si="20"/>
        <v/>
      </c>
      <c r="W43" s="44" t="str">
        <f t="shared" si="21"/>
        <v/>
      </c>
      <c r="X43" s="44" t="str">
        <f t="shared" si="22"/>
        <v/>
      </c>
      <c r="Y43" s="44" t="str">
        <f t="shared" si="23"/>
        <v/>
      </c>
      <c r="Z43" s="44" t="str">
        <f t="shared" si="24"/>
        <v/>
      </c>
      <c r="AB43" s="44" t="str">
        <f t="shared" si="43"/>
        <v/>
      </c>
      <c r="AC43" s="44" t="str">
        <f t="shared" si="43"/>
        <v/>
      </c>
      <c r="AD43" s="44" t="str">
        <f t="shared" si="43"/>
        <v/>
      </c>
      <c r="AE43" s="44" t="str">
        <f t="shared" si="25"/>
        <v/>
      </c>
      <c r="AF43" s="44" t="str">
        <f t="shared" si="26"/>
        <v/>
      </c>
      <c r="AG43" s="44" t="str">
        <f t="shared" si="6"/>
        <v/>
      </c>
      <c r="AH43" s="44" t="str">
        <f t="shared" si="7"/>
        <v/>
      </c>
      <c r="AI43" s="44" t="str">
        <f t="shared" si="8"/>
        <v/>
      </c>
      <c r="AJ43" s="44" t="str">
        <f t="shared" si="27"/>
        <v/>
      </c>
      <c r="AK43" s="44" t="str">
        <f t="shared" si="28"/>
        <v/>
      </c>
      <c r="AL43" s="50" t="str">
        <f t="shared" si="29"/>
        <v/>
      </c>
      <c r="AM43" s="50" t="str">
        <f t="shared" si="30"/>
        <v/>
      </c>
      <c r="AO43" s="44" t="str">
        <f t="shared" si="31"/>
        <v/>
      </c>
      <c r="AP43" s="44" t="str">
        <f t="shared" si="32"/>
        <v/>
      </c>
      <c r="AQ43" s="44" t="str">
        <f>IF(AO43&lt;&gt;"",AO43*_xlfn.XLOOKUP($D$16,Tabela1[Tradin/Despachante],Tabela1[Bonificação]),"")</f>
        <v/>
      </c>
      <c r="AR43" s="44" t="str">
        <f t="shared" si="33"/>
        <v/>
      </c>
      <c r="AS43" s="44" t="str">
        <f t="shared" si="34"/>
        <v/>
      </c>
      <c r="AT43" s="51" t="str">
        <f t="shared" si="35"/>
        <v/>
      </c>
      <c r="AU43" s="51" t="str">
        <f t="shared" si="36"/>
        <v/>
      </c>
      <c r="AW43" s="41" t="str">
        <f t="shared" si="37"/>
        <v/>
      </c>
      <c r="AX43" s="41" t="str">
        <f t="shared" si="38"/>
        <v/>
      </c>
      <c r="AY43" s="41" t="str">
        <f t="shared" si="39"/>
        <v/>
      </c>
      <c r="AZ43" s="44" t="str">
        <f t="shared" si="40"/>
        <v/>
      </c>
      <c r="BA43" s="41" t="str">
        <f t="shared" si="41"/>
        <v/>
      </c>
    </row>
    <row r="44" spans="1:53" s="23" customFormat="1" ht="27.75" customHeight="1" x14ac:dyDescent="0.25">
      <c r="B44" s="41">
        <f t="shared" si="42"/>
        <v>20</v>
      </c>
      <c r="C44" s="42"/>
      <c r="D44" s="6"/>
      <c r="E44" s="33"/>
      <c r="F44" s="42"/>
      <c r="G44" s="42"/>
      <c r="H44" s="42"/>
      <c r="I44" s="41" t="str">
        <f t="shared" si="16"/>
        <v/>
      </c>
      <c r="J44" s="44" t="str">
        <f t="shared" si="17"/>
        <v/>
      </c>
      <c r="L44" s="43"/>
      <c r="M44" s="44" t="str">
        <f t="shared" si="18"/>
        <v/>
      </c>
      <c r="N44" s="45"/>
      <c r="O44" s="46"/>
      <c r="P44" s="46"/>
      <c r="Q44" s="47"/>
      <c r="R44" s="47"/>
      <c r="S44" s="48">
        <v>0</v>
      </c>
      <c r="T44" s="48">
        <v>0.04</v>
      </c>
      <c r="U44" s="49" t="str">
        <f t="shared" si="19"/>
        <v/>
      </c>
      <c r="V44" s="44" t="str">
        <f t="shared" si="20"/>
        <v/>
      </c>
      <c r="W44" s="44" t="str">
        <f t="shared" si="21"/>
        <v/>
      </c>
      <c r="X44" s="44" t="str">
        <f t="shared" si="22"/>
        <v/>
      </c>
      <c r="Y44" s="44" t="str">
        <f t="shared" si="23"/>
        <v/>
      </c>
      <c r="Z44" s="44" t="str">
        <f t="shared" si="24"/>
        <v/>
      </c>
      <c r="AB44" s="44" t="str">
        <f t="shared" si="43"/>
        <v/>
      </c>
      <c r="AC44" s="44" t="str">
        <f t="shared" si="43"/>
        <v/>
      </c>
      <c r="AD44" s="44" t="str">
        <f t="shared" si="43"/>
        <v/>
      </c>
      <c r="AE44" s="44" t="str">
        <f t="shared" si="25"/>
        <v/>
      </c>
      <c r="AF44" s="44" t="str">
        <f t="shared" si="26"/>
        <v/>
      </c>
      <c r="AG44" s="44" t="str">
        <f t="shared" si="6"/>
        <v/>
      </c>
      <c r="AH44" s="44" t="str">
        <f t="shared" si="7"/>
        <v/>
      </c>
      <c r="AI44" s="44" t="str">
        <f t="shared" si="8"/>
        <v/>
      </c>
      <c r="AJ44" s="44" t="str">
        <f t="shared" si="27"/>
        <v/>
      </c>
      <c r="AK44" s="44" t="str">
        <f t="shared" si="28"/>
        <v/>
      </c>
      <c r="AL44" s="50" t="str">
        <f t="shared" si="29"/>
        <v/>
      </c>
      <c r="AM44" s="50" t="str">
        <f t="shared" si="30"/>
        <v/>
      </c>
      <c r="AO44" s="44" t="str">
        <f t="shared" si="31"/>
        <v/>
      </c>
      <c r="AP44" s="44" t="str">
        <f t="shared" si="32"/>
        <v/>
      </c>
      <c r="AQ44" s="44" t="str">
        <f>IF(AO44&lt;&gt;"",AO44*_xlfn.XLOOKUP($D$16,Tabela1[Tradin/Despachante],Tabela1[Bonificação]),"")</f>
        <v/>
      </c>
      <c r="AR44" s="44" t="str">
        <f t="shared" si="33"/>
        <v/>
      </c>
      <c r="AS44" s="44" t="str">
        <f t="shared" si="34"/>
        <v/>
      </c>
      <c r="AT44" s="51" t="str">
        <f t="shared" si="35"/>
        <v/>
      </c>
      <c r="AU44" s="51" t="str">
        <f t="shared" si="36"/>
        <v/>
      </c>
      <c r="AW44" s="41" t="str">
        <f t="shared" si="37"/>
        <v/>
      </c>
      <c r="AX44" s="41" t="str">
        <f t="shared" si="38"/>
        <v/>
      </c>
      <c r="AY44" s="41" t="str">
        <f t="shared" si="39"/>
        <v/>
      </c>
      <c r="AZ44" s="44" t="str">
        <f t="shared" si="40"/>
        <v/>
      </c>
      <c r="BA44" s="41" t="str">
        <f t="shared" si="41"/>
        <v/>
      </c>
    </row>
    <row r="45" spans="1:53" s="23" customFormat="1" ht="27.75" customHeight="1" x14ac:dyDescent="0.25">
      <c r="B45" s="41">
        <f t="shared" si="42"/>
        <v>21</v>
      </c>
      <c r="C45" s="42"/>
      <c r="D45" s="6"/>
      <c r="E45" s="33"/>
      <c r="F45" s="42"/>
      <c r="G45" s="42"/>
      <c r="H45" s="42"/>
      <c r="I45" s="41" t="str">
        <f t="shared" si="16"/>
        <v/>
      </c>
      <c r="J45" s="44" t="str">
        <f t="shared" si="17"/>
        <v/>
      </c>
      <c r="L45" s="43"/>
      <c r="M45" s="44" t="str">
        <f t="shared" si="18"/>
        <v/>
      </c>
      <c r="N45" s="45"/>
      <c r="O45" s="46"/>
      <c r="P45" s="46"/>
      <c r="Q45" s="47"/>
      <c r="R45" s="47"/>
      <c r="S45" s="48">
        <v>0</v>
      </c>
      <c r="T45" s="48">
        <v>0.04</v>
      </c>
      <c r="U45" s="49" t="str">
        <f t="shared" si="19"/>
        <v/>
      </c>
      <c r="V45" s="44" t="str">
        <f t="shared" si="20"/>
        <v/>
      </c>
      <c r="W45" s="44" t="str">
        <f t="shared" si="21"/>
        <v/>
      </c>
      <c r="X45" s="44" t="str">
        <f t="shared" si="22"/>
        <v/>
      </c>
      <c r="Y45" s="44" t="str">
        <f t="shared" si="23"/>
        <v/>
      </c>
      <c r="Z45" s="44" t="str">
        <f t="shared" si="24"/>
        <v/>
      </c>
      <c r="AB45" s="44" t="str">
        <f t="shared" si="43"/>
        <v/>
      </c>
      <c r="AC45" s="44" t="str">
        <f t="shared" si="43"/>
        <v/>
      </c>
      <c r="AD45" s="44" t="str">
        <f t="shared" si="43"/>
        <v/>
      </c>
      <c r="AE45" s="44" t="str">
        <f t="shared" si="25"/>
        <v/>
      </c>
      <c r="AF45" s="44" t="str">
        <f t="shared" si="26"/>
        <v/>
      </c>
      <c r="AG45" s="44" t="str">
        <f t="shared" si="6"/>
        <v/>
      </c>
      <c r="AH45" s="44" t="str">
        <f t="shared" si="7"/>
        <v/>
      </c>
      <c r="AI45" s="44" t="str">
        <f t="shared" si="8"/>
        <v/>
      </c>
      <c r="AJ45" s="44" t="str">
        <f t="shared" si="27"/>
        <v/>
      </c>
      <c r="AK45" s="44" t="str">
        <f t="shared" si="28"/>
        <v/>
      </c>
      <c r="AL45" s="50" t="str">
        <f t="shared" si="29"/>
        <v/>
      </c>
      <c r="AM45" s="50" t="str">
        <f t="shared" si="30"/>
        <v/>
      </c>
      <c r="AO45" s="44" t="str">
        <f t="shared" si="31"/>
        <v/>
      </c>
      <c r="AP45" s="44" t="str">
        <f t="shared" si="32"/>
        <v/>
      </c>
      <c r="AQ45" s="44" t="str">
        <f>IF(AO45&lt;&gt;"",AO45*_xlfn.XLOOKUP($D$16,Tabela1[Tradin/Despachante],Tabela1[Bonificação]),"")</f>
        <v/>
      </c>
      <c r="AR45" s="44" t="str">
        <f t="shared" si="33"/>
        <v/>
      </c>
      <c r="AS45" s="44" t="str">
        <f t="shared" si="34"/>
        <v/>
      </c>
      <c r="AT45" s="51" t="str">
        <f t="shared" si="35"/>
        <v/>
      </c>
      <c r="AU45" s="51" t="str">
        <f t="shared" si="36"/>
        <v/>
      </c>
      <c r="AW45" s="41" t="str">
        <f t="shared" si="37"/>
        <v/>
      </c>
      <c r="AX45" s="41" t="str">
        <f t="shared" si="38"/>
        <v/>
      </c>
      <c r="AY45" s="41" t="str">
        <f t="shared" si="39"/>
        <v/>
      </c>
      <c r="AZ45" s="44" t="str">
        <f t="shared" si="40"/>
        <v/>
      </c>
      <c r="BA45" s="41" t="str">
        <f t="shared" si="41"/>
        <v/>
      </c>
    </row>
    <row r="46" spans="1:53" s="23" customFormat="1" ht="27.75" customHeight="1" x14ac:dyDescent="0.25">
      <c r="B46" s="41">
        <f t="shared" si="42"/>
        <v>22</v>
      </c>
      <c r="C46" s="42"/>
      <c r="D46" s="6"/>
      <c r="E46" s="33"/>
      <c r="F46" s="42"/>
      <c r="G46" s="42"/>
      <c r="H46" s="42"/>
      <c r="I46" s="41" t="str">
        <f t="shared" si="16"/>
        <v/>
      </c>
      <c r="J46" s="44" t="str">
        <f t="shared" si="17"/>
        <v/>
      </c>
      <c r="L46" s="43"/>
      <c r="M46" s="44" t="str">
        <f t="shared" si="18"/>
        <v/>
      </c>
      <c r="N46" s="45"/>
      <c r="O46" s="46"/>
      <c r="P46" s="46"/>
      <c r="Q46" s="47"/>
      <c r="R46" s="47"/>
      <c r="S46" s="48">
        <v>0</v>
      </c>
      <c r="T46" s="48">
        <v>0.04</v>
      </c>
      <c r="U46" s="49" t="str">
        <f t="shared" si="19"/>
        <v/>
      </c>
      <c r="V46" s="44" t="str">
        <f t="shared" si="20"/>
        <v/>
      </c>
      <c r="W46" s="44" t="str">
        <f t="shared" si="21"/>
        <v/>
      </c>
      <c r="X46" s="44" t="str">
        <f t="shared" si="22"/>
        <v/>
      </c>
      <c r="Y46" s="44" t="str">
        <f t="shared" si="23"/>
        <v/>
      </c>
      <c r="Z46" s="44" t="str">
        <f t="shared" si="24"/>
        <v/>
      </c>
      <c r="AB46" s="44" t="str">
        <f t="shared" si="43"/>
        <v/>
      </c>
      <c r="AC46" s="44" t="str">
        <f t="shared" si="43"/>
        <v/>
      </c>
      <c r="AD46" s="44" t="str">
        <f t="shared" si="43"/>
        <v/>
      </c>
      <c r="AE46" s="44" t="str">
        <f t="shared" si="25"/>
        <v/>
      </c>
      <c r="AF46" s="44" t="str">
        <f t="shared" si="26"/>
        <v/>
      </c>
      <c r="AG46" s="44" t="str">
        <f t="shared" si="6"/>
        <v/>
      </c>
      <c r="AH46" s="44" t="str">
        <f t="shared" si="7"/>
        <v/>
      </c>
      <c r="AI46" s="44" t="str">
        <f t="shared" si="8"/>
        <v/>
      </c>
      <c r="AJ46" s="44" t="str">
        <f t="shared" si="27"/>
        <v/>
      </c>
      <c r="AK46" s="44" t="str">
        <f t="shared" si="28"/>
        <v/>
      </c>
      <c r="AL46" s="50" t="str">
        <f t="shared" si="29"/>
        <v/>
      </c>
      <c r="AM46" s="50" t="str">
        <f t="shared" si="30"/>
        <v/>
      </c>
      <c r="AO46" s="44" t="str">
        <f t="shared" si="31"/>
        <v/>
      </c>
      <c r="AP46" s="44" t="str">
        <f t="shared" si="32"/>
        <v/>
      </c>
      <c r="AQ46" s="44" t="str">
        <f>IF(AO46&lt;&gt;"",AO46*_xlfn.XLOOKUP($D$16,Tabela1[Tradin/Despachante],Tabela1[Bonificação]),"")</f>
        <v/>
      </c>
      <c r="AR46" s="44" t="str">
        <f t="shared" si="33"/>
        <v/>
      </c>
      <c r="AS46" s="44" t="str">
        <f t="shared" si="34"/>
        <v/>
      </c>
      <c r="AT46" s="51" t="str">
        <f t="shared" si="35"/>
        <v/>
      </c>
      <c r="AU46" s="51" t="str">
        <f t="shared" si="36"/>
        <v/>
      </c>
      <c r="AW46" s="41" t="str">
        <f t="shared" si="37"/>
        <v/>
      </c>
      <c r="AX46" s="41" t="str">
        <f t="shared" si="38"/>
        <v/>
      </c>
      <c r="AY46" s="41" t="str">
        <f t="shared" si="39"/>
        <v/>
      </c>
      <c r="AZ46" s="44" t="str">
        <f t="shared" si="40"/>
        <v/>
      </c>
      <c r="BA46" s="41" t="str">
        <f t="shared" si="41"/>
        <v/>
      </c>
    </row>
    <row r="47" spans="1:53" s="23" customFormat="1" ht="27.75" customHeight="1" x14ac:dyDescent="0.35">
      <c r="A47" s="10"/>
      <c r="B47" s="79" t="s">
        <v>39</v>
      </c>
      <c r="C47" s="80"/>
      <c r="D47" s="80"/>
      <c r="E47" s="80"/>
      <c r="F47" s="80"/>
      <c r="G47" s="38" t="str">
        <f>IF(F25&lt;&gt;"",IF(ISNUMBER(F25),SUMPRODUCT($F$25:$F$46,$G$25:$G$46),SUM($G$25:$G$46)),"")</f>
        <v/>
      </c>
      <c r="H47" s="40"/>
      <c r="I47" s="41" t="str">
        <f>IF(SUM($I25:$I46)&lt;&gt;0,SUM(I25:I46),"")</f>
        <v/>
      </c>
      <c r="J47" s="52"/>
      <c r="L47" s="44" t="str">
        <f>IF($I47&lt;&gt;"",SUM(L25:L46),"")</f>
        <v/>
      </c>
      <c r="M47" s="44" t="str">
        <f>IF($I47&lt;&gt;"",SUM(M25:M46),"")</f>
        <v/>
      </c>
      <c r="V47" s="44" t="str">
        <f>IF($I47&lt;&gt;"",SUM(V25:V46),"")</f>
        <v/>
      </c>
      <c r="W47" s="44" t="str">
        <f>IF($I47&lt;&gt;"",SUM(W25:W46),"")</f>
        <v/>
      </c>
      <c r="X47" s="44" t="str">
        <f>IF($I47&lt;&gt;"",SUM(X25:X46),"")</f>
        <v/>
      </c>
      <c r="Y47" s="44" t="str">
        <f>IF($I47&lt;&gt;"",SUM(Y25:Y46),"")</f>
        <v/>
      </c>
      <c r="Z47" s="44" t="str">
        <f>IF($I47&lt;&gt;"",SUM(Z25:Z46),"")</f>
        <v/>
      </c>
      <c r="AB47" s="44" t="str">
        <f>E60</f>
        <v/>
      </c>
      <c r="AC47" s="44" t="str">
        <f>E61</f>
        <v/>
      </c>
      <c r="AD47" s="44" t="str">
        <f>E62</f>
        <v/>
      </c>
      <c r="AE47" s="44">
        <f>E63</f>
        <v>0</v>
      </c>
      <c r="AF47" s="44">
        <f>E64</f>
        <v>0</v>
      </c>
      <c r="AG47" s="44">
        <f>E65</f>
        <v>0</v>
      </c>
      <c r="AH47" s="53" t="str">
        <f>E67</f>
        <v/>
      </c>
      <c r="AI47" s="44">
        <f>E68</f>
        <v>0</v>
      </c>
      <c r="AJ47" s="44" t="str">
        <f t="shared" ref="AJ47" si="44">IF(G47&lt;&gt;"",SUM(AB47:AI47,M47,V47)/G47+IF($Q47=0.1065,($M47*1%)/G47,0),"")</f>
        <v/>
      </c>
      <c r="AK47" s="23" t="str">
        <f t="shared" ref="AK47" si="45">IF(G47&lt;&gt;"",SUM(AB47:AI47,M47,V47:Z47)/G47,"")</f>
        <v/>
      </c>
      <c r="AL47" s="23" t="str">
        <f t="shared" ref="AL47" si="46">IF(AJ47&lt;&gt;"",AJ47*$G$13,"")</f>
        <v/>
      </c>
      <c r="AM47" s="23" t="str">
        <f t="shared" ref="AM47" si="47">IF(AK47&lt;&gt;"",AK47*$G$13,"")</f>
        <v/>
      </c>
      <c r="AN47" s="54"/>
      <c r="AO47" s="55">
        <f>SUM(AO25:AO46)</f>
        <v>0</v>
      </c>
      <c r="AP47" s="44">
        <f>SUM(AP25:AP46)</f>
        <v>0</v>
      </c>
      <c r="AQ47" s="44">
        <f>SUM(AQ25:AQ46)</f>
        <v>0</v>
      </c>
      <c r="AR47" s="23" t="str">
        <f t="shared" ref="AR47" si="48">AJ47</f>
        <v/>
      </c>
      <c r="AS47" s="23" t="str">
        <f>IF(AK47&lt;&gt;"",AK47+#REF!/G47,"")</f>
        <v/>
      </c>
      <c r="AT47" s="23" t="str">
        <f t="shared" ref="AT47" si="49">IF(AR47&lt;&gt;"",AR47*$G$13,"")</f>
        <v/>
      </c>
      <c r="AU47" s="23" t="str">
        <f t="shared" ref="AU47" si="50">IF(AS47&lt;&gt;"",AS47*$G$13,"")</f>
        <v/>
      </c>
    </row>
    <row r="48" spans="1:53" ht="27.75" customHeight="1" x14ac:dyDescent="0.25"/>
    <row r="49" spans="2:49" ht="27.75" customHeight="1" x14ac:dyDescent="0.25">
      <c r="E49" s="12" t="s">
        <v>42</v>
      </c>
      <c r="F49" s="13" t="s">
        <v>44</v>
      </c>
      <c r="G49" s="15" t="s">
        <v>46</v>
      </c>
      <c r="H49" s="17" t="s">
        <v>42</v>
      </c>
      <c r="I49" s="18" t="s">
        <v>44</v>
      </c>
      <c r="J49" s="19" t="s">
        <v>46</v>
      </c>
      <c r="AW49" s="27"/>
    </row>
    <row r="50" spans="2:49" ht="27.75" customHeight="1" x14ac:dyDescent="0.25">
      <c r="B50" s="114" t="s">
        <v>64</v>
      </c>
      <c r="C50" s="118" t="s">
        <v>47</v>
      </c>
      <c r="D50" s="113"/>
      <c r="E50" s="20" t="str">
        <f>IF(I47&lt;&gt;0,I47,"")</f>
        <v/>
      </c>
      <c r="F50" s="28" t="str">
        <f>IF(I50&lt;&gt;"",I50/$G$14,"")</f>
        <v/>
      </c>
      <c r="G50" s="28" t="str">
        <f>IF(J50&lt;&gt;"",J50/$G$15,"")</f>
        <v/>
      </c>
      <c r="H50" s="22" t="str">
        <f>IF(E50&lt;&gt;"",E50*$G$13,"")</f>
        <v/>
      </c>
      <c r="I50" s="34"/>
      <c r="J50" s="34"/>
      <c r="AW50" s="27"/>
    </row>
    <row r="51" spans="2:49" ht="27.75" customHeight="1" x14ac:dyDescent="0.25">
      <c r="B51" s="115"/>
      <c r="C51" s="89" t="s">
        <v>48</v>
      </c>
      <c r="D51" s="90"/>
      <c r="E51" s="66" t="e">
        <f>L47*G13</f>
        <v>#VALUE!</v>
      </c>
      <c r="F51" s="28" t="str">
        <f>IF(I51&lt;&gt;"",I51/$G$14,"")</f>
        <v/>
      </c>
      <c r="G51" s="28" t="str">
        <f>IF(J51&lt;&gt;"",J51/$G$15,"")</f>
        <v/>
      </c>
      <c r="H51" s="22" t="e">
        <f>IF(E51&lt;&gt;"",E51*$G$13,"")</f>
        <v>#VALUE!</v>
      </c>
      <c r="I51" s="34"/>
      <c r="J51" s="34"/>
      <c r="M51" s="11"/>
      <c r="AW51" s="27"/>
    </row>
    <row r="52" spans="2:49" ht="27.75" customHeight="1" x14ac:dyDescent="0.25">
      <c r="B52" s="115"/>
      <c r="C52" s="89" t="s">
        <v>49</v>
      </c>
      <c r="D52" s="90"/>
      <c r="E52" s="5" t="e">
        <f>E50*1.1%</f>
        <v>#VALUE!</v>
      </c>
      <c r="F52" s="28" t="str">
        <f>IF(I52&lt;&gt;"",I52/$G$14,"")</f>
        <v/>
      </c>
      <c r="G52" s="28" t="str">
        <f>IF(J52&lt;&gt;"",J52/$G$15,"")</f>
        <v/>
      </c>
      <c r="H52" s="22" t="e">
        <f>IF(E52&lt;&gt;"",E52*$G$13,"")</f>
        <v>#VALUE!</v>
      </c>
      <c r="I52" s="34"/>
      <c r="J52" s="34"/>
    </row>
    <row r="53" spans="2:49" ht="27.75" customHeight="1" x14ac:dyDescent="0.25">
      <c r="B53" s="115"/>
      <c r="C53" s="116" t="s">
        <v>50</v>
      </c>
      <c r="D53" s="117"/>
      <c r="E53" s="29" t="e">
        <f>IF(SUM(E50:E52)&lt;&gt;0,SUM(E50:E52),"")</f>
        <v>#VALUE!</v>
      </c>
      <c r="F53" s="29" t="str">
        <f t="shared" ref="F53:J53" si="51">IF(SUM(F50:F52)&lt;&gt;0,SUM(F50:F52),"")</f>
        <v/>
      </c>
      <c r="G53" s="29" t="str">
        <f t="shared" si="51"/>
        <v/>
      </c>
      <c r="H53" s="30" t="e">
        <f t="shared" si="51"/>
        <v>#VALUE!</v>
      </c>
      <c r="I53" s="30" t="str">
        <f t="shared" si="51"/>
        <v/>
      </c>
      <c r="J53" s="30" t="str">
        <f t="shared" si="51"/>
        <v/>
      </c>
    </row>
    <row r="54" spans="2:49" ht="27.75" customHeight="1" x14ac:dyDescent="0.25">
      <c r="B54" s="87" t="s">
        <v>51</v>
      </c>
      <c r="C54" s="91" t="s">
        <v>24</v>
      </c>
      <c r="D54" s="92"/>
      <c r="E54" s="20" t="str">
        <f>IF(I47&lt;&gt;0,$V$47,"")</f>
        <v/>
      </c>
      <c r="F54" s="28" t="str">
        <f>IF(I54&lt;&gt;"",I54/$G$14,"")</f>
        <v/>
      </c>
      <c r="G54" s="28" t="str">
        <f>IF(J54&lt;&gt;"",J54/$G$15,"")</f>
        <v/>
      </c>
      <c r="H54" s="22" t="str">
        <f>IF(E54&lt;&gt;"",E54*$G$13,"")</f>
        <v/>
      </c>
      <c r="I54" s="34"/>
      <c r="J54" s="34"/>
    </row>
    <row r="55" spans="2:49" ht="27.75" customHeight="1" x14ac:dyDescent="0.25">
      <c r="B55" s="87"/>
      <c r="C55" s="89" t="s">
        <v>52</v>
      </c>
      <c r="D55" s="90"/>
      <c r="E55" s="20" t="str">
        <f>IF(I47&lt;&gt;0,$W$47,"")</f>
        <v/>
      </c>
      <c r="F55" s="28" t="str">
        <f>IF(I55&lt;&gt;"",I55/$G$14,"")</f>
        <v/>
      </c>
      <c r="G55" s="28" t="str">
        <f>IF(J55&lt;&gt;"",J55/$G$15,"")</f>
        <v/>
      </c>
      <c r="H55" s="22" t="str">
        <f>IF(E55&lt;&gt;"",E55*$G$13,"")</f>
        <v/>
      </c>
      <c r="I55" s="34"/>
      <c r="J55" s="34"/>
    </row>
    <row r="56" spans="2:49" ht="27.75" customHeight="1" x14ac:dyDescent="0.25">
      <c r="B56" s="87"/>
      <c r="C56" s="89" t="s">
        <v>53</v>
      </c>
      <c r="D56" s="90"/>
      <c r="E56" s="20" t="str">
        <f>IF(I47&lt;&gt;0,$X$47,"")</f>
        <v/>
      </c>
      <c r="F56" s="28" t="str">
        <f>IF(I56&lt;&gt;"",I56/$G$14,"")</f>
        <v/>
      </c>
      <c r="G56" s="28" t="str">
        <f>IF(J56&lt;&gt;"",J56/$G$15,"")</f>
        <v/>
      </c>
      <c r="H56" s="22" t="str">
        <f>IF(E56&lt;&gt;"",E56*$G$13,"")</f>
        <v/>
      </c>
      <c r="I56" s="34"/>
      <c r="J56" s="34"/>
    </row>
    <row r="57" spans="2:49" ht="27.75" customHeight="1" x14ac:dyDescent="0.25">
      <c r="B57" s="87"/>
      <c r="C57" s="89" t="s">
        <v>54</v>
      </c>
      <c r="D57" s="90"/>
      <c r="E57" s="20" t="str">
        <f>IF(I47&lt;&gt;0,IF($D$13="Revenda",0,$Y$47),"")</f>
        <v/>
      </c>
      <c r="F57" s="28" t="str">
        <f>IF(I57&lt;&gt;"",I57/$G$14,"")</f>
        <v/>
      </c>
      <c r="G57" s="28" t="str">
        <f>IF(J57&lt;&gt;"",J57/$G$15,"")</f>
        <v/>
      </c>
      <c r="H57" s="22" t="str">
        <f>IF(E57&lt;&gt;"",E57*$G$13,"")</f>
        <v/>
      </c>
      <c r="I57" s="34"/>
      <c r="J57" s="34"/>
    </row>
    <row r="58" spans="2:49" ht="27.75" customHeight="1" x14ac:dyDescent="0.25">
      <c r="B58" s="87"/>
      <c r="C58" s="89" t="s">
        <v>55</v>
      </c>
      <c r="D58" s="90"/>
      <c r="E58" s="20" t="str">
        <f>IF(I47&lt;&gt;0,$Z$47,"")</f>
        <v/>
      </c>
      <c r="F58" s="28" t="str">
        <f>IF(I58&lt;&gt;"",I58/$G$14,"")</f>
        <v/>
      </c>
      <c r="G58" s="28" t="str">
        <f>IF(J58&lt;&gt;"",J58/$G$15,"")</f>
        <v/>
      </c>
      <c r="H58" s="22" t="str">
        <f>IF(E58&lt;&gt;"",E58*$G$13,"")</f>
        <v/>
      </c>
      <c r="I58" s="34"/>
      <c r="J58" s="34"/>
    </row>
    <row r="59" spans="2:49" ht="27.75" customHeight="1" x14ac:dyDescent="0.25">
      <c r="B59" s="88"/>
      <c r="C59" s="93" t="s">
        <v>50</v>
      </c>
      <c r="D59" s="94"/>
      <c r="E59" s="29" t="str">
        <f>IF(SUM(E54:E58)&lt;&gt;0,SUM(E54:E58),"")</f>
        <v/>
      </c>
      <c r="F59" s="29" t="str">
        <f t="shared" ref="F59:I59" si="52">IF(SUM(F54:F58)&lt;&gt;0,SUM(F54:F58),"")</f>
        <v/>
      </c>
      <c r="G59" s="29" t="str">
        <f t="shared" si="52"/>
        <v/>
      </c>
      <c r="H59" s="30" t="str">
        <f t="shared" si="52"/>
        <v/>
      </c>
      <c r="I59" s="30" t="str">
        <f t="shared" si="52"/>
        <v/>
      </c>
      <c r="J59" s="30" t="str">
        <f>IF(SUM(J54:J58)&lt;&gt;0,SUM(J54:J58),"")</f>
        <v/>
      </c>
    </row>
    <row r="60" spans="2:49" ht="27.75" customHeight="1" x14ac:dyDescent="0.25">
      <c r="B60" s="95" t="s">
        <v>56</v>
      </c>
      <c r="C60" s="89" t="s">
        <v>29</v>
      </c>
      <c r="D60" s="90"/>
      <c r="E60" s="20" t="str">
        <f>IF(I47&lt;&gt;"",IF(D12="By Air",0,IF(I47&lt;&gt;0,8%*SUM(E51:E52,E64)+21.2/$G$13,"")),"")</f>
        <v/>
      </c>
      <c r="F60" s="28" t="str">
        <f t="shared" ref="F60:F68" si="53">IF(I60&lt;&gt;"",I60/$G$14,"")</f>
        <v/>
      </c>
      <c r="G60" s="28" t="str">
        <f t="shared" ref="G60:G68" si="54">IF(J60&lt;&gt;"",J60/$G$15,"")</f>
        <v/>
      </c>
      <c r="H60" s="22" t="str">
        <f t="shared" ref="H60:H68" si="55">IF(E60&lt;&gt;"",E60*$G$13,"")</f>
        <v/>
      </c>
      <c r="I60" s="34"/>
      <c r="J60" s="34"/>
    </row>
    <row r="61" spans="2:49" ht="27.75" customHeight="1" x14ac:dyDescent="0.25">
      <c r="B61" s="87"/>
      <c r="C61" s="89" t="s">
        <v>30</v>
      </c>
      <c r="D61" s="90"/>
      <c r="E61" s="20" t="str">
        <f>IF(I47&lt;&gt;"",_xlfn.XLOOKUP(COUNTA(_xlfn.UNIQUE(N25:N46))-1,Apoio_Tabela_Siscomex3[Número de NCMs],Apoio_Tabela_Siscomex3[Valor Final])/$G$13,"")</f>
        <v/>
      </c>
      <c r="F61" s="28" t="str">
        <f t="shared" si="53"/>
        <v/>
      </c>
      <c r="G61" s="28" t="str">
        <f t="shared" si="54"/>
        <v/>
      </c>
      <c r="H61" s="22" t="str">
        <f t="shared" si="55"/>
        <v/>
      </c>
      <c r="I61" s="34"/>
      <c r="J61" s="34"/>
    </row>
    <row r="62" spans="2:49" ht="27.75" customHeight="1" x14ac:dyDescent="0.25">
      <c r="B62" s="87"/>
      <c r="C62" s="89" t="s">
        <v>57</v>
      </c>
      <c r="D62" s="90"/>
      <c r="E62" s="20" t="str" cm="1">
        <f t="array" ref="E62">IF(I47&lt;&gt;"",IF(D12="Entreposto",0,IF(D12="By Sea",((0.35%+0.05%)*SUM(E50:E52))+(540+660)/$G$13,(_xlfn.IFS($L$47&lt;Apoio!O2,Apoio!Q2,$L$47&lt;Apoio!O3,Apoio!Q3,$L$47&lt;Apoio!O4,Apoio!Q4,$L$47&lt;Apoio!O5,Apoio!Q5,$L$47&lt;Apoio!O6,Apoio!Q6,$L$47&lt;Apoio!O7,Apoio!Q7,$L$47&lt;Apoio!O8,Apoio!Q8,$L$47&lt;Apoio!O9,Apoio!Q9))/$G$13+0.75%*SUM(E50:E52,E65))),"")</f>
        <v/>
      </c>
      <c r="F62" s="28" t="str">
        <f t="shared" si="53"/>
        <v/>
      </c>
      <c r="G62" s="28" t="str">
        <f t="shared" si="54"/>
        <v/>
      </c>
      <c r="H62" s="22" t="str">
        <f t="shared" si="55"/>
        <v/>
      </c>
      <c r="I62" s="34"/>
      <c r="J62" s="34"/>
    </row>
    <row r="63" spans="2:49" ht="27.75" customHeight="1" x14ac:dyDescent="0.25">
      <c r="B63" s="87"/>
      <c r="C63" s="119" t="s">
        <v>58</v>
      </c>
      <c r="D63" s="31" t="s">
        <v>59</v>
      </c>
      <c r="E63" s="5">
        <v>0</v>
      </c>
      <c r="F63" s="28" t="str">
        <f t="shared" si="53"/>
        <v/>
      </c>
      <c r="G63" s="28" t="str">
        <f t="shared" si="54"/>
        <v/>
      </c>
      <c r="H63" s="22">
        <f t="shared" si="55"/>
        <v>0</v>
      </c>
      <c r="I63" s="34"/>
      <c r="J63" s="34"/>
      <c r="O63" s="11"/>
      <c r="P63" s="11"/>
      <c r="Q63" s="11"/>
    </row>
    <row r="64" spans="2:49" ht="27.75" customHeight="1" x14ac:dyDescent="0.25">
      <c r="B64" s="87"/>
      <c r="C64" s="120"/>
      <c r="D64" s="31" t="s">
        <v>33</v>
      </c>
      <c r="E64" s="5">
        <v>0</v>
      </c>
      <c r="F64" s="28" t="str">
        <f t="shared" si="53"/>
        <v/>
      </c>
      <c r="G64" s="28" t="str">
        <f t="shared" si="54"/>
        <v/>
      </c>
      <c r="H64" s="22">
        <f t="shared" si="55"/>
        <v>0</v>
      </c>
      <c r="I64" s="34"/>
      <c r="J64" s="34"/>
      <c r="O64" s="11"/>
      <c r="P64" s="11"/>
      <c r="Q64" s="11"/>
    </row>
    <row r="65" spans="2:17" ht="27.75" customHeight="1" x14ac:dyDescent="0.25">
      <c r="B65" s="87"/>
      <c r="C65" s="119" t="s">
        <v>95</v>
      </c>
      <c r="D65" s="31" t="s">
        <v>59</v>
      </c>
      <c r="E65" s="5">
        <v>0</v>
      </c>
      <c r="F65" s="28" t="str">
        <f t="shared" si="53"/>
        <v/>
      </c>
      <c r="G65" s="28" t="str">
        <f t="shared" si="54"/>
        <v/>
      </c>
      <c r="H65" s="22">
        <f t="shared" si="55"/>
        <v>0</v>
      </c>
      <c r="I65" s="34"/>
      <c r="J65" s="34"/>
      <c r="M65" s="11"/>
      <c r="O65" s="11"/>
      <c r="P65" s="11"/>
      <c r="Q65" s="11"/>
    </row>
    <row r="66" spans="2:17" ht="27.75" customHeight="1" x14ac:dyDescent="0.25">
      <c r="B66" s="87"/>
      <c r="C66" s="120"/>
      <c r="D66" s="31" t="s">
        <v>96</v>
      </c>
      <c r="E66" s="5">
        <v>0</v>
      </c>
      <c r="F66" s="28" t="str">
        <f t="shared" si="53"/>
        <v/>
      </c>
      <c r="G66" s="28" t="str">
        <f t="shared" si="54"/>
        <v/>
      </c>
      <c r="H66" s="22">
        <f t="shared" si="55"/>
        <v>0</v>
      </c>
      <c r="I66" s="34"/>
      <c r="J66" s="34"/>
      <c r="M66" s="11"/>
      <c r="O66" s="11"/>
      <c r="P66" s="11"/>
      <c r="Q66" s="11"/>
    </row>
    <row r="67" spans="2:17" ht="27.75" customHeight="1" x14ac:dyDescent="0.25">
      <c r="B67" s="87"/>
      <c r="C67" s="89" t="s">
        <v>35</v>
      </c>
      <c r="D67" s="90"/>
      <c r="E67" s="20" t="str">
        <f>IF($I$47&lt;&gt;"",_xlfn.XLOOKUP($D$16,Tabela1[Tradin/Despachante],Tabela1[Custo],0)/$G$13,"")</f>
        <v/>
      </c>
      <c r="F67" s="28" t="str">
        <f t="shared" si="53"/>
        <v/>
      </c>
      <c r="G67" s="28" t="str">
        <f t="shared" si="54"/>
        <v/>
      </c>
      <c r="H67" s="22" t="str">
        <f t="shared" si="55"/>
        <v/>
      </c>
      <c r="I67" s="34"/>
      <c r="J67" s="34"/>
      <c r="M67" s="11"/>
      <c r="P67" s="11"/>
      <c r="Q67" s="11"/>
    </row>
    <row r="68" spans="2:17" ht="27.75" customHeight="1" x14ac:dyDescent="0.25">
      <c r="B68" s="87"/>
      <c r="C68" s="89" t="s">
        <v>36</v>
      </c>
      <c r="D68" s="90"/>
      <c r="E68" s="5">
        <v>0</v>
      </c>
      <c r="F68" s="28" t="str">
        <f t="shared" si="53"/>
        <v/>
      </c>
      <c r="G68" s="28" t="str">
        <f t="shared" si="54"/>
        <v/>
      </c>
      <c r="H68" s="22">
        <f t="shared" si="55"/>
        <v>0</v>
      </c>
      <c r="I68" s="34"/>
      <c r="J68" s="34"/>
      <c r="O68" s="11"/>
      <c r="P68" s="11"/>
      <c r="Q68" s="11"/>
    </row>
    <row r="69" spans="2:17" ht="27.75" customHeight="1" x14ac:dyDescent="0.25">
      <c r="B69" s="88"/>
      <c r="C69" s="93" t="s">
        <v>50</v>
      </c>
      <c r="D69" s="94"/>
      <c r="E69" s="29" t="str">
        <f>IF(SUM(E60:E68)&lt;&gt;0,SUM(E60:E68),"")</f>
        <v/>
      </c>
      <c r="F69" s="29" t="str">
        <f t="shared" ref="F69:J69" si="56">IF(SUM(F60:F68)&lt;&gt;0,SUM(F60:F68),"")</f>
        <v/>
      </c>
      <c r="G69" s="29" t="str">
        <f t="shared" si="56"/>
        <v/>
      </c>
      <c r="H69" s="30" t="str">
        <f t="shared" si="56"/>
        <v/>
      </c>
      <c r="I69" s="30" t="str">
        <f t="shared" si="56"/>
        <v/>
      </c>
      <c r="J69" s="30" t="str">
        <f t="shared" si="56"/>
        <v/>
      </c>
    </row>
    <row r="70" spans="2:17" ht="27.75" customHeight="1" x14ac:dyDescent="0.25">
      <c r="B70" s="95" t="s">
        <v>106</v>
      </c>
      <c r="C70" s="89" t="s">
        <v>55</v>
      </c>
      <c r="D70" s="90"/>
      <c r="E70" s="20" t="str">
        <f>IF(I47&lt;&gt;"",$AO$47,"")</f>
        <v/>
      </c>
      <c r="F70" s="28" t="str">
        <f>IF(I70&lt;&gt;"",I70/$G$14,"")</f>
        <v/>
      </c>
      <c r="G70" s="28" t="str">
        <f>IF(J70&lt;&gt;"",J70/$G$15,"")</f>
        <v/>
      </c>
      <c r="H70" s="22" t="str">
        <f>IF(E70&lt;&gt;"",E70*$G$13,"")</f>
        <v/>
      </c>
      <c r="I70" s="34"/>
      <c r="J70" s="34"/>
    </row>
    <row r="71" spans="2:17" ht="27.75" customHeight="1" x14ac:dyDescent="0.25">
      <c r="B71" s="88"/>
      <c r="C71" s="89" t="s">
        <v>54</v>
      </c>
      <c r="D71" s="90"/>
      <c r="E71" s="20" t="str">
        <f>IF(I47&lt;&gt;"",$AP$47,"")</f>
        <v/>
      </c>
      <c r="F71" s="28" t="str">
        <f>IF(I71&lt;&gt;"",I71/$G$14,"")</f>
        <v/>
      </c>
      <c r="G71" s="28" t="str">
        <f>IF(J71&lt;&gt;"",J71/$G$15,"")</f>
        <v/>
      </c>
      <c r="H71" s="22" t="str">
        <f>IF(E71&lt;&gt;"",E71*$G$13,"")</f>
        <v/>
      </c>
      <c r="I71" s="34"/>
      <c r="J71" s="34"/>
    </row>
    <row r="72" spans="2:17" ht="27.75" customHeight="1" x14ac:dyDescent="0.25">
      <c r="B72" s="84" t="s">
        <v>39</v>
      </c>
      <c r="C72" s="85"/>
      <c r="D72" s="86"/>
      <c r="E72" s="29" t="e">
        <f>IF(SUM(E50:E52,E54:E58,E60:E68,E70:E71)&lt;&gt;0,SUM(E50:E52,E54:E58,E60:E68,E70:E71),"")</f>
        <v>#VALUE!</v>
      </c>
      <c r="F72" s="29" t="str">
        <f t="shared" ref="F72:I72" si="57">IF(SUM(F50:F52,F54:F58,F60:F68,F70:F71)&lt;&gt;0,SUM(F50:F52,F54:F58,F60:F68,F70:F71),"")</f>
        <v/>
      </c>
      <c r="G72" s="29" t="str">
        <f t="shared" si="57"/>
        <v/>
      </c>
      <c r="H72" s="30" t="e">
        <f t="shared" si="57"/>
        <v>#VALUE!</v>
      </c>
      <c r="I72" s="30" t="str">
        <f t="shared" si="57"/>
        <v/>
      </c>
      <c r="J72" s="30" t="str">
        <f>IF(SUM(J50:J52,J54:J58,J60:J68,J70:J71)&lt;&gt;0,SUM(J50:J52,J54:J58,J60:J68,J70:J71),"")</f>
        <v/>
      </c>
    </row>
    <row r="73" spans="2:17" ht="27.75" customHeight="1" x14ac:dyDescent="0.25">
      <c r="F73" s="9" t="str">
        <f>IF(F72&lt;&gt;"",F72/$E$72-1,"")</f>
        <v/>
      </c>
      <c r="G73" s="9" t="str">
        <f>IF(G72&lt;&gt;"",G72/$E$72-1,"")</f>
        <v/>
      </c>
      <c r="I73" s="9" t="str">
        <f>IF(I72&lt;&gt;"",I72/$H$72-1,"")</f>
        <v/>
      </c>
      <c r="J73" s="9" t="str">
        <f>IF(J72&lt;&gt;"",J72/$H$72-1,"")</f>
        <v/>
      </c>
    </row>
    <row r="74" spans="2:17" ht="27.75" customHeight="1" x14ac:dyDescent="0.25"/>
    <row r="75" spans="2:17" ht="27.75" customHeight="1" x14ac:dyDescent="0.25">
      <c r="B75" s="81" t="s">
        <v>60</v>
      </c>
      <c r="C75" s="82"/>
      <c r="D75" s="83"/>
      <c r="E75" s="20" t="str">
        <f>IFERROR(E70*_xlfn.XLOOKUP($D$16,Tabela1[Tradin/Despachante],Tabela1[Bonificação]),"")</f>
        <v/>
      </c>
      <c r="F75" s="20" t="str">
        <f>IFERROR(F70*_xlfn.XLOOKUP($D$16,Tabela1[Tradin/Despachante],Tabela1[Bonificação]),"")</f>
        <v/>
      </c>
      <c r="G75" s="20" t="str">
        <f>IFERROR(G70*_xlfn.XLOOKUP($D$16,Tabela1[Tradin/Despachante],Tabela1[Bonificação]),"")</f>
        <v/>
      </c>
      <c r="H75" s="22" t="str">
        <f>IFERROR(H70*_xlfn.XLOOKUP($D$16,Tabela1[Tradin/Despachante],Tabela1[Bonificação]),"")</f>
        <v/>
      </c>
      <c r="I75" s="22" t="str">
        <f>IFERROR(I70*_xlfn.XLOOKUP($D$16,Tabela1[Tradin/Despachante],Tabela1[Bonificação]),"")</f>
        <v/>
      </c>
      <c r="J75" s="22" t="str">
        <f>IFERROR(J70*_xlfn.XLOOKUP($D$16,Tabela1[Tradin/Despachante],Tabela1[Bonificação]),"")</f>
        <v/>
      </c>
    </row>
    <row r="76" spans="2:17" ht="27.75" customHeight="1" x14ac:dyDescent="0.25">
      <c r="B76" s="81" t="s">
        <v>61</v>
      </c>
      <c r="C76" s="82"/>
      <c r="D76" s="83"/>
      <c r="E76" s="21" t="str">
        <f t="shared" ref="E76:G76" si="58">IFERROR(IF($D$12="Entreposto",SUM(E70,E60:E68,E54:E58)-E75-E64,IF(OR($D$11="EXW",$D$11="FCA"),SUM(E70,E60:E68,E54:E58,E51:E52)-E75,SUM(E70,E71,E60:E68,E54:E58)-E75)),"")</f>
        <v/>
      </c>
      <c r="F76" s="21" t="str">
        <f t="shared" si="58"/>
        <v/>
      </c>
      <c r="G76" s="21" t="str">
        <f t="shared" si="58"/>
        <v/>
      </c>
      <c r="H76" s="22" t="str">
        <f>IFERROR(IF($D$12="Entreposto",SUM(H70,H60:H68,H54:H58)-H75-H64,IF(OR($D$11="EXW",$D$11="FCA"),SUM(H70,H71,H60:H68,H54:H58,H51:H52)-H75,SUM(H70,H71,H60:H68,H54:H58)-H75)),"")</f>
        <v/>
      </c>
      <c r="I76" s="22" t="str">
        <f>IFERROR(IF($D$12="Entreposto",SUM(I70,I60:I68,I54:I58)-I75-I64,IF(OR($D$11="EXW",$D$11="FCA"),SUM(I70,I71,I60:I68,I54:I58,I51:I52)-I75,SUM(I70,I71,I60:I68,I54:I58)-I75)),"")</f>
        <v/>
      </c>
      <c r="J76" s="22" t="str">
        <f>IFERROR(IF($D$12="Entreposto",SUM(J70,J60:J68,J54:J58)-J75-J64,IF(OR($D$11="EXW",$D$11="FCA"),SUM(J70,J71,J60:J68,J54:J58,J51:J52)-J75,SUM(J70,J71,J60:J68,J54:J58)-J75)),"")</f>
        <v/>
      </c>
      <c r="L76" s="32" t="s">
        <v>97</v>
      </c>
      <c r="M76" s="22" t="str">
        <f>IFERROR(I76-J76,"")</f>
        <v/>
      </c>
    </row>
    <row r="77" spans="2:17" ht="28.5" customHeight="1" x14ac:dyDescent="0.25">
      <c r="F77" s="9" t="str">
        <f>IFERROR(IF(F76&lt;&gt;0,F76/$E$76-1,""),"")</f>
        <v/>
      </c>
      <c r="G77" s="9" t="str">
        <f>IFERROR(IF(G76&lt;&gt;0,G76/$E$76-1,""),"")</f>
        <v/>
      </c>
      <c r="I77" s="9" t="str">
        <f>IFERROR(IF(I76&lt;&gt;0,I76/$H$76-1,""),"")</f>
        <v/>
      </c>
      <c r="J77" s="9" t="str">
        <f>IFERROR(IF(J76&lt;&gt;0,J76/$H$76-1,""),"")</f>
        <v/>
      </c>
    </row>
    <row r="81" spans="2:5" ht="23.25" customHeight="1" x14ac:dyDescent="0.25">
      <c r="B81" s="77" t="s">
        <v>109</v>
      </c>
      <c r="C81" s="75" t="s">
        <v>58</v>
      </c>
      <c r="D81" s="56" t="s">
        <v>59</v>
      </c>
      <c r="E81" s="58">
        <f>IF(D12="Entreposto",0,IF(I47&lt;&gt;0,IF(D12="By Sea",229.9+0.0935115409305381*$L$47,75+65+35),""))</f>
        <v>175</v>
      </c>
    </row>
    <row r="82" spans="2:5" x14ac:dyDescent="0.25">
      <c r="B82" s="78"/>
      <c r="C82" s="76"/>
      <c r="D82" s="57" t="s">
        <v>33</v>
      </c>
      <c r="E82" s="58">
        <f>IF(I47&lt;&gt;0,IF(D12="By Sea",0.0258038967770267*$L$47,0),"")</f>
        <v>0</v>
      </c>
    </row>
  </sheetData>
  <sheetProtection selectLockedCells="1"/>
  <mergeCells count="46">
    <mergeCell ref="B10:C10"/>
    <mergeCell ref="C69:D69"/>
    <mergeCell ref="C70:D70"/>
    <mergeCell ref="C67:D67"/>
    <mergeCell ref="C68:D68"/>
    <mergeCell ref="B50:B53"/>
    <mergeCell ref="C53:D53"/>
    <mergeCell ref="C60:D60"/>
    <mergeCell ref="C50:D50"/>
    <mergeCell ref="C52:D52"/>
    <mergeCell ref="C65:C66"/>
    <mergeCell ref="C61:D61"/>
    <mergeCell ref="C62:D62"/>
    <mergeCell ref="C63:C64"/>
    <mergeCell ref="C71:D71"/>
    <mergeCell ref="F7:G7"/>
    <mergeCell ref="F8:G8"/>
    <mergeCell ref="F9:G9"/>
    <mergeCell ref="B18:C18"/>
    <mergeCell ref="B19:J22"/>
    <mergeCell ref="B13:C13"/>
    <mergeCell ref="B14:C14"/>
    <mergeCell ref="B15:C15"/>
    <mergeCell ref="B16:C16"/>
    <mergeCell ref="B7:C7"/>
    <mergeCell ref="B8:C8"/>
    <mergeCell ref="B9:C9"/>
    <mergeCell ref="B11:C11"/>
    <mergeCell ref="B12:C12"/>
    <mergeCell ref="F10:G10"/>
    <mergeCell ref="C81:C82"/>
    <mergeCell ref="B81:B82"/>
    <mergeCell ref="B47:F47"/>
    <mergeCell ref="B75:D75"/>
    <mergeCell ref="B76:D76"/>
    <mergeCell ref="B72:D72"/>
    <mergeCell ref="B54:B59"/>
    <mergeCell ref="C51:D51"/>
    <mergeCell ref="C54:D54"/>
    <mergeCell ref="C55:D55"/>
    <mergeCell ref="C56:D56"/>
    <mergeCell ref="C57:D57"/>
    <mergeCell ref="C59:D59"/>
    <mergeCell ref="C58:D58"/>
    <mergeCell ref="B70:B71"/>
    <mergeCell ref="B60:B69"/>
  </mergeCells>
  <conditionalFormatting sqref="D7">
    <cfRule type="expression" dxfId="20" priority="24">
      <formula>$D$7=""</formula>
    </cfRule>
  </conditionalFormatting>
  <conditionalFormatting sqref="D8:D16">
    <cfRule type="expression" dxfId="19" priority="137">
      <formula>AND($D$7&lt;&gt;"",D8="")</formula>
    </cfRule>
  </conditionalFormatting>
  <conditionalFormatting sqref="D25:D46">
    <cfRule type="expression" dxfId="18" priority="136">
      <formula>AND(D25="",$C25&lt;&gt;"")</formula>
    </cfRule>
  </conditionalFormatting>
  <conditionalFormatting sqref="E65:G66">
    <cfRule type="expression" dxfId="17" priority="350">
      <formula>AND($D$11="EXW",$E$65="")</formula>
    </cfRule>
  </conditionalFormatting>
  <conditionalFormatting sqref="F25:G46">
    <cfRule type="expression" dxfId="16" priority="28">
      <formula>AND(F25="",$C25&lt;&gt;"")</formula>
    </cfRule>
  </conditionalFormatting>
  <conditionalFormatting sqref="F50:G52 F54:G58 F60:G68 F70:G71">
    <cfRule type="expression" dxfId="15" priority="150">
      <formula>$E50=F50</formula>
    </cfRule>
    <cfRule type="expression" dxfId="14" priority="151">
      <formula>OR(AND(F50&lt;$E50*102%,F50&gt;$E50),AND(F50&gt;$E50*98%,F50&lt;$E50))</formula>
    </cfRule>
    <cfRule type="expression" dxfId="13" priority="152">
      <formula>OR(F50&gt;=$E50*102%,F50&lt;=$E50*98%)</formula>
    </cfRule>
  </conditionalFormatting>
  <conditionalFormatting sqref="H7 G13:H15 E50:E53 F53:G53 E59:G59 E69:G69">
    <cfRule type="expression" dxfId="12" priority="142">
      <formula>AND($I$47&lt;&gt;$D$7="")</formula>
    </cfRule>
  </conditionalFormatting>
  <conditionalFormatting sqref="H25:H46">
    <cfRule type="expression" dxfId="11" priority="2">
      <formula>AND(G25&lt;&gt;"",H25="")</formula>
    </cfRule>
  </conditionalFormatting>
  <conditionalFormatting sqref="H25:J47 M25:N47 V25:Z47 AB25:AK47 AO25:AS47">
    <cfRule type="expression" dxfId="10" priority="5">
      <formula>$D$14="BRL"</formula>
    </cfRule>
    <cfRule type="expression" dxfId="9" priority="6">
      <formula>$D$14="EUR"</formula>
    </cfRule>
    <cfRule type="expression" dxfId="8" priority="7">
      <formula>$D$14="USD"</formula>
    </cfRule>
  </conditionalFormatting>
  <conditionalFormatting sqref="L47">
    <cfRule type="expression" dxfId="7" priority="8">
      <formula>$D$14="BRL"</formula>
    </cfRule>
    <cfRule type="expression" dxfId="6" priority="9">
      <formula>$D$14="EUR"</formula>
    </cfRule>
    <cfRule type="expression" dxfId="5" priority="10">
      <formula>$D$14="USD"</formula>
    </cfRule>
  </conditionalFormatting>
  <conditionalFormatting sqref="N25:T46">
    <cfRule type="expression" dxfId="4" priority="1">
      <formula>AND($N25="",$I25&lt;&gt;"")</formula>
    </cfRule>
  </conditionalFormatting>
  <conditionalFormatting sqref="U25:U46">
    <cfRule type="expression" dxfId="3" priority="4">
      <formula>AND($D$13="Revenda",I25&lt;&gt;0,U25="")</formula>
    </cfRule>
  </conditionalFormatting>
  <conditionalFormatting sqref="AO26:AS46 I47 AB47:AJ47 AO47:AQ47 E50:G72 E75:G76">
    <cfRule type="expression" dxfId="2" priority="352">
      <formula>$D$14="BRL"</formula>
    </cfRule>
    <cfRule type="expression" dxfId="1" priority="353">
      <formula>$D$14="EUR"</formula>
    </cfRule>
    <cfRule type="expression" dxfId="0" priority="354">
      <formula>$D$14="USD"</formula>
    </cfRule>
  </conditionalFormatting>
  <dataValidations count="6">
    <dataValidation type="list" allowBlank="1" showInputMessage="1" showErrorMessage="1" sqref="D11" xr:uid="{9B44D936-B133-4DA2-8DEF-DA288E5C36D4}">
      <formula1>Incoterm</formula1>
    </dataValidation>
    <dataValidation type="list" allowBlank="1" showInputMessage="1" showErrorMessage="1" sqref="D12" xr:uid="{AE206C5A-A85E-4552-9EB1-C79D41D20BFD}">
      <formula1>Modal</formula1>
    </dataValidation>
    <dataValidation type="list" allowBlank="1" showInputMessage="1" showErrorMessage="1" sqref="D13" xr:uid="{7EE51C68-C063-4E49-885A-10759D3765F0}">
      <formula1>Destinacao</formula1>
    </dataValidation>
    <dataValidation type="list" allowBlank="1" showInputMessage="1" showErrorMessage="1" sqref="D14" xr:uid="{EC86244A-6474-4F60-A50C-CACF22DBEA76}">
      <formula1>BRL</formula1>
    </dataValidation>
    <dataValidation type="list" allowBlank="1" showInputMessage="1" showErrorMessage="1" sqref="H17:H18 D16" xr:uid="{EC70966F-1541-436E-8742-1677E60F6F2C}">
      <formula1>Trading_despachante</formula1>
    </dataValidation>
    <dataValidation type="list" allowBlank="1" showInputMessage="1" showErrorMessage="1" sqref="D10" xr:uid="{9D7C169A-6BB1-4542-8945-11E29D35C067}">
      <formula1>Origem</formula1>
    </dataValidation>
  </dataValidations>
  <pageMargins left="0.51181102362204722" right="0.51181102362204722" top="0.78740157480314965" bottom="0.78740157480314965" header="0.31496062992125984" footer="0.31496062992125984"/>
  <pageSetup paperSize="9" scale="35" orientation="portrait" r:id="rId1"/>
  <ignoredErrors>
    <ignoredError sqref="F50:F52 F54:F58 F60:F68 F70:F71" unlockedFormula="1"/>
    <ignoredError sqref="F69:H69 F59:H59 F53:H5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8FB2-D83C-405C-9444-8AB33FED6A63}">
  <sheetPr codeName="Planilha2"/>
  <dimension ref="A1:AD52"/>
  <sheetViews>
    <sheetView topLeftCell="N1" workbookViewId="0">
      <selection activeCell="AA1" sqref="AA1:AA1048576"/>
    </sheetView>
  </sheetViews>
  <sheetFormatPr defaultRowHeight="15" x14ac:dyDescent="0.25"/>
  <cols>
    <col min="1" max="1" width="21.42578125" bestFit="1" customWidth="1"/>
    <col min="2" max="2" width="11.5703125" bestFit="1" customWidth="1"/>
    <col min="3" max="4" width="13" customWidth="1"/>
    <col min="6" max="6" width="11.42578125" customWidth="1"/>
    <col min="7" max="8" width="11.5703125" bestFit="1" customWidth="1"/>
    <col min="10" max="10" width="12.140625" customWidth="1"/>
    <col min="11" max="11" width="14" bestFit="1" customWidth="1"/>
    <col min="14" max="14" width="73.5703125" bestFit="1" customWidth="1"/>
    <col min="15" max="15" width="8.5703125" bestFit="1" customWidth="1"/>
    <col min="16" max="16" width="14" bestFit="1" customWidth="1"/>
    <col min="17" max="17" width="10.140625" bestFit="1" customWidth="1"/>
    <col min="19" max="19" width="21" customWidth="1"/>
    <col min="23" max="23" width="12.140625" bestFit="1" customWidth="1"/>
    <col min="24" max="24" width="11.28515625" bestFit="1" customWidth="1"/>
    <col min="25" max="25" width="15.7109375" bestFit="1" customWidth="1"/>
    <col min="26" max="26" width="24.140625" bestFit="1" customWidth="1"/>
    <col min="27" max="27" width="22" bestFit="1" customWidth="1"/>
    <col min="28" max="28" width="28.42578125" bestFit="1" customWidth="1"/>
  </cols>
  <sheetData>
    <row r="1" spans="1:30" x14ac:dyDescent="0.25">
      <c r="A1" s="1" t="s">
        <v>74</v>
      </c>
      <c r="B1" s="1" t="s">
        <v>75</v>
      </c>
      <c r="C1" s="1" t="s">
        <v>76</v>
      </c>
      <c r="D1" s="1" t="s">
        <v>107</v>
      </c>
      <c r="F1" t="s">
        <v>77</v>
      </c>
      <c r="H1" t="s">
        <v>4</v>
      </c>
      <c r="J1" t="s">
        <v>5</v>
      </c>
      <c r="L1" t="s">
        <v>6</v>
      </c>
      <c r="N1" t="s">
        <v>78</v>
      </c>
      <c r="O1" t="s">
        <v>79</v>
      </c>
      <c r="P1" t="s">
        <v>80</v>
      </c>
      <c r="Q1" t="s">
        <v>81</v>
      </c>
      <c r="S1" t="s">
        <v>99</v>
      </c>
      <c r="T1" t="s">
        <v>38</v>
      </c>
      <c r="U1" t="s">
        <v>108</v>
      </c>
      <c r="W1" s="1" t="s">
        <v>111</v>
      </c>
      <c r="X1" s="1" t="s">
        <v>4</v>
      </c>
      <c r="Y1" s="1" t="s">
        <v>119</v>
      </c>
      <c r="Z1" s="1" t="s">
        <v>116</v>
      </c>
      <c r="AA1" s="1" t="s">
        <v>117</v>
      </c>
      <c r="AB1" s="1" t="s">
        <v>118</v>
      </c>
    </row>
    <row r="2" spans="1:30" x14ac:dyDescent="0.25">
      <c r="A2">
        <v>1</v>
      </c>
      <c r="B2" s="2">
        <v>115.67</v>
      </c>
      <c r="C2" s="2">
        <v>38.56</v>
      </c>
      <c r="D2" s="2">
        <f>SUM($C$2:C2)+Apoio_Tabela_Siscomex3[[#This Row],[Fixa]]</f>
        <v>154.23000000000002</v>
      </c>
      <c r="F2" t="s">
        <v>71</v>
      </c>
      <c r="G2" t="str" cm="1">
        <f t="array" ref="G2:G5">_xlfn.UNIQUE(Incoterm4[Incoterms])</f>
        <v>CIP</v>
      </c>
      <c r="H2" t="s">
        <v>65</v>
      </c>
      <c r="I2" t="str" cm="1">
        <f t="array" ref="I2:I4">_xlfn.UNIQUE(Modal5[Modal])</f>
        <v>By Sea</v>
      </c>
      <c r="J2" t="s">
        <v>70</v>
      </c>
      <c r="K2" t="str" cm="1">
        <f t="array" ref="K2:K6">_xlfn.UNIQUE(Destinacao6[Destinação])</f>
        <v>Uso e Consumo</v>
      </c>
      <c r="L2" t="s">
        <v>73</v>
      </c>
      <c r="M2" t="str" cm="1">
        <f t="array" ref="M2:M4">_xlfn.UNIQUE(Tabela5[Moeda])</f>
        <v>BRL</v>
      </c>
      <c r="N2" t="s">
        <v>82</v>
      </c>
      <c r="O2">
        <v>10</v>
      </c>
      <c r="P2" t="s">
        <v>83</v>
      </c>
      <c r="Q2" s="3">
        <v>17.77</v>
      </c>
      <c r="S2" t="s">
        <v>100</v>
      </c>
      <c r="T2" s="4">
        <v>0</v>
      </c>
      <c r="U2">
        <v>840</v>
      </c>
      <c r="W2" s="1" t="s">
        <v>112</v>
      </c>
      <c r="X2" s="1" t="s">
        <v>65</v>
      </c>
      <c r="Y2" s="1" t="str">
        <f>W2&amp;X2</f>
        <v>ChinaBy Sea</v>
      </c>
      <c r="Z2" s="1">
        <v>10</v>
      </c>
      <c r="AA2" s="1">
        <v>50</v>
      </c>
      <c r="AB2" s="1">
        <v>10</v>
      </c>
      <c r="AD2" t="str" cm="1">
        <f t="array" ref="AD2:AD4">_xlfn.UNIQUE(Tabela8[Origem])</f>
        <v>China</v>
      </c>
    </row>
    <row r="3" spans="1:30" x14ac:dyDescent="0.25">
      <c r="A3">
        <v>2</v>
      </c>
      <c r="B3" s="2">
        <v>115.67</v>
      </c>
      <c r="C3" s="2">
        <v>38.56</v>
      </c>
      <c r="D3" s="2">
        <f>SUM($C$2:C3)+Apoio_Tabela_Siscomex3[[#This Row],[Fixa]]</f>
        <v>192.79000000000002</v>
      </c>
      <c r="F3" t="s">
        <v>64</v>
      </c>
      <c r="G3" t="str">
        <v>CIF</v>
      </c>
      <c r="H3" t="s">
        <v>66</v>
      </c>
      <c r="I3" t="str">
        <v>By Air</v>
      </c>
      <c r="J3" t="s">
        <v>84</v>
      </c>
      <c r="K3" t="str">
        <v>Revenda</v>
      </c>
      <c r="L3" t="s">
        <v>72</v>
      </c>
      <c r="M3" t="str">
        <v>USD</v>
      </c>
      <c r="N3" t="s">
        <v>85</v>
      </c>
      <c r="O3">
        <v>30</v>
      </c>
      <c r="P3" t="s">
        <v>83</v>
      </c>
      <c r="Q3" s="3">
        <v>29.62</v>
      </c>
      <c r="S3" t="s">
        <v>101</v>
      </c>
      <c r="T3" s="4">
        <v>0.3</v>
      </c>
      <c r="U3">
        <v>1000</v>
      </c>
      <c r="W3" s="1" t="s">
        <v>112</v>
      </c>
      <c r="X3" s="1" t="s">
        <v>66</v>
      </c>
      <c r="Y3" s="1" t="str">
        <f>W3&amp;X3</f>
        <v>ChinaBy Air</v>
      </c>
      <c r="Z3" s="1">
        <v>10</v>
      </c>
      <c r="AA3" s="1">
        <v>10</v>
      </c>
      <c r="AB3" s="1">
        <v>10</v>
      </c>
      <c r="AD3" t="str">
        <v>Italia</v>
      </c>
    </row>
    <row r="4" spans="1:30" x14ac:dyDescent="0.25">
      <c r="A4">
        <v>3</v>
      </c>
      <c r="B4" s="2">
        <v>115.67</v>
      </c>
      <c r="C4" s="2">
        <v>30.85</v>
      </c>
      <c r="D4" s="2">
        <f>SUM($C$2:C4)+Apoio_Tabela_Siscomex3[[#This Row],[Fixa]]</f>
        <v>223.64</v>
      </c>
      <c r="F4" t="s">
        <v>62</v>
      </c>
      <c r="G4" t="str">
        <v>EXW</v>
      </c>
      <c r="H4" t="s">
        <v>67</v>
      </c>
      <c r="I4" t="str">
        <v>Entreposto</v>
      </c>
      <c r="J4" t="s">
        <v>68</v>
      </c>
      <c r="K4" t="str">
        <v>Insumo</v>
      </c>
      <c r="L4" t="s">
        <v>63</v>
      </c>
      <c r="M4" t="str">
        <v>EUR</v>
      </c>
      <c r="N4" t="s">
        <v>86</v>
      </c>
      <c r="O4">
        <v>100</v>
      </c>
      <c r="P4" t="s">
        <v>83</v>
      </c>
      <c r="Q4" s="3">
        <v>112.57</v>
      </c>
      <c r="S4" t="s">
        <v>102</v>
      </c>
      <c r="T4" s="4">
        <v>0.35</v>
      </c>
      <c r="U4">
        <v>850</v>
      </c>
      <c r="W4" s="1" t="s">
        <v>113</v>
      </c>
      <c r="X4" s="1" t="s">
        <v>65</v>
      </c>
      <c r="Y4" s="1" t="str">
        <f>W4&amp;X4</f>
        <v>ItaliaBy Sea</v>
      </c>
      <c r="Z4" s="1">
        <v>10</v>
      </c>
      <c r="AA4" s="1">
        <v>30</v>
      </c>
      <c r="AB4" s="1">
        <v>10</v>
      </c>
      <c r="AD4" t="str">
        <v>Brasil</v>
      </c>
    </row>
    <row r="5" spans="1:30" x14ac:dyDescent="0.25">
      <c r="A5">
        <v>4</v>
      </c>
      <c r="B5" s="2">
        <v>115.67</v>
      </c>
      <c r="C5" s="2">
        <v>30.85</v>
      </c>
      <c r="D5" s="2">
        <f>SUM($C$2:C5)+Apoio_Tabela_Siscomex3[[#This Row],[Fixa]]</f>
        <v>254.49</v>
      </c>
      <c r="F5" t="s">
        <v>47</v>
      </c>
      <c r="G5" t="str">
        <v>FOB</v>
      </c>
      <c r="J5" t="s">
        <v>87</v>
      </c>
      <c r="K5" t="str">
        <v>Raw Material</v>
      </c>
      <c r="N5" t="s">
        <v>88</v>
      </c>
      <c r="O5">
        <v>500</v>
      </c>
      <c r="P5" t="s">
        <v>83</v>
      </c>
      <c r="Q5" s="3">
        <v>236.98</v>
      </c>
      <c r="W5" s="1" t="s">
        <v>113</v>
      </c>
      <c r="X5" s="1" t="s">
        <v>66</v>
      </c>
      <c r="Y5" s="1" t="str">
        <f>W5&amp;X5</f>
        <v>ItaliaBy Air</v>
      </c>
      <c r="Z5" s="1">
        <v>10</v>
      </c>
      <c r="AA5" s="1">
        <v>10</v>
      </c>
      <c r="AB5" s="1">
        <v>10</v>
      </c>
    </row>
    <row r="6" spans="1:30" x14ac:dyDescent="0.25">
      <c r="A6">
        <v>5</v>
      </c>
      <c r="B6" s="2">
        <v>115.67</v>
      </c>
      <c r="C6" s="2">
        <v>30.85</v>
      </c>
      <c r="D6" s="2">
        <f>SUM($C$2:C6)+Apoio_Tabela_Siscomex3[[#This Row],[Fixa]]</f>
        <v>285.33999999999997</v>
      </c>
      <c r="J6" t="s">
        <v>69</v>
      </c>
      <c r="K6" t="str">
        <v>Imobilizado</v>
      </c>
      <c r="N6" t="s">
        <v>89</v>
      </c>
      <c r="O6">
        <v>1000</v>
      </c>
      <c r="P6" t="s">
        <v>83</v>
      </c>
      <c r="Q6" s="3">
        <v>355.48</v>
      </c>
      <c r="W6" s="1" t="s">
        <v>115</v>
      </c>
      <c r="X6" s="1" t="s">
        <v>67</v>
      </c>
      <c r="Y6" s="1" t="str">
        <f>W6&amp;X6</f>
        <v>BrasilEntreposto</v>
      </c>
      <c r="Z6" s="1">
        <v>4</v>
      </c>
      <c r="AA6" s="1">
        <v>0</v>
      </c>
      <c r="AB6" s="1">
        <v>10</v>
      </c>
    </row>
    <row r="7" spans="1:30" x14ac:dyDescent="0.25">
      <c r="A7">
        <v>6</v>
      </c>
      <c r="B7" s="2">
        <v>115.67</v>
      </c>
      <c r="C7" s="2">
        <v>23.14</v>
      </c>
      <c r="D7" s="2">
        <f>SUM($C$2:C7)+Apoio_Tabela_Siscomex3[[#This Row],[Fixa]]</f>
        <v>308.48</v>
      </c>
      <c r="N7" t="s">
        <v>90</v>
      </c>
      <c r="O7">
        <v>4000</v>
      </c>
      <c r="P7" t="s">
        <v>83</v>
      </c>
      <c r="Q7" s="3">
        <v>473.97</v>
      </c>
      <c r="W7" s="1"/>
      <c r="X7" s="1"/>
      <c r="Y7" s="1"/>
    </row>
    <row r="8" spans="1:30" x14ac:dyDescent="0.25">
      <c r="A8">
        <v>7</v>
      </c>
      <c r="B8" s="2">
        <v>115.67</v>
      </c>
      <c r="C8" s="2">
        <v>23.14</v>
      </c>
      <c r="D8" s="2">
        <f>SUM($C$2:C8)+Apoio_Tabela_Siscomex3[[#This Row],[Fixa]]</f>
        <v>331.62</v>
      </c>
      <c r="N8" t="s">
        <v>91</v>
      </c>
      <c r="O8">
        <v>7000</v>
      </c>
      <c r="P8" t="s">
        <v>83</v>
      </c>
      <c r="Q8" s="3">
        <v>592.46</v>
      </c>
    </row>
    <row r="9" spans="1:30" x14ac:dyDescent="0.25">
      <c r="A9">
        <v>8</v>
      </c>
      <c r="B9" s="2">
        <v>115.67</v>
      </c>
      <c r="C9" s="2">
        <v>23.14</v>
      </c>
      <c r="D9" s="2">
        <f>SUM($C$2:C9)+Apoio_Tabela_Siscomex3[[#This Row],[Fixa]]</f>
        <v>354.76</v>
      </c>
      <c r="N9" t="s">
        <v>92</v>
      </c>
      <c r="O9">
        <v>10000</v>
      </c>
      <c r="P9" t="s">
        <v>83</v>
      </c>
      <c r="Q9" s="3">
        <v>829.44</v>
      </c>
    </row>
    <row r="10" spans="1:30" x14ac:dyDescent="0.25">
      <c r="A10">
        <v>9</v>
      </c>
      <c r="B10" s="2">
        <v>115.67</v>
      </c>
      <c r="C10" s="2">
        <v>23.14</v>
      </c>
      <c r="D10" s="2">
        <f>SUM($C$2:C10)+Apoio_Tabela_Siscomex3[[#This Row],[Fixa]]</f>
        <v>377.9</v>
      </c>
      <c r="G10" s="2"/>
      <c r="H10" s="2"/>
      <c r="N10" t="s">
        <v>93</v>
      </c>
      <c r="P10" t="s">
        <v>94</v>
      </c>
      <c r="Q10" s="3">
        <v>59.25</v>
      </c>
    </row>
    <row r="11" spans="1:30" x14ac:dyDescent="0.25">
      <c r="A11">
        <v>10</v>
      </c>
      <c r="B11" s="2">
        <v>115.67</v>
      </c>
      <c r="C11" s="2">
        <v>23.14</v>
      </c>
      <c r="D11" s="2">
        <f>SUM($C$2:C11)+Apoio_Tabela_Siscomex3[[#This Row],[Fixa]]</f>
        <v>401.03999999999996</v>
      </c>
      <c r="Q11" s="3"/>
    </row>
    <row r="12" spans="1:30" x14ac:dyDescent="0.25">
      <c r="A12">
        <v>11</v>
      </c>
      <c r="B12" s="2">
        <v>115.67</v>
      </c>
      <c r="C12" s="2">
        <v>15.42</v>
      </c>
      <c r="D12" s="2">
        <f>SUM($C$2:C12)+Apoio_Tabela_Siscomex3[[#This Row],[Fixa]]</f>
        <v>416.46</v>
      </c>
    </row>
    <row r="13" spans="1:30" x14ac:dyDescent="0.25">
      <c r="A13">
        <v>12</v>
      </c>
      <c r="B13" s="2">
        <v>115.67</v>
      </c>
      <c r="C13" s="2">
        <v>15.42</v>
      </c>
      <c r="D13" s="2">
        <f>SUM($C$2:C13)+Apoio_Tabela_Siscomex3[[#This Row],[Fixa]]</f>
        <v>431.88</v>
      </c>
    </row>
    <row r="14" spans="1:30" x14ac:dyDescent="0.25">
      <c r="A14">
        <v>13</v>
      </c>
      <c r="B14" s="2">
        <v>115.67</v>
      </c>
      <c r="C14" s="2">
        <v>15.42</v>
      </c>
      <c r="D14" s="2">
        <f>SUM($C$2:C14)+Apoio_Tabela_Siscomex3[[#This Row],[Fixa]]</f>
        <v>447.3</v>
      </c>
    </row>
    <row r="15" spans="1:30" x14ac:dyDescent="0.25">
      <c r="A15">
        <v>14</v>
      </c>
      <c r="B15" s="2">
        <v>115.67</v>
      </c>
      <c r="C15" s="2">
        <v>15.42</v>
      </c>
      <c r="D15" s="2">
        <f>SUM($C$2:C15)+Apoio_Tabela_Siscomex3[[#This Row],[Fixa]]</f>
        <v>462.72</v>
      </c>
    </row>
    <row r="16" spans="1:30" x14ac:dyDescent="0.25">
      <c r="A16">
        <v>15</v>
      </c>
      <c r="B16" s="2">
        <v>115.67</v>
      </c>
      <c r="C16" s="2">
        <v>15.42</v>
      </c>
      <c r="D16" s="2">
        <f>SUM($C$2:C16)+Apoio_Tabela_Siscomex3[[#This Row],[Fixa]]</f>
        <v>478.14000000000004</v>
      </c>
    </row>
    <row r="17" spans="1:4" x14ac:dyDescent="0.25">
      <c r="A17">
        <v>16</v>
      </c>
      <c r="B17" s="2">
        <v>115.67</v>
      </c>
      <c r="C17" s="2">
        <v>15.42</v>
      </c>
      <c r="D17" s="2">
        <f>SUM($C$2:C17)+Apoio_Tabela_Siscomex3[[#This Row],[Fixa]]</f>
        <v>493.56000000000006</v>
      </c>
    </row>
    <row r="18" spans="1:4" x14ac:dyDescent="0.25">
      <c r="A18">
        <v>17</v>
      </c>
      <c r="B18" s="2">
        <v>115.67</v>
      </c>
      <c r="C18" s="2">
        <v>15.42</v>
      </c>
      <c r="D18" s="2">
        <f>SUM($C$2:C18)+Apoio_Tabela_Siscomex3[[#This Row],[Fixa]]</f>
        <v>508.98000000000008</v>
      </c>
    </row>
    <row r="19" spans="1:4" x14ac:dyDescent="0.25">
      <c r="A19">
        <v>18</v>
      </c>
      <c r="B19" s="2">
        <v>115.67</v>
      </c>
      <c r="C19" s="2">
        <v>15.42</v>
      </c>
      <c r="D19" s="2">
        <f>SUM($C$2:C19)+Apoio_Tabela_Siscomex3[[#This Row],[Fixa]]</f>
        <v>524.40000000000009</v>
      </c>
    </row>
    <row r="20" spans="1:4" x14ac:dyDescent="0.25">
      <c r="A20">
        <v>19</v>
      </c>
      <c r="B20" s="2">
        <v>115.67</v>
      </c>
      <c r="C20" s="2">
        <v>15.42</v>
      </c>
      <c r="D20" s="2">
        <f>SUM($C$2:C20)+Apoio_Tabela_Siscomex3[[#This Row],[Fixa]]</f>
        <v>539.82000000000005</v>
      </c>
    </row>
    <row r="21" spans="1:4" x14ac:dyDescent="0.25">
      <c r="A21">
        <v>20</v>
      </c>
      <c r="B21" s="2">
        <v>115.67</v>
      </c>
      <c r="C21" s="2">
        <v>15.42</v>
      </c>
      <c r="D21" s="2">
        <f>SUM($C$2:C21)+Apoio_Tabela_Siscomex3[[#This Row],[Fixa]]</f>
        <v>555.24000000000012</v>
      </c>
    </row>
    <row r="22" spans="1:4" x14ac:dyDescent="0.25">
      <c r="A22">
        <v>21</v>
      </c>
      <c r="B22" s="2">
        <v>115.67</v>
      </c>
      <c r="C22" s="2">
        <v>7.71</v>
      </c>
      <c r="D22" s="2">
        <f>SUM($C$2:C22)+Apoio_Tabela_Siscomex3[[#This Row],[Fixa]]</f>
        <v>562.95000000000005</v>
      </c>
    </row>
    <row r="23" spans="1:4" x14ac:dyDescent="0.25">
      <c r="A23">
        <v>22</v>
      </c>
      <c r="B23" s="2">
        <v>115.67</v>
      </c>
      <c r="C23" s="2">
        <v>7.71</v>
      </c>
      <c r="D23" s="2">
        <f>SUM($C$2:C23)+Apoio_Tabela_Siscomex3[[#This Row],[Fixa]]</f>
        <v>570.66000000000008</v>
      </c>
    </row>
    <row r="24" spans="1:4" x14ac:dyDescent="0.25">
      <c r="A24">
        <v>23</v>
      </c>
      <c r="B24" s="2">
        <v>115.67</v>
      </c>
      <c r="C24" s="2">
        <v>7.71</v>
      </c>
      <c r="D24" s="2">
        <f>SUM($C$2:C24)+Apoio_Tabela_Siscomex3[[#This Row],[Fixa]]</f>
        <v>578.37</v>
      </c>
    </row>
    <row r="25" spans="1:4" x14ac:dyDescent="0.25">
      <c r="A25">
        <v>24</v>
      </c>
      <c r="B25" s="2">
        <v>115.67</v>
      </c>
      <c r="C25" s="2">
        <v>7.71</v>
      </c>
      <c r="D25" s="2">
        <f>SUM($C$2:C25)+Apoio_Tabela_Siscomex3[[#This Row],[Fixa]]</f>
        <v>586.08000000000004</v>
      </c>
    </row>
    <row r="26" spans="1:4" x14ac:dyDescent="0.25">
      <c r="A26">
        <v>25</v>
      </c>
      <c r="B26" s="2">
        <v>115.67</v>
      </c>
      <c r="C26" s="2">
        <v>7.71</v>
      </c>
      <c r="D26" s="2">
        <f>SUM($C$2:C26)+Apoio_Tabela_Siscomex3[[#This Row],[Fixa]]</f>
        <v>593.79</v>
      </c>
    </row>
    <row r="27" spans="1:4" x14ac:dyDescent="0.25">
      <c r="A27">
        <v>26</v>
      </c>
      <c r="B27" s="2">
        <v>115.67</v>
      </c>
      <c r="C27" s="2">
        <v>7.71</v>
      </c>
      <c r="D27" s="2">
        <f>SUM($C$2:C27)+Apoio_Tabela_Siscomex3[[#This Row],[Fixa]]</f>
        <v>601.5</v>
      </c>
    </row>
    <row r="28" spans="1:4" x14ac:dyDescent="0.25">
      <c r="A28">
        <v>27</v>
      </c>
      <c r="B28" s="2">
        <v>115.67</v>
      </c>
      <c r="C28" s="2">
        <v>7.71</v>
      </c>
      <c r="D28" s="2">
        <f>SUM($C$2:C28)+Apoio_Tabela_Siscomex3[[#This Row],[Fixa]]</f>
        <v>609.20999999999992</v>
      </c>
    </row>
    <row r="29" spans="1:4" x14ac:dyDescent="0.25">
      <c r="A29">
        <v>28</v>
      </c>
      <c r="B29" s="2">
        <v>115.67</v>
      </c>
      <c r="C29" s="2">
        <v>7.71</v>
      </c>
      <c r="D29" s="2">
        <f>SUM($C$2:C29)+Apoio_Tabela_Siscomex3[[#This Row],[Fixa]]</f>
        <v>616.91999999999996</v>
      </c>
    </row>
    <row r="30" spans="1:4" x14ac:dyDescent="0.25">
      <c r="A30">
        <v>29</v>
      </c>
      <c r="B30" s="2">
        <v>115.67</v>
      </c>
      <c r="C30" s="2">
        <v>7.71</v>
      </c>
      <c r="D30" s="2">
        <f>SUM($C$2:C30)+Apoio_Tabela_Siscomex3[[#This Row],[Fixa]]</f>
        <v>624.62999999999988</v>
      </c>
    </row>
    <row r="31" spans="1:4" x14ac:dyDescent="0.25">
      <c r="A31">
        <v>30</v>
      </c>
      <c r="B31" s="2">
        <v>115.67</v>
      </c>
      <c r="C31" s="2">
        <v>7.71</v>
      </c>
      <c r="D31" s="2">
        <f>SUM($C$2:C31)+Apoio_Tabela_Siscomex3[[#This Row],[Fixa]]</f>
        <v>632.33999999999992</v>
      </c>
    </row>
    <row r="32" spans="1:4" x14ac:dyDescent="0.25">
      <c r="A32">
        <v>31</v>
      </c>
      <c r="B32" s="2">
        <v>115.67</v>
      </c>
      <c r="C32" s="2">
        <v>7.71</v>
      </c>
      <c r="D32" s="2">
        <f>SUM($C$2:C32)+Apoio_Tabela_Siscomex3[[#This Row],[Fixa]]</f>
        <v>640.04999999999995</v>
      </c>
    </row>
    <row r="33" spans="1:4" x14ac:dyDescent="0.25">
      <c r="A33">
        <v>32</v>
      </c>
      <c r="B33" s="2">
        <v>115.67</v>
      </c>
      <c r="C33" s="2">
        <v>7.71</v>
      </c>
      <c r="D33" s="2">
        <f>SUM($C$2:C33)+Apoio_Tabela_Siscomex3[[#This Row],[Fixa]]</f>
        <v>647.76</v>
      </c>
    </row>
    <row r="34" spans="1:4" x14ac:dyDescent="0.25">
      <c r="A34">
        <v>33</v>
      </c>
      <c r="B34" s="2">
        <v>115.67</v>
      </c>
      <c r="C34" s="2">
        <v>7.71</v>
      </c>
      <c r="D34" s="2">
        <f>SUM($C$2:C34)+Apoio_Tabela_Siscomex3[[#This Row],[Fixa]]</f>
        <v>655.47</v>
      </c>
    </row>
    <row r="35" spans="1:4" x14ac:dyDescent="0.25">
      <c r="A35">
        <v>34</v>
      </c>
      <c r="B35" s="2">
        <v>115.67</v>
      </c>
      <c r="C35" s="2">
        <v>7.71</v>
      </c>
      <c r="D35" s="2">
        <f>SUM($C$2:C35)+Apoio_Tabela_Siscomex3[[#This Row],[Fixa]]</f>
        <v>663.18000000000006</v>
      </c>
    </row>
    <row r="36" spans="1:4" x14ac:dyDescent="0.25">
      <c r="A36">
        <v>35</v>
      </c>
      <c r="B36" s="2">
        <v>115.67</v>
      </c>
      <c r="C36" s="2">
        <v>7.71</v>
      </c>
      <c r="D36" s="2">
        <f>SUM($C$2:C36)+Apoio_Tabela_Siscomex3[[#This Row],[Fixa]]</f>
        <v>670.8900000000001</v>
      </c>
    </row>
    <row r="37" spans="1:4" x14ac:dyDescent="0.25">
      <c r="A37">
        <v>36</v>
      </c>
      <c r="B37" s="2">
        <v>115.67</v>
      </c>
      <c r="C37" s="2">
        <v>7.71</v>
      </c>
      <c r="D37" s="2">
        <f>SUM($C$2:C37)+Apoio_Tabela_Siscomex3[[#This Row],[Fixa]]</f>
        <v>678.60000000000014</v>
      </c>
    </row>
    <row r="38" spans="1:4" x14ac:dyDescent="0.25">
      <c r="A38">
        <v>37</v>
      </c>
      <c r="B38" s="2">
        <v>115.67</v>
      </c>
      <c r="C38" s="2">
        <v>7.71</v>
      </c>
      <c r="D38" s="2">
        <f>SUM($C$2:C38)+Apoio_Tabela_Siscomex3[[#This Row],[Fixa]]</f>
        <v>686.31000000000017</v>
      </c>
    </row>
    <row r="39" spans="1:4" x14ac:dyDescent="0.25">
      <c r="A39">
        <v>38</v>
      </c>
      <c r="B39" s="2">
        <v>115.67</v>
      </c>
      <c r="C39" s="2">
        <v>7.71</v>
      </c>
      <c r="D39" s="2">
        <f>SUM($C$2:C39)+Apoio_Tabela_Siscomex3[[#This Row],[Fixa]]</f>
        <v>694.02000000000021</v>
      </c>
    </row>
    <row r="40" spans="1:4" x14ac:dyDescent="0.25">
      <c r="A40">
        <v>39</v>
      </c>
      <c r="B40" s="2">
        <v>115.67</v>
      </c>
      <c r="C40" s="2">
        <v>7.71</v>
      </c>
      <c r="D40" s="2">
        <f>SUM($C$2:C40)+Apoio_Tabela_Siscomex3[[#This Row],[Fixa]]</f>
        <v>701.73000000000025</v>
      </c>
    </row>
    <row r="41" spans="1:4" x14ac:dyDescent="0.25">
      <c r="A41">
        <v>40</v>
      </c>
      <c r="B41" s="2">
        <v>115.67</v>
      </c>
      <c r="C41" s="2">
        <v>7.71</v>
      </c>
      <c r="D41" s="2">
        <f>SUM($C$2:C41)+Apoio_Tabela_Siscomex3[[#This Row],[Fixa]]</f>
        <v>709.44000000000028</v>
      </c>
    </row>
    <row r="42" spans="1:4" x14ac:dyDescent="0.25">
      <c r="A42">
        <v>41</v>
      </c>
      <c r="B42" s="2">
        <v>115.67</v>
      </c>
      <c r="C42" s="2">
        <v>7.71</v>
      </c>
      <c r="D42" s="2">
        <f>SUM($C$2:C42)+Apoio_Tabela_Siscomex3[[#This Row],[Fixa]]</f>
        <v>717.15000000000032</v>
      </c>
    </row>
    <row r="43" spans="1:4" x14ac:dyDescent="0.25">
      <c r="A43">
        <v>42</v>
      </c>
      <c r="B43" s="2">
        <v>115.67</v>
      </c>
      <c r="C43" s="2">
        <v>7.71</v>
      </c>
      <c r="D43" s="2">
        <f>SUM($C$2:C43)+Apoio_Tabela_Siscomex3[[#This Row],[Fixa]]</f>
        <v>724.86000000000035</v>
      </c>
    </row>
    <row r="44" spans="1:4" x14ac:dyDescent="0.25">
      <c r="A44">
        <v>43</v>
      </c>
      <c r="B44" s="2">
        <v>115.67</v>
      </c>
      <c r="C44" s="2">
        <v>7.71</v>
      </c>
      <c r="D44" s="2">
        <f>SUM($C$2:C44)+Apoio_Tabela_Siscomex3[[#This Row],[Fixa]]</f>
        <v>732.57000000000039</v>
      </c>
    </row>
    <row r="45" spans="1:4" x14ac:dyDescent="0.25">
      <c r="A45">
        <v>44</v>
      </c>
      <c r="B45" s="2">
        <v>115.67</v>
      </c>
      <c r="C45" s="2">
        <v>7.71</v>
      </c>
      <c r="D45" s="2">
        <f>SUM($C$2:C45)+Apoio_Tabela_Siscomex3[[#This Row],[Fixa]]</f>
        <v>740.28000000000043</v>
      </c>
    </row>
    <row r="46" spans="1:4" x14ac:dyDescent="0.25">
      <c r="A46">
        <v>45</v>
      </c>
      <c r="B46" s="2">
        <v>115.67</v>
      </c>
      <c r="C46" s="2">
        <v>7.71</v>
      </c>
      <c r="D46" s="2">
        <f>SUM($C$2:C46)+Apoio_Tabela_Siscomex3[[#This Row],[Fixa]]</f>
        <v>747.99000000000046</v>
      </c>
    </row>
    <row r="47" spans="1:4" x14ac:dyDescent="0.25">
      <c r="A47">
        <v>46</v>
      </c>
      <c r="B47" s="2">
        <v>115.67</v>
      </c>
      <c r="C47" s="2">
        <v>7.71</v>
      </c>
      <c r="D47" s="2">
        <f>SUM($C$2:C47)+Apoio_Tabela_Siscomex3[[#This Row],[Fixa]]</f>
        <v>755.7000000000005</v>
      </c>
    </row>
    <row r="48" spans="1:4" x14ac:dyDescent="0.25">
      <c r="A48">
        <v>47</v>
      </c>
      <c r="B48" s="2">
        <v>115.67</v>
      </c>
      <c r="C48" s="2">
        <v>7.71</v>
      </c>
      <c r="D48" s="2">
        <f>SUM($C$2:C48)+Apoio_Tabela_Siscomex3[[#This Row],[Fixa]]</f>
        <v>763.41000000000054</v>
      </c>
    </row>
    <row r="49" spans="1:4" x14ac:dyDescent="0.25">
      <c r="A49">
        <v>48</v>
      </c>
      <c r="B49" s="2">
        <v>115.67</v>
      </c>
      <c r="C49" s="2">
        <v>7.71</v>
      </c>
      <c r="D49" s="2">
        <f>SUM($C$2:C49)+Apoio_Tabela_Siscomex3[[#This Row],[Fixa]]</f>
        <v>771.12000000000057</v>
      </c>
    </row>
    <row r="50" spans="1:4" x14ac:dyDescent="0.25">
      <c r="A50">
        <v>49</v>
      </c>
      <c r="B50" s="2">
        <v>115.67</v>
      </c>
      <c r="C50" s="2">
        <v>7.71</v>
      </c>
      <c r="D50" s="2">
        <f>SUM($C$2:C50)+Apoio_Tabela_Siscomex3[[#This Row],[Fixa]]</f>
        <v>778.83000000000061</v>
      </c>
    </row>
    <row r="51" spans="1:4" x14ac:dyDescent="0.25">
      <c r="A51">
        <v>50</v>
      </c>
      <c r="B51" s="2">
        <v>115.67</v>
      </c>
      <c r="C51" s="2">
        <v>7.71</v>
      </c>
      <c r="D51" s="2">
        <f>SUM($C$2:C51)+Apoio_Tabela_Siscomex3[[#This Row],[Fixa]]</f>
        <v>786.54000000000065</v>
      </c>
    </row>
    <row r="52" spans="1:4" x14ac:dyDescent="0.25">
      <c r="A52">
        <v>51</v>
      </c>
      <c r="B52" s="2">
        <v>115.67</v>
      </c>
      <c r="C52" s="2">
        <v>3.86</v>
      </c>
      <c r="D52" s="2">
        <f>SUM($C$2:C52)+Apoio_Tabela_Siscomex3[[#This Row],[Fixa]]</f>
        <v>790.40000000000066</v>
      </c>
    </row>
  </sheetData>
  <pageMargins left="0.511811024" right="0.511811024" top="0.78740157499999996" bottom="0.78740157499999996" header="0.31496062000000002" footer="0.31496062000000002"/>
  <ignoredErrors>
    <ignoredError sqref="D3:D52" formulaRange="1"/>
  </ignoredErrors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C34F8DB67CC4408EAB48300D4F5F36" ma:contentTypeVersion="15" ma:contentTypeDescription="Crie um novo documento." ma:contentTypeScope="" ma:versionID="c400d56ce5c78bcdf0d7fa9db9b4ff3f">
  <xsd:schema xmlns:xsd="http://www.w3.org/2001/XMLSchema" xmlns:xs="http://www.w3.org/2001/XMLSchema" xmlns:p="http://schemas.microsoft.com/office/2006/metadata/properties" xmlns:ns2="12124fb0-887f-4a71-9c5c-0b6cc077f367" xmlns:ns3="d2d8eab5-f6b2-427c-90e3-06dcd0c3f093" targetNamespace="http://schemas.microsoft.com/office/2006/metadata/properties" ma:root="true" ma:fieldsID="684a882321cfdc22999aa06e0649fb1e" ns2:_="" ns3:_="">
    <xsd:import namespace="12124fb0-887f-4a71-9c5c-0b6cc077f367"/>
    <xsd:import namespace="d2d8eab5-f6b2-427c-90e3-06dcd0c3f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24fb0-887f-4a71-9c5c-0b6cc077f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5bd333-8d29-4a8b-979f-442b386d9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8eab5-f6b2-427c-90e3-06dcd0c3f0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25954b5-f4c7-4b6a-8dfe-bf1537dede15}" ma:internalName="TaxCatchAll" ma:showField="CatchAllData" ma:web="d2d8eab5-f6b2-427c-90e3-06dcd0c3f0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124fb0-887f-4a71-9c5c-0b6cc077f367">
      <Terms xmlns="http://schemas.microsoft.com/office/infopath/2007/PartnerControls"/>
    </lcf76f155ced4ddcb4097134ff3c332f>
    <TaxCatchAll xmlns="d2d8eab5-f6b2-427c-90e3-06dcd0c3f0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A8F9CF-DEFC-4D0C-9F5B-00629BCB5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24fb0-887f-4a71-9c5c-0b6cc077f367"/>
    <ds:schemaRef ds:uri="d2d8eab5-f6b2-427c-90e3-06dcd0c3f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075EF4-4D93-4D92-B267-43C46D793769}">
  <ds:schemaRefs>
    <ds:schemaRef ds:uri="http://schemas.microsoft.com/office/2006/metadata/properties"/>
    <ds:schemaRef ds:uri="http://schemas.microsoft.com/office/infopath/2007/PartnerControls"/>
    <ds:schemaRef ds:uri="12124fb0-887f-4a71-9c5c-0b6cc077f367"/>
    <ds:schemaRef ds:uri="d2d8eab5-f6b2-427c-90e3-06dcd0c3f093"/>
  </ds:schemaRefs>
</ds:datastoreItem>
</file>

<file path=customXml/itemProps3.xml><?xml version="1.0" encoding="utf-8"?>
<ds:datastoreItem xmlns:ds="http://schemas.openxmlformats.org/officeDocument/2006/customXml" ds:itemID="{64713961-3301-47C5-B011-1730E6209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Custo</vt:lpstr>
      <vt:lpstr>Apoio</vt:lpstr>
      <vt:lpstr>Custo!Print_Area</vt:lpstr>
      <vt:lpstr>Trading_despachante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Anuplio De Oliveira Filho</dc:creator>
  <cp:lastModifiedBy>Nathan Rodrigues</cp:lastModifiedBy>
  <cp:lastPrinted>2025-09-09T18:06:39Z</cp:lastPrinted>
  <dcterms:created xsi:type="dcterms:W3CDTF">2023-04-28T16:30:42Z</dcterms:created>
  <dcterms:modified xsi:type="dcterms:W3CDTF">2025-09-16T17:44:31Z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0x01010044C34F8DB67CC4408EAB48300D4F5F36</vt:lpwstr>
  </property>
</Properties>
</file>