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raidermailwright-my.sharepoint.com/personal/schmitz_74_wright_edu/Documents/Schoolwork/Physics II/Lab/"/>
    </mc:Choice>
  </mc:AlternateContent>
  <xr:revisionPtr revIDLastSave="2" documentId="13_ncr:1_{4156725B-67A5-4FCD-9D20-C93682A5B0C4}" xr6:coauthVersionLast="47" xr6:coauthVersionMax="47" xr10:uidLastSave="{F0FDE04E-9E85-4CCD-A47C-8EC3C2C618E1}"/>
  <bookViews>
    <workbookView xWindow="-28920" yWindow="106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1" l="1"/>
  <c r="D86" i="1" s="1"/>
  <c r="C86" i="1"/>
  <c r="C85" i="1"/>
  <c r="C84" i="1"/>
  <c r="C83" i="1"/>
  <c r="C82" i="1"/>
  <c r="E76" i="1"/>
  <c r="E74" i="1"/>
  <c r="E72" i="1"/>
  <c r="E70" i="1"/>
  <c r="E61" i="1"/>
  <c r="E59" i="1"/>
  <c r="E57" i="1"/>
  <c r="E55" i="1"/>
  <c r="E40" i="1"/>
  <c r="E46" i="1"/>
  <c r="E44" i="1"/>
  <c r="E42" i="1"/>
  <c r="E31" i="1"/>
  <c r="E29" i="1"/>
  <c r="E27" i="1"/>
  <c r="E25" i="1"/>
  <c r="E68" i="1"/>
  <c r="E53" i="1"/>
  <c r="E38" i="1"/>
  <c r="E23" i="1"/>
  <c r="F17" i="1"/>
  <c r="E17" i="1"/>
  <c r="F14" i="1"/>
  <c r="E14" i="1"/>
  <c r="E11" i="1"/>
  <c r="E10" i="1"/>
  <c r="E9" i="1"/>
  <c r="E8" i="1"/>
  <c r="E7" i="1"/>
  <c r="D84" i="1" l="1"/>
  <c r="D85" i="1"/>
  <c r="D83" i="1"/>
  <c r="D82" i="1"/>
</calcChain>
</file>

<file path=xl/sharedStrings.xml><?xml version="1.0" encoding="utf-8"?>
<sst xmlns="http://schemas.openxmlformats.org/spreadsheetml/2006/main" count="106" uniqueCount="47">
  <si>
    <t>Number of Turns of each Coil:</t>
  </si>
  <si>
    <t>Table 1</t>
  </si>
  <si>
    <t>Determining the Average Radius of the Helmholtz Coil</t>
  </si>
  <si>
    <t>Diameter (meters)</t>
  </si>
  <si>
    <t>Sys. Unc. Diameter</t>
  </si>
  <si>
    <t>Radius, R (meters)</t>
  </si>
  <si>
    <t>Sys. Unc. Radius</t>
  </si>
  <si>
    <t>Avg. Radius, R</t>
  </si>
  <si>
    <t>Total Unc. Radius, R</t>
  </si>
  <si>
    <r>
      <t>k</t>
    </r>
    <r>
      <rPr>
        <vertAlign val="superscript"/>
        <sz val="11"/>
        <color theme="1"/>
        <rFont val="Calibri"/>
        <family val="2"/>
        <scheme val="minor"/>
      </rPr>
      <t>2</t>
    </r>
  </si>
  <si>
    <r>
      <t>Total Unc. k</t>
    </r>
    <r>
      <rPr>
        <vertAlign val="superscript"/>
        <sz val="11"/>
        <color theme="1"/>
        <rFont val="Calibri"/>
        <family val="2"/>
        <scheme val="minor"/>
      </rPr>
      <t>2</t>
    </r>
  </si>
  <si>
    <t>Current = 1.8 Amps</t>
  </si>
  <si>
    <t>Table 2</t>
  </si>
  <si>
    <t>Beam Diameter &amp;</t>
  </si>
  <si>
    <t>Beam Radius</t>
  </si>
  <si>
    <t>Accelerating</t>
  </si>
  <si>
    <t>Voltage</t>
  </si>
  <si>
    <t>Unc. Accelerating</t>
  </si>
  <si>
    <t>e/m</t>
  </si>
  <si>
    <t>Unc.</t>
  </si>
  <si>
    <t>Diameter: 10 cm</t>
  </si>
  <si>
    <t>Diameter: 9 cm</t>
  </si>
  <si>
    <t>radius: 4.5 cm</t>
  </si>
  <si>
    <t>Diameter: 8 cm</t>
  </si>
  <si>
    <t>radius: 4.0 cm</t>
  </si>
  <si>
    <t>radius: 5.0 cm</t>
  </si>
  <si>
    <t>Diameter: 7 cm</t>
  </si>
  <si>
    <t>radius: 3.5 cm</t>
  </si>
  <si>
    <t>Diameter: 6 cm</t>
  </si>
  <si>
    <t>radius: 3.0 cm</t>
  </si>
  <si>
    <t>Table 3</t>
  </si>
  <si>
    <t>Current = 1.7 Amps</t>
  </si>
  <si>
    <t>Table 4</t>
  </si>
  <si>
    <t>Current = 1.6 Amps</t>
  </si>
  <si>
    <t>Table 5</t>
  </si>
  <si>
    <t>Current = 1.5 Amps</t>
  </si>
  <si>
    <t>Average e/m per radii</t>
  </si>
  <si>
    <t>Table 6</t>
  </si>
  <si>
    <t>radius</t>
  </si>
  <si>
    <t>r = 5.0 cm</t>
  </si>
  <si>
    <t>r = 4.5 cm</t>
  </si>
  <si>
    <t>r = 4.0 cm</t>
  </si>
  <si>
    <t>r = 3.5 cm</t>
  </si>
  <si>
    <t>r = 3.0 cm</t>
  </si>
  <si>
    <t>Avg. e/m</t>
  </si>
  <si>
    <t>Charge to Mass Ratio of the Electron</t>
  </si>
  <si>
    <t>Unc. Avg. e/m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</si>
</sst>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D5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0" fillId="8" borderId="1" xfId="7" applyFont="1" applyBorder="1" applyAlignment="1">
      <alignment horizontal="center" vertical="center"/>
    </xf>
    <xf numFmtId="0" fontId="0" fillId="7" borderId="1" xfId="6" applyFont="1" applyBorder="1" applyAlignment="1">
      <alignment horizontal="center" vertical="center"/>
    </xf>
    <xf numFmtId="0" fontId="1" fillId="6" borderId="2" xfId="5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12" borderId="4" xfId="11" applyBorder="1" applyAlignment="1">
      <alignment horizontal="center" vertical="center"/>
    </xf>
    <xf numFmtId="0" fontId="1" fillId="11" borderId="2" xfId="10" applyBorder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12" borderId="5" xfId="11" applyBorder="1" applyAlignment="1">
      <alignment horizontal="center" vertical="center"/>
    </xf>
    <xf numFmtId="0" fontId="1" fillId="11" borderId="3" xfId="10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2">
    <cellStyle name="20% - Accent1" xfId="1" builtinId="30"/>
    <cellStyle name="20% - Accent2" xfId="3" builtinId="34"/>
    <cellStyle name="20% - Accent4" xfId="6" builtinId="42"/>
    <cellStyle name="20% - Accent5" xfId="8" builtinId="46"/>
    <cellStyle name="20% - Accent6" xfId="10" builtinId="50"/>
    <cellStyle name="40% - Accent1" xfId="2" builtinId="31"/>
    <cellStyle name="40% - Accent2" xfId="4" builtinId="35"/>
    <cellStyle name="40% - Accent3" xfId="5" builtinId="39"/>
    <cellStyle name="40% - Accent4" xfId="7" builtinId="43"/>
    <cellStyle name="40% - Accent5" xfId="9" builtinId="47"/>
    <cellStyle name="40% - Accent6" xfId="11" builtinId="51"/>
    <cellStyle name="Normal" xfId="0" builtinId="0"/>
  </cellStyles>
  <dxfs count="0"/>
  <tableStyles count="0" defaultTableStyle="TableStyleMedium2" defaultPivotStyle="PivotStyleLight16"/>
  <colors>
    <mruColors>
      <color rgb="FFD5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A48" zoomScale="85" zoomScaleNormal="85" workbookViewId="0">
      <selection activeCell="C82" sqref="C82"/>
    </sheetView>
  </sheetViews>
  <sheetFormatPr defaultRowHeight="15" x14ac:dyDescent="0.25"/>
  <cols>
    <col min="1" max="1" width="9.140625" style="3"/>
    <col min="2" max="10" width="20.7109375" style="3" customWidth="1"/>
    <col min="11" max="11" width="20.7109375" customWidth="1"/>
  </cols>
  <sheetData>
    <row r="1" spans="1:6" x14ac:dyDescent="0.25">
      <c r="A1" s="3" t="s">
        <v>45</v>
      </c>
    </row>
    <row r="3" spans="1:6" x14ac:dyDescent="0.25">
      <c r="B3" s="4" t="s">
        <v>0</v>
      </c>
      <c r="C3" s="4"/>
      <c r="D3" s="1">
        <v>130</v>
      </c>
    </row>
    <row r="5" spans="1:6" x14ac:dyDescent="0.25">
      <c r="B5" s="3" t="s">
        <v>2</v>
      </c>
    </row>
    <row r="6" spans="1:6" x14ac:dyDescent="0.25">
      <c r="A6" s="3" t="s">
        <v>1</v>
      </c>
      <c r="B6" s="4" t="s">
        <v>3</v>
      </c>
      <c r="C6" s="5" t="s">
        <v>4</v>
      </c>
      <c r="E6" s="6" t="s">
        <v>5</v>
      </c>
      <c r="F6" s="7" t="s">
        <v>6</v>
      </c>
    </row>
    <row r="7" spans="1:6" x14ac:dyDescent="0.25">
      <c r="B7" s="1">
        <v>0.307</v>
      </c>
      <c r="C7" s="1">
        <v>5.0000000000000001E-4</v>
      </c>
      <c r="E7" s="1">
        <f>B7/2</f>
        <v>0.1535</v>
      </c>
      <c r="F7" s="1">
        <v>5.0000000000000001E-4</v>
      </c>
    </row>
    <row r="8" spans="1:6" x14ac:dyDescent="0.25">
      <c r="B8" s="1">
        <v>0.3</v>
      </c>
      <c r="E8" s="1">
        <f t="shared" ref="E8:E11" si="0">B8/2</f>
        <v>0.15</v>
      </c>
    </row>
    <row r="9" spans="1:6" x14ac:dyDescent="0.25">
      <c r="B9" s="1">
        <v>0.29899999999999999</v>
      </c>
      <c r="E9" s="1">
        <f t="shared" si="0"/>
        <v>0.14949999999999999</v>
      </c>
    </row>
    <row r="10" spans="1:6" x14ac:dyDescent="0.25">
      <c r="B10" s="1">
        <v>0.30599999999999999</v>
      </c>
      <c r="E10" s="1">
        <f t="shared" si="0"/>
        <v>0.153</v>
      </c>
    </row>
    <row r="11" spans="1:6" x14ac:dyDescent="0.25">
      <c r="B11" s="1">
        <v>0.29799999999999999</v>
      </c>
      <c r="E11" s="1">
        <f t="shared" si="0"/>
        <v>0.14899999999999999</v>
      </c>
    </row>
    <row r="13" spans="1:6" x14ac:dyDescent="0.25">
      <c r="E13" s="6" t="s">
        <v>7</v>
      </c>
      <c r="F13" s="7" t="s">
        <v>8</v>
      </c>
    </row>
    <row r="14" spans="1:6" x14ac:dyDescent="0.25">
      <c r="E14" s="1">
        <f>AVERAGE(E7:E11)</f>
        <v>0.151</v>
      </c>
      <c r="F14" s="1">
        <f>SQRT((STDEV(E7:E11))^2 + F7^2)</f>
        <v>2.1505813167606584E-3</v>
      </c>
    </row>
    <row r="16" spans="1:6" ht="17.25" x14ac:dyDescent="0.25">
      <c r="E16" s="8" t="s">
        <v>9</v>
      </c>
      <c r="F16" s="9" t="s">
        <v>10</v>
      </c>
    </row>
    <row r="17" spans="1:10" x14ac:dyDescent="0.25">
      <c r="E17" s="1">
        <f>(64*((4*PI()*10^-7)^2)*D3^2)/(125*E14^2)</f>
        <v>5.9926994754086925E-7</v>
      </c>
      <c r="F17" s="1">
        <f>E17*SQRT((2*(F14/E14))^2)</f>
        <v>1.7069917256656072E-8</v>
      </c>
    </row>
    <row r="20" spans="1:10" x14ac:dyDescent="0.25">
      <c r="B20" s="3" t="s">
        <v>11</v>
      </c>
    </row>
    <row r="21" spans="1:10" x14ac:dyDescent="0.25">
      <c r="A21" s="3" t="s">
        <v>12</v>
      </c>
      <c r="B21" s="10" t="s">
        <v>13</v>
      </c>
      <c r="C21" s="11" t="s">
        <v>15</v>
      </c>
      <c r="D21" s="12" t="s">
        <v>17</v>
      </c>
      <c r="E21" s="13" t="s">
        <v>18</v>
      </c>
      <c r="J21" s="14" t="s">
        <v>19</v>
      </c>
    </row>
    <row r="22" spans="1:10" x14ac:dyDescent="0.25">
      <c r="B22" s="15" t="s">
        <v>14</v>
      </c>
      <c r="C22" s="16" t="s">
        <v>16</v>
      </c>
      <c r="D22" s="17" t="s">
        <v>16</v>
      </c>
      <c r="E22" s="18"/>
      <c r="J22" s="19" t="s">
        <v>18</v>
      </c>
    </row>
    <row r="23" spans="1:10" x14ac:dyDescent="0.25">
      <c r="B23" s="20" t="s">
        <v>20</v>
      </c>
      <c r="C23" s="24">
        <v>475</v>
      </c>
      <c r="D23" s="24">
        <v>1</v>
      </c>
      <c r="E23" s="26">
        <f>(2*C23)/((1.8^2)*(0.05^2)*($E$17))</f>
        <v>195711383657.00433</v>
      </c>
      <c r="J23" s="2"/>
    </row>
    <row r="24" spans="1:10" x14ac:dyDescent="0.25">
      <c r="B24" s="21" t="s">
        <v>25</v>
      </c>
      <c r="C24" s="25"/>
      <c r="D24" s="25"/>
      <c r="E24" s="27"/>
      <c r="J24" s="2"/>
    </row>
    <row r="25" spans="1:10" x14ac:dyDescent="0.25">
      <c r="B25" s="22" t="s">
        <v>21</v>
      </c>
      <c r="C25" s="24">
        <v>384</v>
      </c>
      <c r="D25" s="24">
        <v>1</v>
      </c>
      <c r="E25" s="26">
        <f>(2*C25)/((1.8^2)*(0.045^2)*($E$17))</f>
        <v>195329879985.15836</v>
      </c>
      <c r="J25" s="2"/>
    </row>
    <row r="26" spans="1:10" x14ac:dyDescent="0.25">
      <c r="B26" s="23" t="s">
        <v>22</v>
      </c>
      <c r="C26" s="25"/>
      <c r="D26" s="25"/>
      <c r="E26" s="27"/>
      <c r="J26" s="2"/>
    </row>
    <row r="27" spans="1:10" x14ac:dyDescent="0.25">
      <c r="B27" s="20" t="s">
        <v>23</v>
      </c>
      <c r="C27" s="24">
        <v>313</v>
      </c>
      <c r="D27" s="24">
        <v>1</v>
      </c>
      <c r="E27" s="26">
        <f>(2*C27)/((1.8^2)*(0.04^2)*($E$17))</f>
        <v>201505470673.16568</v>
      </c>
      <c r="J27" s="2"/>
    </row>
    <row r="28" spans="1:10" x14ac:dyDescent="0.25">
      <c r="B28" s="21" t="s">
        <v>24</v>
      </c>
      <c r="C28" s="25"/>
      <c r="D28" s="25"/>
      <c r="E28" s="27"/>
      <c r="J28" s="2"/>
    </row>
    <row r="29" spans="1:10" x14ac:dyDescent="0.25">
      <c r="B29" s="22" t="s">
        <v>26</v>
      </c>
      <c r="C29" s="24">
        <v>247</v>
      </c>
      <c r="D29" s="24">
        <v>1</v>
      </c>
      <c r="E29" s="26">
        <f>(2*C29)/((1.8^2)*(0.035^2)*($E$17))</f>
        <v>207693713268.65765</v>
      </c>
      <c r="J29" s="2"/>
    </row>
    <row r="30" spans="1:10" x14ac:dyDescent="0.25">
      <c r="B30" s="23" t="s">
        <v>27</v>
      </c>
      <c r="C30" s="25"/>
      <c r="D30" s="25"/>
      <c r="E30" s="27"/>
      <c r="J30" s="2"/>
    </row>
    <row r="31" spans="1:10" x14ac:dyDescent="0.25">
      <c r="B31" s="20" t="s">
        <v>28</v>
      </c>
      <c r="C31" s="24">
        <v>190</v>
      </c>
      <c r="D31" s="24">
        <v>1</v>
      </c>
      <c r="E31" s="26">
        <f>(2*C31)/((1.8^2)*(0.03^2)*($E$17))</f>
        <v>217457092952.22708</v>
      </c>
      <c r="J31" s="2"/>
    </row>
    <row r="32" spans="1:10" x14ac:dyDescent="0.25">
      <c r="B32" s="21" t="s">
        <v>29</v>
      </c>
      <c r="C32" s="25"/>
      <c r="D32" s="25"/>
      <c r="E32" s="27"/>
      <c r="J32" s="2"/>
    </row>
    <row r="35" spans="1:10" x14ac:dyDescent="0.25">
      <c r="B35" s="3" t="s">
        <v>31</v>
      </c>
    </row>
    <row r="36" spans="1:10" x14ac:dyDescent="0.25">
      <c r="A36" s="3" t="s">
        <v>30</v>
      </c>
      <c r="B36" s="10" t="s">
        <v>13</v>
      </c>
      <c r="C36" s="11" t="s">
        <v>15</v>
      </c>
      <c r="D36" s="12" t="s">
        <v>17</v>
      </c>
      <c r="E36" s="13" t="s">
        <v>18</v>
      </c>
      <c r="J36" s="14" t="s">
        <v>19</v>
      </c>
    </row>
    <row r="37" spans="1:10" x14ac:dyDescent="0.25">
      <c r="B37" s="15" t="s">
        <v>14</v>
      </c>
      <c r="C37" s="16" t="s">
        <v>16</v>
      </c>
      <c r="D37" s="17" t="s">
        <v>16</v>
      </c>
      <c r="E37" s="18"/>
      <c r="J37" s="19" t="s">
        <v>18</v>
      </c>
    </row>
    <row r="38" spans="1:10" x14ac:dyDescent="0.25">
      <c r="B38" s="20" t="s">
        <v>20</v>
      </c>
      <c r="C38" s="24">
        <v>423</v>
      </c>
      <c r="D38" s="24">
        <v>1</v>
      </c>
      <c r="E38" s="26">
        <f>(2*C38)/((1.7^2)*(0.05^2)*($E$17))</f>
        <v>195393455129.91998</v>
      </c>
      <c r="J38" s="2"/>
    </row>
    <row r="39" spans="1:10" x14ac:dyDescent="0.25">
      <c r="B39" s="21" t="s">
        <v>25</v>
      </c>
      <c r="C39" s="25"/>
      <c r="D39" s="25"/>
      <c r="E39" s="27"/>
      <c r="J39" s="2"/>
    </row>
    <row r="40" spans="1:10" x14ac:dyDescent="0.25">
      <c r="B40" s="22" t="s">
        <v>21</v>
      </c>
      <c r="C40" s="24">
        <v>350</v>
      </c>
      <c r="D40" s="24">
        <v>1</v>
      </c>
      <c r="E40" s="26">
        <f>(2*C40)/((1.7^2)*(0.045^2)*($E$17))</f>
        <v>199596384716.66812</v>
      </c>
      <c r="J40" s="2"/>
    </row>
    <row r="41" spans="1:10" x14ac:dyDescent="0.25">
      <c r="B41" s="23" t="s">
        <v>22</v>
      </c>
      <c r="C41" s="25"/>
      <c r="D41" s="25"/>
      <c r="E41" s="27"/>
      <c r="J41" s="2"/>
    </row>
    <row r="42" spans="1:10" x14ac:dyDescent="0.25">
      <c r="B42" s="20" t="s">
        <v>23</v>
      </c>
      <c r="C42" s="24">
        <v>283</v>
      </c>
      <c r="D42" s="24">
        <v>1</v>
      </c>
      <c r="E42" s="26">
        <f>(2*C42)/((1.7^2)*(0.04^2)*($E$17))</f>
        <v>204256603877.68674</v>
      </c>
      <c r="J42" s="2"/>
    </row>
    <row r="43" spans="1:10" x14ac:dyDescent="0.25">
      <c r="B43" s="21" t="s">
        <v>24</v>
      </c>
      <c r="C43" s="25"/>
      <c r="D43" s="25"/>
      <c r="E43" s="27"/>
      <c r="J43" s="2"/>
    </row>
    <row r="44" spans="1:10" x14ac:dyDescent="0.25">
      <c r="B44" s="22" t="s">
        <v>26</v>
      </c>
      <c r="C44" s="24">
        <v>225</v>
      </c>
      <c r="D44" s="24">
        <v>1</v>
      </c>
      <c r="E44" s="26">
        <f>(2*C44)/((1.7^2)*(0.035^2)*($E$17))</f>
        <v>212107528365.08899</v>
      </c>
      <c r="J44" s="2"/>
    </row>
    <row r="45" spans="1:10" x14ac:dyDescent="0.25">
      <c r="B45" s="23" t="s">
        <v>27</v>
      </c>
      <c r="C45" s="25"/>
      <c r="D45" s="25"/>
      <c r="E45" s="27"/>
      <c r="J45" s="2"/>
    </row>
    <row r="46" spans="1:10" x14ac:dyDescent="0.25">
      <c r="B46" s="20" t="s">
        <v>28</v>
      </c>
      <c r="C46" s="24">
        <v>178</v>
      </c>
      <c r="D46" s="24">
        <v>1</v>
      </c>
      <c r="E46" s="26">
        <f>(2*C46)/((1.7^2)*(0.03^2)*($E$17))</f>
        <v>228395291654.35883</v>
      </c>
      <c r="J46" s="2"/>
    </row>
    <row r="47" spans="1:10" x14ac:dyDescent="0.25">
      <c r="B47" s="21" t="s">
        <v>29</v>
      </c>
      <c r="C47" s="25"/>
      <c r="D47" s="25"/>
      <c r="E47" s="27"/>
      <c r="J47" s="2"/>
    </row>
    <row r="50" spans="1:10" x14ac:dyDescent="0.25">
      <c r="B50" s="3" t="s">
        <v>33</v>
      </c>
    </row>
    <row r="51" spans="1:10" x14ac:dyDescent="0.25">
      <c r="A51" s="3" t="s">
        <v>32</v>
      </c>
      <c r="B51" s="10" t="s">
        <v>13</v>
      </c>
      <c r="C51" s="11" t="s">
        <v>15</v>
      </c>
      <c r="D51" s="12" t="s">
        <v>17</v>
      </c>
      <c r="E51" s="13" t="s">
        <v>18</v>
      </c>
      <c r="J51" s="14" t="s">
        <v>19</v>
      </c>
    </row>
    <row r="52" spans="1:10" x14ac:dyDescent="0.25">
      <c r="B52" s="15" t="s">
        <v>14</v>
      </c>
      <c r="C52" s="16" t="s">
        <v>16</v>
      </c>
      <c r="D52" s="17" t="s">
        <v>16</v>
      </c>
      <c r="E52" s="18"/>
      <c r="J52" s="19" t="s">
        <v>18</v>
      </c>
    </row>
    <row r="53" spans="1:10" x14ac:dyDescent="0.25">
      <c r="B53" s="20" t="s">
        <v>20</v>
      </c>
      <c r="C53" s="24">
        <v>374</v>
      </c>
      <c r="D53" s="24">
        <v>1</v>
      </c>
      <c r="E53" s="26">
        <f>(2*C53)/((1.6^2)*(0.05^2)*($E$17))</f>
        <v>195028968963.98972</v>
      </c>
      <c r="J53" s="2"/>
    </row>
    <row r="54" spans="1:10" x14ac:dyDescent="0.25">
      <c r="B54" s="21" t="s">
        <v>25</v>
      </c>
      <c r="C54" s="25"/>
      <c r="D54" s="25"/>
      <c r="E54" s="27"/>
      <c r="J54" s="2"/>
    </row>
    <row r="55" spans="1:10" x14ac:dyDescent="0.25">
      <c r="B55" s="22" t="s">
        <v>21</v>
      </c>
      <c r="C55" s="24">
        <v>309</v>
      </c>
      <c r="D55" s="24">
        <v>1</v>
      </c>
      <c r="E55" s="26">
        <f>(2*C55)/((1.6^2)*(0.045^2)*($E$17))</f>
        <v>198930320888.20505</v>
      </c>
      <c r="J55" s="2"/>
    </row>
    <row r="56" spans="1:10" x14ac:dyDescent="0.25">
      <c r="B56" s="23" t="s">
        <v>22</v>
      </c>
      <c r="C56" s="25"/>
      <c r="D56" s="25"/>
      <c r="E56" s="27"/>
      <c r="J56" s="2"/>
    </row>
    <row r="57" spans="1:10" x14ac:dyDescent="0.25">
      <c r="B57" s="20" t="s">
        <v>23</v>
      </c>
      <c r="C57" s="24">
        <v>247</v>
      </c>
      <c r="D57" s="24">
        <v>1</v>
      </c>
      <c r="E57" s="26">
        <f>(2*C57)/((1.6^2)*(0.04^2)*($E$17))</f>
        <v>201253991201.97809</v>
      </c>
      <c r="J57" s="2"/>
    </row>
    <row r="58" spans="1:10" x14ac:dyDescent="0.25">
      <c r="B58" s="21" t="s">
        <v>24</v>
      </c>
      <c r="C58" s="25"/>
      <c r="D58" s="25"/>
      <c r="E58" s="27"/>
      <c r="J58" s="2"/>
    </row>
    <row r="59" spans="1:10" x14ac:dyDescent="0.25">
      <c r="B59" s="22" t="s">
        <v>26</v>
      </c>
      <c r="C59" s="24">
        <v>208</v>
      </c>
      <c r="D59" s="24">
        <v>1</v>
      </c>
      <c r="E59" s="26">
        <f>(2*C59)/((1.6^2)*(0.035^2)*($E$17))</f>
        <v>221357773352.12195</v>
      </c>
      <c r="J59" s="2"/>
    </row>
    <row r="60" spans="1:10" x14ac:dyDescent="0.25">
      <c r="B60" s="23" t="s">
        <v>27</v>
      </c>
      <c r="C60" s="25"/>
      <c r="D60" s="25"/>
      <c r="E60" s="27"/>
      <c r="J60" s="2"/>
    </row>
    <row r="61" spans="1:10" x14ac:dyDescent="0.25">
      <c r="B61" s="20" t="s">
        <v>28</v>
      </c>
      <c r="C61" s="24">
        <v>164</v>
      </c>
      <c r="D61" s="24">
        <v>1</v>
      </c>
      <c r="E61" s="26">
        <f>(2*C61)/((1.6^2)*(0.03^2)*($E$17))</f>
        <v>237557567662.61383</v>
      </c>
      <c r="J61" s="2"/>
    </row>
    <row r="62" spans="1:10" x14ac:dyDescent="0.25">
      <c r="B62" s="21" t="s">
        <v>29</v>
      </c>
      <c r="C62" s="25"/>
      <c r="D62" s="25"/>
      <c r="E62" s="27"/>
      <c r="J62" s="2"/>
    </row>
    <row r="65" spans="1:10" x14ac:dyDescent="0.25">
      <c r="B65" s="3" t="s">
        <v>35</v>
      </c>
    </row>
    <row r="66" spans="1:10" x14ac:dyDescent="0.25">
      <c r="A66" s="3" t="s">
        <v>34</v>
      </c>
      <c r="B66" s="10" t="s">
        <v>13</v>
      </c>
      <c r="C66" s="11" t="s">
        <v>15</v>
      </c>
      <c r="D66" s="12" t="s">
        <v>17</v>
      </c>
      <c r="E66" s="13" t="s">
        <v>18</v>
      </c>
      <c r="J66" s="14" t="s">
        <v>19</v>
      </c>
    </row>
    <row r="67" spans="1:10" x14ac:dyDescent="0.25">
      <c r="B67" s="15" t="s">
        <v>14</v>
      </c>
      <c r="C67" s="16" t="s">
        <v>16</v>
      </c>
      <c r="D67" s="17" t="s">
        <v>16</v>
      </c>
      <c r="E67" s="18"/>
      <c r="J67" s="19" t="s">
        <v>18</v>
      </c>
    </row>
    <row r="68" spans="1:10" x14ac:dyDescent="0.25">
      <c r="B68" s="20" t="s">
        <v>20</v>
      </c>
      <c r="C68" s="24">
        <v>324</v>
      </c>
      <c r="D68" s="24">
        <v>1</v>
      </c>
      <c r="E68" s="26">
        <f>(2*C68)/((1.5^2)*(0.05^2)*($E$17))</f>
        <v>192233901387.39355</v>
      </c>
      <c r="J68" s="2"/>
    </row>
    <row r="69" spans="1:10" x14ac:dyDescent="0.25">
      <c r="B69" s="21" t="s">
        <v>25</v>
      </c>
      <c r="C69" s="25"/>
      <c r="D69" s="25"/>
      <c r="E69" s="27"/>
      <c r="J69" s="2"/>
    </row>
    <row r="70" spans="1:10" x14ac:dyDescent="0.25">
      <c r="B70" s="22" t="s">
        <v>21</v>
      </c>
      <c r="C70" s="24">
        <v>266</v>
      </c>
      <c r="D70" s="24">
        <v>1</v>
      </c>
      <c r="E70" s="26">
        <f>(2*C70)/((1.5^2)*(0.045^2)*($E$17))</f>
        <v>194841555285.1955</v>
      </c>
      <c r="J70" s="2"/>
    </row>
    <row r="71" spans="1:10" x14ac:dyDescent="0.25">
      <c r="B71" s="23" t="s">
        <v>22</v>
      </c>
      <c r="C71" s="25"/>
      <c r="D71" s="25"/>
      <c r="E71" s="27"/>
      <c r="J71" s="2"/>
    </row>
    <row r="72" spans="1:10" x14ac:dyDescent="0.25">
      <c r="B72" s="20" t="s">
        <v>23</v>
      </c>
      <c r="C72" s="24">
        <v>218</v>
      </c>
      <c r="D72" s="24">
        <v>1</v>
      </c>
      <c r="E72" s="26">
        <f>(2*C72)/((1.5^2)*(0.04^2)*($E$17))</f>
        <v>202097755123.7066</v>
      </c>
      <c r="J72" s="2"/>
    </row>
    <row r="73" spans="1:10" x14ac:dyDescent="0.25">
      <c r="B73" s="21" t="s">
        <v>24</v>
      </c>
      <c r="C73" s="25"/>
      <c r="D73" s="25"/>
      <c r="E73" s="27"/>
      <c r="J73" s="2"/>
    </row>
    <row r="74" spans="1:10" x14ac:dyDescent="0.25">
      <c r="B74" s="22" t="s">
        <v>26</v>
      </c>
      <c r="C74" s="24">
        <v>176</v>
      </c>
      <c r="D74" s="24">
        <v>1</v>
      </c>
      <c r="E74" s="26">
        <f>(2*C74)/((1.5^2)*(0.035^2)*($E$17))</f>
        <v>213108885387.88907</v>
      </c>
      <c r="J74" s="2"/>
    </row>
    <row r="75" spans="1:10" x14ac:dyDescent="0.25">
      <c r="B75" s="23" t="s">
        <v>27</v>
      </c>
      <c r="C75" s="25"/>
      <c r="D75" s="25"/>
      <c r="E75" s="27"/>
      <c r="J75" s="2"/>
    </row>
    <row r="76" spans="1:10" x14ac:dyDescent="0.25">
      <c r="B76" s="20" t="s">
        <v>28</v>
      </c>
      <c r="C76" s="24">
        <v>142</v>
      </c>
      <c r="D76" s="24">
        <v>1</v>
      </c>
      <c r="E76" s="26">
        <f>(2*C76)/((1.5^2)*(0.03^2)*($E$17))</f>
        <v>234029612457.2179</v>
      </c>
      <c r="J76" s="2"/>
    </row>
    <row r="77" spans="1:10" x14ac:dyDescent="0.25">
      <c r="B77" s="21" t="s">
        <v>29</v>
      </c>
      <c r="C77" s="25"/>
      <c r="D77" s="25"/>
      <c r="E77" s="27"/>
      <c r="J77" s="2">
        <f>E76*SQRT(((1/$C$76)^2) + ((2*0.01/1.5)^2) + (($F$17/$E$17)^2))</f>
        <v>7542651457.2400188</v>
      </c>
    </row>
    <row r="80" spans="1:10" x14ac:dyDescent="0.25">
      <c r="B80" s="3" t="s">
        <v>36</v>
      </c>
    </row>
    <row r="81" spans="1:5" x14ac:dyDescent="0.25">
      <c r="A81" s="3" t="s">
        <v>37</v>
      </c>
      <c r="B81" s="1" t="s">
        <v>38</v>
      </c>
      <c r="C81" s="1" t="s">
        <v>44</v>
      </c>
      <c r="D81" s="1" t="s">
        <v>46</v>
      </c>
    </row>
    <row r="82" spans="1:5" x14ac:dyDescent="0.25">
      <c r="B82" s="1" t="s">
        <v>39</v>
      </c>
      <c r="C82" s="2">
        <f>AVERAGE(E23,E38,E53,E68)</f>
        <v>194591927284.5769</v>
      </c>
      <c r="D82" s="2">
        <f>$J$77/2</f>
        <v>3771325728.6200094</v>
      </c>
      <c r="E82" s="28"/>
    </row>
    <row r="83" spans="1:5" x14ac:dyDescent="0.25">
      <c r="B83" s="1" t="s">
        <v>40</v>
      </c>
      <c r="C83" s="2">
        <f>AVERAGE(E25,E40,E55,E70)</f>
        <v>197174535218.80676</v>
      </c>
      <c r="D83" s="2">
        <f t="shared" ref="D83:D86" si="1">$J$77/2</f>
        <v>3771325728.6200094</v>
      </c>
    </row>
    <row r="84" spans="1:5" x14ac:dyDescent="0.25">
      <c r="B84" s="1" t="s">
        <v>41</v>
      </c>
      <c r="C84" s="2">
        <f>AVERAGE(E27,E42,E57,E72)</f>
        <v>202278455219.13428</v>
      </c>
      <c r="D84" s="2">
        <f t="shared" si="1"/>
        <v>3771325728.6200094</v>
      </c>
    </row>
    <row r="85" spans="1:5" x14ac:dyDescent="0.25">
      <c r="B85" s="1" t="s">
        <v>42</v>
      </c>
      <c r="C85" s="2">
        <f>AVERAGE(E29,E44,E59,E74)</f>
        <v>213566975093.43942</v>
      </c>
      <c r="D85" s="2">
        <f t="shared" si="1"/>
        <v>3771325728.6200094</v>
      </c>
    </row>
    <row r="86" spans="1:5" x14ac:dyDescent="0.25">
      <c r="B86" s="1" t="s">
        <v>43</v>
      </c>
      <c r="C86" s="2">
        <f>AVERAGE(E31,E46,E61,E76)</f>
        <v>229359891181.6044</v>
      </c>
      <c r="D86" s="2">
        <f t="shared" si="1"/>
        <v>3771325728.6200094</v>
      </c>
    </row>
  </sheetData>
  <mergeCells count="60">
    <mergeCell ref="C23:C24"/>
    <mergeCell ref="D23:D24"/>
    <mergeCell ref="E23:E24"/>
    <mergeCell ref="C25:C26"/>
    <mergeCell ref="D25:D26"/>
    <mergeCell ref="E25:E26"/>
    <mergeCell ref="C27:C28"/>
    <mergeCell ref="D27:D28"/>
    <mergeCell ref="E27:E28"/>
    <mergeCell ref="C29:C30"/>
    <mergeCell ref="D29:D30"/>
    <mergeCell ref="E29:E30"/>
    <mergeCell ref="C31:C32"/>
    <mergeCell ref="D31:D32"/>
    <mergeCell ref="E31:E32"/>
    <mergeCell ref="C38:C39"/>
    <mergeCell ref="D38:D39"/>
    <mergeCell ref="E38:E39"/>
    <mergeCell ref="C40:C41"/>
    <mergeCell ref="D40:D41"/>
    <mergeCell ref="E40:E41"/>
    <mergeCell ref="C42:C43"/>
    <mergeCell ref="D42:D43"/>
    <mergeCell ref="E42:E43"/>
    <mergeCell ref="C44:C45"/>
    <mergeCell ref="D44:D45"/>
    <mergeCell ref="E44:E45"/>
    <mergeCell ref="C46:C47"/>
    <mergeCell ref="D46:D47"/>
    <mergeCell ref="E46:E47"/>
    <mergeCell ref="C53:C54"/>
    <mergeCell ref="D53:D54"/>
    <mergeCell ref="E53:E54"/>
    <mergeCell ref="C55:C56"/>
    <mergeCell ref="D55:D56"/>
    <mergeCell ref="E55:E56"/>
    <mergeCell ref="C57:C58"/>
    <mergeCell ref="D57:D58"/>
    <mergeCell ref="E57:E58"/>
    <mergeCell ref="C59:C60"/>
    <mergeCell ref="D59:D60"/>
    <mergeCell ref="E59:E60"/>
    <mergeCell ref="C61:C62"/>
    <mergeCell ref="D61:D62"/>
    <mergeCell ref="E61:E62"/>
    <mergeCell ref="C68:C69"/>
    <mergeCell ref="D68:D69"/>
    <mergeCell ref="E68:E69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76:C77"/>
    <mergeCell ref="D76:D77"/>
    <mergeCell ref="E76:E77"/>
  </mergeCells>
  <pageMargins left="0.7" right="0.7" top="0.75" bottom="0.75" header="0.3" footer="0.3"/>
  <pageSetup orientation="portrait" r:id="rId1"/>
  <ignoredErrors>
    <ignoredError sqref="E25 E4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Wright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J. Wagner</dc:creator>
  <cp:lastModifiedBy>Schmitz, Josiah</cp:lastModifiedBy>
  <dcterms:created xsi:type="dcterms:W3CDTF">2022-04-28T17:44:32Z</dcterms:created>
  <dcterms:modified xsi:type="dcterms:W3CDTF">2023-10-27T01:21:18Z</dcterms:modified>
</cp:coreProperties>
</file>