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raidermailwright-my.sharepoint.com/personal/schmitz_74_wright_edu/Documents/Schoolwork/Physics II/Lab/"/>
    </mc:Choice>
  </mc:AlternateContent>
  <xr:revisionPtr revIDLastSave="9" documentId="8_{8D6DCFD2-FC71-4FB9-A1B9-89DD50391BEC}" xr6:coauthVersionLast="47" xr6:coauthVersionMax="47" xr10:uidLastSave="{70243B8D-7BB6-4576-A694-663B3B9E8A07}"/>
  <bookViews>
    <workbookView xWindow="-28920" yWindow="106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B100" i="1"/>
  <c r="B79" i="1"/>
  <c r="B75" i="1"/>
  <c r="C93" i="1"/>
  <c r="C92" i="1"/>
  <c r="C91" i="1"/>
  <c r="C90" i="1"/>
  <c r="C89" i="1"/>
  <c r="C88" i="1"/>
  <c r="C87" i="1"/>
  <c r="C86" i="1"/>
  <c r="H7" i="1"/>
  <c r="I48" i="1"/>
  <c r="H48" i="1"/>
  <c r="G48" i="1"/>
  <c r="D68" i="1"/>
  <c r="D67" i="1"/>
  <c r="D66" i="1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F16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C19" i="1"/>
  <c r="C20" i="1" s="1"/>
  <c r="C18" i="1"/>
  <c r="B18" i="1" s="1"/>
  <c r="B17" i="1"/>
  <c r="C21" i="1" l="1"/>
  <c r="B20" i="1"/>
  <c r="B19" i="1"/>
  <c r="C22" i="1" l="1"/>
  <c r="B21" i="1"/>
  <c r="C23" i="1" l="1"/>
  <c r="B22" i="1"/>
  <c r="C24" i="1" l="1"/>
  <c r="B23" i="1"/>
  <c r="C25" i="1" l="1"/>
  <c r="B24" i="1"/>
  <c r="C26" i="1" l="1"/>
  <c r="B25" i="1"/>
  <c r="C27" i="1" l="1"/>
  <c r="B26" i="1"/>
  <c r="C28" i="1" l="1"/>
  <c r="B27" i="1"/>
  <c r="C29" i="1" l="1"/>
  <c r="B28" i="1"/>
  <c r="C30" i="1" l="1"/>
  <c r="B29" i="1"/>
  <c r="C31" i="1" l="1"/>
  <c r="B30" i="1"/>
  <c r="C32" i="1" l="1"/>
  <c r="B31" i="1"/>
  <c r="C33" i="1" l="1"/>
  <c r="B32" i="1"/>
  <c r="C34" i="1" l="1"/>
  <c r="B33" i="1"/>
  <c r="C35" i="1" l="1"/>
  <c r="B34" i="1"/>
  <c r="C36" i="1" l="1"/>
  <c r="B35" i="1"/>
  <c r="C37" i="1" l="1"/>
  <c r="B36" i="1"/>
  <c r="C38" i="1" l="1"/>
  <c r="B37" i="1"/>
  <c r="C39" i="1" l="1"/>
  <c r="B38" i="1"/>
  <c r="C40" i="1" l="1"/>
  <c r="B39" i="1"/>
  <c r="C41" i="1" l="1"/>
  <c r="B40" i="1"/>
  <c r="C42" i="1" l="1"/>
  <c r="B41" i="1"/>
  <c r="C43" i="1" l="1"/>
  <c r="B42" i="1"/>
  <c r="C44" i="1" l="1"/>
  <c r="B43" i="1"/>
  <c r="C45" i="1" l="1"/>
  <c r="B44" i="1"/>
  <c r="C46" i="1" l="1"/>
  <c r="B45" i="1"/>
  <c r="C47" i="1" l="1"/>
  <c r="B46" i="1"/>
  <c r="C48" i="1" l="1"/>
  <c r="B47" i="1"/>
  <c r="C49" i="1" l="1"/>
  <c r="B48" i="1"/>
  <c r="C50" i="1" l="1"/>
  <c r="B49" i="1"/>
  <c r="C51" i="1" l="1"/>
  <c r="B50" i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B66" i="1" l="1"/>
  <c r="C67" i="1"/>
  <c r="C68" i="1" l="1"/>
  <c r="B68" i="1" s="1"/>
  <c r="B67" i="1"/>
</calcChain>
</file>

<file path=xl/sharedStrings.xml><?xml version="1.0" encoding="utf-8"?>
<sst xmlns="http://schemas.openxmlformats.org/spreadsheetml/2006/main" count="53" uniqueCount="41">
  <si>
    <t>Outer Diameter</t>
  </si>
  <si>
    <t>of Coil</t>
  </si>
  <si>
    <t>Inner Diameter</t>
  </si>
  <si>
    <t>Average Radius</t>
  </si>
  <si>
    <t>Mag. Field Probe</t>
  </si>
  <si>
    <t>Current</t>
  </si>
  <si>
    <t>Table 1</t>
  </si>
  <si>
    <t>Place Graph Here</t>
  </si>
  <si>
    <t>Part 1</t>
  </si>
  <si>
    <t>Magnetic Field within a Coil</t>
  </si>
  <si>
    <t>Part 2</t>
  </si>
  <si>
    <t>Determination of the Inductance of the Coil</t>
  </si>
  <si>
    <t>Cross-sectional</t>
  </si>
  <si>
    <t>Area of Coil, A</t>
  </si>
  <si>
    <t>Calculated</t>
  </si>
  <si>
    <t>Inductance, L</t>
  </si>
  <si>
    <t>Inductance by Equation</t>
  </si>
  <si>
    <t>Inductance by Experiment</t>
  </si>
  <si>
    <t>Henries</t>
  </si>
  <si>
    <r>
      <t>meters</t>
    </r>
    <r>
      <rPr>
        <vertAlign val="superscript"/>
        <sz val="11"/>
        <color theme="1"/>
        <rFont val="Calibri"/>
        <family val="2"/>
        <scheme val="minor"/>
      </rPr>
      <t>2</t>
    </r>
  </si>
  <si>
    <t>meters</t>
  </si>
  <si>
    <t>amps</t>
  </si>
  <si>
    <t>B [Tesla]</t>
  </si>
  <si>
    <t>Table 2</t>
  </si>
  <si>
    <t>Slope =</t>
  </si>
  <si>
    <t>Experimental</t>
  </si>
  <si>
    <t>The Magnetic Field of a Coil</t>
  </si>
  <si>
    <t>Length</t>
  </si>
  <si>
    <t>Hall Probe</t>
  </si>
  <si>
    <t>Track Position</t>
  </si>
  <si>
    <t>Number of turns</t>
  </si>
  <si>
    <t>Experiment</t>
  </si>
  <si>
    <t>Equation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</si>
  <si>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[meters]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</si>
  <si>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[meters]</t>
    </r>
  </si>
  <si>
    <t>[amps]</t>
  </si>
  <si>
    <t>Mag. Field, B</t>
  </si>
  <si>
    <t>[Tesla]</t>
  </si>
  <si>
    <t xml:space="preserve"> </t>
  </si>
  <si>
    <t>*</t>
  </si>
  <si>
    <t>Values when solenoid is 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</si>
</sst>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4"/>
    <xf numFmtId="0" fontId="0" fillId="10" borderId="1" xfId="9" applyFont="1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1" borderId="1" xfId="1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2" xfId="8" applyBorder="1" applyAlignment="1">
      <alignment horizontal="center" vertical="center"/>
    </xf>
    <xf numFmtId="0" fontId="1" fillId="9" borderId="3" xfId="8" applyBorder="1" applyAlignment="1">
      <alignment horizontal="center" vertical="center"/>
    </xf>
    <xf numFmtId="164" fontId="0" fillId="0" borderId="1" xfId="0" applyNumberFormat="1" applyBorder="1"/>
    <xf numFmtId="0" fontId="0" fillId="9" borderId="2" xfId="8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2" fontId="0" fillId="0" borderId="1" xfId="0" applyNumberFormat="1" applyBorder="1"/>
    <xf numFmtId="0" fontId="1" fillId="8" borderId="1" xfId="7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2" xfId="6" applyFont="1" applyBorder="1" applyAlignment="1">
      <alignment horizontal="center" vertical="center"/>
    </xf>
    <xf numFmtId="0" fontId="0" fillId="7" borderId="3" xfId="6" applyFont="1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11" borderId="2" xfId="10" applyBorder="1" applyAlignment="1">
      <alignment horizontal="center" vertical="center"/>
    </xf>
    <xf numFmtId="0" fontId="1" fillId="11" borderId="3" xfId="10" applyBorder="1" applyAlignment="1">
      <alignment horizontal="center" vertical="center"/>
    </xf>
    <xf numFmtId="165" fontId="0" fillId="0" borderId="1" xfId="0" applyNumberFormat="1" applyBorder="1"/>
    <xf numFmtId="0" fontId="1" fillId="6" borderId="1" xfId="5" applyBorder="1" applyAlignment="1">
      <alignment horizontal="right"/>
    </xf>
    <xf numFmtId="0" fontId="1" fillId="5" borderId="0" xfId="4" applyAlignment="1"/>
    <xf numFmtId="165" fontId="0" fillId="0" borderId="1" xfId="0" applyNumberFormat="1" applyBorder="1" applyAlignment="1">
      <alignment horizontal="center" vertical="center"/>
    </xf>
    <xf numFmtId="0" fontId="1" fillId="7" borderId="2" xfId="6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5" borderId="0" xfId="4" applyFont="1" applyAlignment="1">
      <alignment horizontal="center"/>
    </xf>
    <xf numFmtId="0" fontId="1" fillId="5" borderId="0" xfId="4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1">
    <cellStyle name="20% - Accent1" xfId="1" builtinId="30"/>
    <cellStyle name="20% - Accent2" xfId="3" builtinId="34"/>
    <cellStyle name="20% - Accent3" xfId="4" builtinId="38"/>
    <cellStyle name="20% - Accent4" xfId="6" builtinId="42"/>
    <cellStyle name="20% - Accent5" xfId="8" builtinId="46"/>
    <cellStyle name="40% - Accent1" xfId="2" builtinId="31"/>
    <cellStyle name="40% - Accent3" xfId="5" builtinId="39"/>
    <cellStyle name="40% - Accent4" xfId="7" builtinId="43"/>
    <cellStyle name="40% - Accent5" xfId="9" builtinId="47"/>
    <cellStyle name="40% - Accent6" xfId="10" builtinId="51"/>
    <cellStyle name="Normal" xfId="0" builtinId="0"/>
  </cellStyles>
  <dxfs count="0"/>
  <tableStyles count="0" defaultTableStyle="TableStyleMedium2" defaultPivotStyle="PivotStyleLight16"/>
  <colors>
    <mruColors>
      <color rgb="FFEDE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</a:t>
            </a:r>
            <a:r>
              <a:rPr lang="en-US" baseline="0"/>
              <a:t> Field Along the Solenoid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Sheet1!$B$17:$B$68</c:f>
              <c:numCache>
                <c:formatCode>0.000</c:formatCode>
                <c:ptCount val="52"/>
                <c:pt idx="0">
                  <c:v>0.42499999999999999</c:v>
                </c:pt>
                <c:pt idx="1">
                  <c:v>0.41499999999999998</c:v>
                </c:pt>
                <c:pt idx="2">
                  <c:v>0.40499999999999997</c:v>
                </c:pt>
                <c:pt idx="3">
                  <c:v>0.39499999999999996</c:v>
                </c:pt>
                <c:pt idx="4">
                  <c:v>0.38500000000000001</c:v>
                </c:pt>
                <c:pt idx="5">
                  <c:v>0.375</c:v>
                </c:pt>
                <c:pt idx="6">
                  <c:v>0.36499999999999999</c:v>
                </c:pt>
                <c:pt idx="7">
                  <c:v>0.35499999999999998</c:v>
                </c:pt>
                <c:pt idx="8">
                  <c:v>0.34499999999999997</c:v>
                </c:pt>
                <c:pt idx="9">
                  <c:v>0.33499999999999996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0.30499999999999999</c:v>
                </c:pt>
                <c:pt idx="13">
                  <c:v>0.29499999999999998</c:v>
                </c:pt>
                <c:pt idx="14">
                  <c:v>0.28499999999999998</c:v>
                </c:pt>
                <c:pt idx="15">
                  <c:v>0.27499999999999997</c:v>
                </c:pt>
                <c:pt idx="16">
                  <c:v>0.26500000000000001</c:v>
                </c:pt>
                <c:pt idx="17">
                  <c:v>0.255</c:v>
                </c:pt>
                <c:pt idx="18">
                  <c:v>0.245</c:v>
                </c:pt>
                <c:pt idx="19">
                  <c:v>0.23499999999999999</c:v>
                </c:pt>
                <c:pt idx="20">
                  <c:v>0.22500000000000001</c:v>
                </c:pt>
                <c:pt idx="21">
                  <c:v>0.215</c:v>
                </c:pt>
                <c:pt idx="22">
                  <c:v>0.20499999999999999</c:v>
                </c:pt>
                <c:pt idx="23">
                  <c:v>0.19499999999999998</c:v>
                </c:pt>
                <c:pt idx="24">
                  <c:v>0.18499999999999997</c:v>
                </c:pt>
                <c:pt idx="25">
                  <c:v>0.17499999999999996</c:v>
                </c:pt>
                <c:pt idx="26">
                  <c:v>0.16499999999999995</c:v>
                </c:pt>
                <c:pt idx="27">
                  <c:v>0.15499999999999994</c:v>
                </c:pt>
                <c:pt idx="28">
                  <c:v>0.14499999999999993</c:v>
                </c:pt>
                <c:pt idx="29">
                  <c:v>0.13499999999999993</c:v>
                </c:pt>
                <c:pt idx="30">
                  <c:v>0.12499999999999992</c:v>
                </c:pt>
                <c:pt idx="31">
                  <c:v>0.11499999999999991</c:v>
                </c:pt>
                <c:pt idx="32">
                  <c:v>0.10499999999999993</c:v>
                </c:pt>
                <c:pt idx="33">
                  <c:v>9.4999999999999918E-2</c:v>
                </c:pt>
                <c:pt idx="34">
                  <c:v>8.4999999999999909E-2</c:v>
                </c:pt>
                <c:pt idx="35">
                  <c:v>7.49999999999999E-2</c:v>
                </c:pt>
                <c:pt idx="36">
                  <c:v>6.4999999999999891E-2</c:v>
                </c:pt>
                <c:pt idx="37">
                  <c:v>5.4999999999999882E-2</c:v>
                </c:pt>
                <c:pt idx="38">
                  <c:v>4.4999999999999873E-2</c:v>
                </c:pt>
                <c:pt idx="39">
                  <c:v>3.4999999999999865E-2</c:v>
                </c:pt>
                <c:pt idx="40">
                  <c:v>2.4999999999999856E-2</c:v>
                </c:pt>
                <c:pt idx="41">
                  <c:v>1.4999999999999847E-2</c:v>
                </c:pt>
                <c:pt idx="42">
                  <c:v>4.9999999999998379E-3</c:v>
                </c:pt>
                <c:pt idx="43">
                  <c:v>-5.000000000000171E-3</c:v>
                </c:pt>
                <c:pt idx="44">
                  <c:v>-1.500000000000018E-2</c:v>
                </c:pt>
                <c:pt idx="45">
                  <c:v>-2.5000000000000189E-2</c:v>
                </c:pt>
                <c:pt idx="46">
                  <c:v>-3.5000000000000198E-2</c:v>
                </c:pt>
                <c:pt idx="47">
                  <c:v>-4.5000000000000207E-2</c:v>
                </c:pt>
                <c:pt idx="48">
                  <c:v>-5.5000000000000215E-2</c:v>
                </c:pt>
                <c:pt idx="49">
                  <c:v>-6.5000000000000224E-2</c:v>
                </c:pt>
                <c:pt idx="50">
                  <c:v>-7.5000000000000233E-2</c:v>
                </c:pt>
                <c:pt idx="51">
                  <c:v>-8.5000000000000242E-2</c:v>
                </c:pt>
              </c:numCache>
            </c:numRef>
          </c:xVal>
          <c:yVal>
            <c:numRef>
              <c:f>Sheet1!$D$17:$D$68</c:f>
              <c:numCache>
                <c:formatCode>General</c:formatCode>
                <c:ptCount val="52"/>
                <c:pt idx="0">
                  <c:v>6.0000000000000002E-5</c:v>
                </c:pt>
                <c:pt idx="1">
                  <c:v>8.0000000000000007E-5</c:v>
                </c:pt>
                <c:pt idx="2">
                  <c:v>1.1E-5</c:v>
                </c:pt>
                <c:pt idx="3">
                  <c:v>1.4999999999999999E-4</c:v>
                </c:pt>
                <c:pt idx="4">
                  <c:v>2.3000000000000001E-4</c:v>
                </c:pt>
                <c:pt idx="5">
                  <c:v>3.6999999999999999E-4</c:v>
                </c:pt>
                <c:pt idx="6">
                  <c:v>6.2E-4</c:v>
                </c:pt>
                <c:pt idx="7">
                  <c:v>9.6999999999999994E-4</c:v>
                </c:pt>
                <c:pt idx="8">
                  <c:v>1.33E-3</c:v>
                </c:pt>
                <c:pt idx="9">
                  <c:v>1.58E-3</c:v>
                </c:pt>
                <c:pt idx="10">
                  <c:v>1.74E-3</c:v>
                </c:pt>
                <c:pt idx="11">
                  <c:v>1.82E-3</c:v>
                </c:pt>
                <c:pt idx="12">
                  <c:v>1.8799999999999999E-3</c:v>
                </c:pt>
                <c:pt idx="13">
                  <c:v>1.91E-3</c:v>
                </c:pt>
                <c:pt idx="14">
                  <c:v>1.9300000000000001E-3</c:v>
                </c:pt>
                <c:pt idx="15">
                  <c:v>1.9399999999999999E-3</c:v>
                </c:pt>
                <c:pt idx="16">
                  <c:v>1.9499999999999999E-3</c:v>
                </c:pt>
                <c:pt idx="17">
                  <c:v>1.9599999999999999E-3</c:v>
                </c:pt>
                <c:pt idx="18">
                  <c:v>1.97E-3</c:v>
                </c:pt>
                <c:pt idx="19">
                  <c:v>1.97E-3</c:v>
                </c:pt>
                <c:pt idx="20">
                  <c:v>1.98E-3</c:v>
                </c:pt>
                <c:pt idx="21">
                  <c:v>1.98E-3</c:v>
                </c:pt>
                <c:pt idx="22">
                  <c:v>1.98E-3</c:v>
                </c:pt>
                <c:pt idx="23">
                  <c:v>1.98E-3</c:v>
                </c:pt>
                <c:pt idx="24">
                  <c:v>1.98E-3</c:v>
                </c:pt>
                <c:pt idx="25">
                  <c:v>1.98E-3</c:v>
                </c:pt>
                <c:pt idx="26">
                  <c:v>1.98E-3</c:v>
                </c:pt>
                <c:pt idx="27">
                  <c:v>1.97E-3</c:v>
                </c:pt>
                <c:pt idx="28">
                  <c:v>1.97E-3</c:v>
                </c:pt>
                <c:pt idx="29">
                  <c:v>1.97E-3</c:v>
                </c:pt>
                <c:pt idx="30">
                  <c:v>1.97E-3</c:v>
                </c:pt>
                <c:pt idx="31">
                  <c:v>1.9599999999999999E-3</c:v>
                </c:pt>
                <c:pt idx="32">
                  <c:v>1.9599999999999999E-3</c:v>
                </c:pt>
                <c:pt idx="33">
                  <c:v>1.9599999999999999E-3</c:v>
                </c:pt>
                <c:pt idx="34">
                  <c:v>1.9499999999999999E-3</c:v>
                </c:pt>
                <c:pt idx="35">
                  <c:v>1.9399999999999999E-3</c:v>
                </c:pt>
                <c:pt idx="36">
                  <c:v>1.92E-3</c:v>
                </c:pt>
                <c:pt idx="37">
                  <c:v>1.9E-3</c:v>
                </c:pt>
                <c:pt idx="38">
                  <c:v>1.8600000000000001E-3</c:v>
                </c:pt>
                <c:pt idx="39">
                  <c:v>1.7900000000000001E-3</c:v>
                </c:pt>
                <c:pt idx="40">
                  <c:v>1.67E-3</c:v>
                </c:pt>
                <c:pt idx="41">
                  <c:v>1.4599999999999999E-3</c:v>
                </c:pt>
                <c:pt idx="42">
                  <c:v>1.1299999999999999E-3</c:v>
                </c:pt>
                <c:pt idx="43">
                  <c:v>7.5000000000000002E-4</c:v>
                </c:pt>
                <c:pt idx="44">
                  <c:v>4.6000000000000001E-4</c:v>
                </c:pt>
                <c:pt idx="45">
                  <c:v>2.8000000000000003E-4</c:v>
                </c:pt>
                <c:pt idx="46">
                  <c:v>1.7999999999999998E-4</c:v>
                </c:pt>
                <c:pt idx="47">
                  <c:v>1.2E-4</c:v>
                </c:pt>
                <c:pt idx="48">
                  <c:v>8.9999999999999992E-5</c:v>
                </c:pt>
                <c:pt idx="49">
                  <c:v>6.0000000000000002E-5</c:v>
                </c:pt>
                <c:pt idx="50">
                  <c:v>5.0000000000000002E-5</c:v>
                </c:pt>
                <c:pt idx="51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2-46FE-A7CF-7D5C3658784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Sheet1!$B$17:$B$68</c:f>
              <c:numCache>
                <c:formatCode>0.000</c:formatCode>
                <c:ptCount val="52"/>
                <c:pt idx="0">
                  <c:v>0.42499999999999999</c:v>
                </c:pt>
                <c:pt idx="1">
                  <c:v>0.41499999999999998</c:v>
                </c:pt>
                <c:pt idx="2">
                  <c:v>0.40499999999999997</c:v>
                </c:pt>
                <c:pt idx="3">
                  <c:v>0.39499999999999996</c:v>
                </c:pt>
                <c:pt idx="4">
                  <c:v>0.38500000000000001</c:v>
                </c:pt>
                <c:pt idx="5">
                  <c:v>0.375</c:v>
                </c:pt>
                <c:pt idx="6">
                  <c:v>0.36499999999999999</c:v>
                </c:pt>
                <c:pt idx="7">
                  <c:v>0.35499999999999998</c:v>
                </c:pt>
                <c:pt idx="8">
                  <c:v>0.34499999999999997</c:v>
                </c:pt>
                <c:pt idx="9">
                  <c:v>0.33499999999999996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0.30499999999999999</c:v>
                </c:pt>
                <c:pt idx="13">
                  <c:v>0.29499999999999998</c:v>
                </c:pt>
                <c:pt idx="14">
                  <c:v>0.28499999999999998</c:v>
                </c:pt>
                <c:pt idx="15">
                  <c:v>0.27499999999999997</c:v>
                </c:pt>
                <c:pt idx="16">
                  <c:v>0.26500000000000001</c:v>
                </c:pt>
                <c:pt idx="17">
                  <c:v>0.255</c:v>
                </c:pt>
                <c:pt idx="18">
                  <c:v>0.245</c:v>
                </c:pt>
                <c:pt idx="19">
                  <c:v>0.23499999999999999</c:v>
                </c:pt>
                <c:pt idx="20">
                  <c:v>0.22500000000000001</c:v>
                </c:pt>
                <c:pt idx="21">
                  <c:v>0.215</c:v>
                </c:pt>
                <c:pt idx="22">
                  <c:v>0.20499999999999999</c:v>
                </c:pt>
                <c:pt idx="23">
                  <c:v>0.19499999999999998</c:v>
                </c:pt>
                <c:pt idx="24">
                  <c:v>0.18499999999999997</c:v>
                </c:pt>
                <c:pt idx="25">
                  <c:v>0.17499999999999996</c:v>
                </c:pt>
                <c:pt idx="26">
                  <c:v>0.16499999999999995</c:v>
                </c:pt>
                <c:pt idx="27">
                  <c:v>0.15499999999999994</c:v>
                </c:pt>
                <c:pt idx="28">
                  <c:v>0.14499999999999993</c:v>
                </c:pt>
                <c:pt idx="29">
                  <c:v>0.13499999999999993</c:v>
                </c:pt>
                <c:pt idx="30">
                  <c:v>0.12499999999999992</c:v>
                </c:pt>
                <c:pt idx="31">
                  <c:v>0.11499999999999991</c:v>
                </c:pt>
                <c:pt idx="32">
                  <c:v>0.10499999999999993</c:v>
                </c:pt>
                <c:pt idx="33">
                  <c:v>9.4999999999999918E-2</c:v>
                </c:pt>
                <c:pt idx="34">
                  <c:v>8.4999999999999909E-2</c:v>
                </c:pt>
                <c:pt idx="35">
                  <c:v>7.49999999999999E-2</c:v>
                </c:pt>
                <c:pt idx="36">
                  <c:v>6.4999999999999891E-2</c:v>
                </c:pt>
                <c:pt idx="37">
                  <c:v>5.4999999999999882E-2</c:v>
                </c:pt>
                <c:pt idx="38">
                  <c:v>4.4999999999999873E-2</c:v>
                </c:pt>
                <c:pt idx="39">
                  <c:v>3.4999999999999865E-2</c:v>
                </c:pt>
                <c:pt idx="40">
                  <c:v>2.4999999999999856E-2</c:v>
                </c:pt>
                <c:pt idx="41">
                  <c:v>1.4999999999999847E-2</c:v>
                </c:pt>
                <c:pt idx="42">
                  <c:v>4.9999999999998379E-3</c:v>
                </c:pt>
                <c:pt idx="43">
                  <c:v>-5.000000000000171E-3</c:v>
                </c:pt>
                <c:pt idx="44">
                  <c:v>-1.500000000000018E-2</c:v>
                </c:pt>
                <c:pt idx="45">
                  <c:v>-2.5000000000000189E-2</c:v>
                </c:pt>
                <c:pt idx="46">
                  <c:v>-3.5000000000000198E-2</c:v>
                </c:pt>
                <c:pt idx="47">
                  <c:v>-4.5000000000000207E-2</c:v>
                </c:pt>
                <c:pt idx="48">
                  <c:v>-5.5000000000000215E-2</c:v>
                </c:pt>
                <c:pt idx="49">
                  <c:v>-6.5000000000000224E-2</c:v>
                </c:pt>
                <c:pt idx="50">
                  <c:v>-7.5000000000000233E-2</c:v>
                </c:pt>
                <c:pt idx="51">
                  <c:v>-8.5000000000000242E-2</c:v>
                </c:pt>
              </c:numCache>
            </c:numRef>
          </c:xVal>
          <c:yVal>
            <c:numRef>
              <c:f>Sheet1!$E$17:$E$68</c:f>
              <c:numCache>
                <c:formatCode>General</c:formatCode>
                <c:ptCount val="52"/>
                <c:pt idx="0">
                  <c:v>5.9134426837060773E-5</c:v>
                </c:pt>
                <c:pt idx="1">
                  <c:v>7.8603110921516498E-5</c:v>
                </c:pt>
                <c:pt idx="2">
                  <c:v>1.0855697559783236E-4</c:v>
                </c:pt>
                <c:pt idx="3">
                  <c:v>1.5722561332310765E-4</c:v>
                </c:pt>
                <c:pt idx="4">
                  <c:v>2.4112088785454829E-4</c:v>
                </c:pt>
                <c:pt idx="5">
                  <c:v>3.9272004690643777E-4</c:v>
                </c:pt>
                <c:pt idx="6">
                  <c:v>6.6180885571205726E-4</c:v>
                </c:pt>
                <c:pt idx="7">
                  <c:v>1.0583040289824286E-3</c:v>
                </c:pt>
                <c:pt idx="8">
                  <c:v>1.4547870033710685E-3</c:v>
                </c:pt>
                <c:pt idx="9">
                  <c:v>1.7238390237204809E-3</c:v>
                </c:pt>
                <c:pt idx="10">
                  <c:v>1.8753762229786121E-3</c:v>
                </c:pt>
                <c:pt idx="11">
                  <c:v>1.9591833753150661E-3</c:v>
                </c:pt>
                <c:pt idx="12">
                  <c:v>2.0077362946064156E-3</c:v>
                </c:pt>
                <c:pt idx="13">
                  <c:v>2.0375449184484029E-3</c:v>
                </c:pt>
                <c:pt idx="14">
                  <c:v>2.0568363522152611E-3</c:v>
                </c:pt>
                <c:pt idx="15">
                  <c:v>2.0698795438656398E-3</c:v>
                </c:pt>
                <c:pt idx="16">
                  <c:v>2.0790103718335397E-3</c:v>
                </c:pt>
                <c:pt idx="17">
                  <c:v>2.0855741752445374E-3</c:v>
                </c:pt>
                <c:pt idx="18">
                  <c:v>2.090381562529952E-3</c:v>
                </c:pt>
                <c:pt idx="19">
                  <c:v>2.0939397594405707E-3</c:v>
                </c:pt>
                <c:pt idx="20">
                  <c:v>2.0965757336746304E-3</c:v>
                </c:pt>
                <c:pt idx="21">
                  <c:v>2.0985045648239144E-3</c:v>
                </c:pt>
                <c:pt idx="22">
                  <c:v>2.0998687669529638E-3</c:v>
                </c:pt>
                <c:pt idx="23">
                  <c:v>2.1007614628604449E-3</c:v>
                </c:pt>
                <c:pt idx="24">
                  <c:v>2.1012401200170123E-3</c:v>
                </c:pt>
                <c:pt idx="25">
                  <c:v>2.1013344155364606E-3</c:v>
                </c:pt>
                <c:pt idx="26">
                  <c:v>2.1010501019946321E-3</c:v>
                </c:pt>
                <c:pt idx="27">
                  <c:v>2.1003697407397564E-3</c:v>
                </c:pt>
                <c:pt idx="28">
                  <c:v>2.0992504627397072E-3</c:v>
                </c:pt>
                <c:pt idx="29">
                  <c:v>2.0976182638406831E-3</c:v>
                </c:pt>
                <c:pt idx="30">
                  <c:v>2.0953575217556703E-3</c:v>
                </c:pt>
                <c:pt idx="31">
                  <c:v>2.0922931364979569E-3</c:v>
                </c:pt>
                <c:pt idx="32">
                  <c:v>2.0881604081063351E-3</c:v>
                </c:pt>
                <c:pt idx="33">
                  <c:v>2.0825533842339281E-3</c:v>
                </c:pt>
                <c:pt idx="34">
                  <c:v>2.0748335593149692E-3</c:v>
                </c:pt>
                <c:pt idx="35">
                  <c:v>2.0639620561840729E-3</c:v>
                </c:pt>
                <c:pt idx="36">
                  <c:v>2.0481768771858774E-3</c:v>
                </c:pt>
                <c:pt idx="37">
                  <c:v>2.0243412561593297E-3</c:v>
                </c:pt>
                <c:pt idx="38">
                  <c:v>1.9865666729749513E-3</c:v>
                </c:pt>
                <c:pt idx="39">
                  <c:v>1.9232345657612968E-3</c:v>
                </c:pt>
                <c:pt idx="40">
                  <c:v>1.810952424749221E-3</c:v>
                </c:pt>
                <c:pt idx="41">
                  <c:v>1.6069976715109881E-3</c:v>
                </c:pt>
                <c:pt idx="42">
                  <c:v>1.2678383585174532E-3</c:v>
                </c:pt>
                <c:pt idx="43">
                  <c:v>8.4876665271174916E-4</c:v>
                </c:pt>
                <c:pt idx="44">
                  <c:v>5.0958289410021852E-4</c:v>
                </c:pt>
                <c:pt idx="45">
                  <c:v>3.0557886442699546E-4</c:v>
                </c:pt>
                <c:pt idx="46">
                  <c:v>1.9322183301574415E-4</c:v>
                </c:pt>
                <c:pt idx="47">
                  <c:v>1.2978801412036049E-4</c:v>
                </c:pt>
                <c:pt idx="48">
                  <c:v>9.1883225273121298E-5</c:v>
                </c:pt>
                <c:pt idx="49">
                  <c:v>6.7886707894714154E-5</c:v>
                </c:pt>
                <c:pt idx="50">
                  <c:v>5.1907141511693737E-5</c:v>
                </c:pt>
                <c:pt idx="51">
                  <c:v>4.0804250298102365E-5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2-46FE-A7CF-7D5C3658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15439"/>
        <c:axId val="1353916975"/>
      </c:scatterChart>
      <c:valAx>
        <c:axId val="135861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16975"/>
        <c:crosses val="autoZero"/>
        <c:crossBetween val="midCat"/>
      </c:valAx>
      <c:valAx>
        <c:axId val="13539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1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Sheet1!$B$86:$B$93</c:f>
              <c:numCache>
                <c:formatCode>0.00</c:formatCode>
                <c:ptCount val="8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Sheet1!$C$86:$C$93</c:f>
              <c:numCache>
                <c:formatCode>General</c:formatCode>
                <c:ptCount val="8"/>
                <c:pt idx="0">
                  <c:v>2.43E-4</c:v>
                </c:pt>
                <c:pt idx="1">
                  <c:v>3.5199999999999999E-4</c:v>
                </c:pt>
                <c:pt idx="2">
                  <c:v>4.4000000000000002E-4</c:v>
                </c:pt>
                <c:pt idx="3">
                  <c:v>5.1000000000000004E-4</c:v>
                </c:pt>
                <c:pt idx="4">
                  <c:v>6.0999999999999997E-4</c:v>
                </c:pt>
                <c:pt idx="5">
                  <c:v>7.1999999999999994E-4</c:v>
                </c:pt>
                <c:pt idx="6">
                  <c:v>7.8000000000000009E-4</c:v>
                </c:pt>
                <c:pt idx="7">
                  <c:v>9.1E-4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6-4132-82BB-313A1F9D5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63183"/>
        <c:axId val="1412769311"/>
      </c:scatterChart>
      <c:valAx>
        <c:axId val="14127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69311"/>
        <c:crosses val="autoZero"/>
        <c:crossBetween val="midCat"/>
      </c:valAx>
      <c:valAx>
        <c:axId val="14127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13733</xdr:colOff>
      <xdr:row>15</xdr:row>
      <xdr:rowOff>11545</xdr:rowOff>
    </xdr:from>
    <xdr:to>
      <xdr:col>26</xdr:col>
      <xdr:colOff>600363</xdr:colOff>
      <xdr:row>45</xdr:row>
      <xdr:rowOff>161637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E1DFA-AC2A-F031-61D4-17C9D049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72572</xdr:colOff>
      <xdr:row>80</xdr:row>
      <xdr:rowOff>72572</xdr:rowOff>
    </xdr:from>
    <xdr:to>
      <xdr:col>14</xdr:col>
      <xdr:colOff>562428</xdr:colOff>
      <xdr:row>99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56082-46E8-6254-C534-EC7C7FD6A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"/>
  <sheetViews>
    <sheetView tabSelected="1" topLeftCell="A51" zoomScale="70" zoomScaleNormal="70" workbookViewId="0">
      <selection activeCell="G62" sqref="G62"/>
    </sheetView>
  </sheetViews>
  <sheetFormatPr defaultRowHeight="15" x14ac:dyDescent="0.25"/>
  <cols>
    <col min="2" max="2" width="17.28515625" bestFit="1" customWidth="1"/>
    <col min="3" max="8" width="15.7109375" customWidth="1"/>
    <col min="9" max="9" width="9.42578125" bestFit="1" customWidth="1"/>
  </cols>
  <sheetData>
    <row r="1" spans="1:27" x14ac:dyDescent="0.25">
      <c r="A1" s="43" t="s">
        <v>26</v>
      </c>
      <c r="B1" s="43"/>
      <c r="C1" s="43"/>
      <c r="D1" s="43"/>
      <c r="E1" s="43"/>
    </row>
    <row r="2" spans="1:27" x14ac:dyDescent="0.25">
      <c r="A2" s="1"/>
      <c r="B2" s="1"/>
      <c r="C2" s="1"/>
      <c r="D2" s="1"/>
      <c r="E2" s="1"/>
    </row>
    <row r="3" spans="1:27" x14ac:dyDescent="0.25">
      <c r="A3" s="1"/>
      <c r="B3" s="43" t="s">
        <v>9</v>
      </c>
      <c r="C3" s="43"/>
      <c r="D3" s="43"/>
      <c r="E3" s="1"/>
    </row>
    <row r="4" spans="1:27" x14ac:dyDescent="0.25">
      <c r="A4" t="s">
        <v>8</v>
      </c>
    </row>
    <row r="5" spans="1:27" x14ac:dyDescent="0.25">
      <c r="B5" s="13" t="s">
        <v>27</v>
      </c>
      <c r="D5" s="10" t="s">
        <v>0</v>
      </c>
      <c r="F5" s="14" t="s">
        <v>2</v>
      </c>
      <c r="H5" s="16" t="s">
        <v>3</v>
      </c>
    </row>
    <row r="6" spans="1:27" x14ac:dyDescent="0.25">
      <c r="B6" s="11" t="s">
        <v>1</v>
      </c>
      <c r="D6" s="11" t="s">
        <v>1</v>
      </c>
      <c r="F6" s="15" t="s">
        <v>1</v>
      </c>
      <c r="H6" s="17" t="s">
        <v>1</v>
      </c>
    </row>
    <row r="7" spans="1:27" x14ac:dyDescent="0.25">
      <c r="B7" s="12">
        <v>0.35499999999999998</v>
      </c>
      <c r="C7" t="s">
        <v>20</v>
      </c>
      <c r="D7" s="12">
        <v>5.3289999999999997E-2</v>
      </c>
      <c r="E7" t="s">
        <v>20</v>
      </c>
      <c r="F7" s="12">
        <v>4.5940000000000002E-2</v>
      </c>
      <c r="G7" t="s">
        <v>20</v>
      </c>
      <c r="H7" s="12">
        <f>(D7+F7)/4</f>
        <v>2.48075E-2</v>
      </c>
      <c r="I7" t="s">
        <v>20</v>
      </c>
    </row>
    <row r="10" spans="1:27" x14ac:dyDescent="0.25">
      <c r="B10" s="18" t="s">
        <v>4</v>
      </c>
    </row>
    <row r="11" spans="1:27" x14ac:dyDescent="0.25">
      <c r="B11" s="19" t="s">
        <v>28</v>
      </c>
      <c r="F11" s="23" t="s">
        <v>30</v>
      </c>
    </row>
    <row r="12" spans="1:27" x14ac:dyDescent="0.25">
      <c r="B12" s="20" t="s">
        <v>29</v>
      </c>
      <c r="D12" s="22" t="s">
        <v>5</v>
      </c>
      <c r="F12" s="24" t="s">
        <v>1</v>
      </c>
    </row>
    <row r="13" spans="1:27" x14ac:dyDescent="0.25">
      <c r="B13" s="21">
        <v>0.495</v>
      </c>
      <c r="C13" t="s">
        <v>20</v>
      </c>
      <c r="D13" s="3">
        <v>2.2200000000000002</v>
      </c>
      <c r="E13" t="s">
        <v>21</v>
      </c>
      <c r="F13" s="2">
        <v>270</v>
      </c>
    </row>
    <row r="15" spans="1:27" x14ac:dyDescent="0.25">
      <c r="D15" s="9" t="s">
        <v>31</v>
      </c>
      <c r="E15" s="9" t="s">
        <v>32</v>
      </c>
    </row>
    <row r="16" spans="1:27" ht="18" x14ac:dyDescent="0.25">
      <c r="A16" t="s">
        <v>6</v>
      </c>
      <c r="B16" s="5" t="s">
        <v>33</v>
      </c>
      <c r="C16" s="6" t="s">
        <v>34</v>
      </c>
      <c r="D16" s="8" t="s">
        <v>22</v>
      </c>
      <c r="E16" s="8" t="s">
        <v>22</v>
      </c>
      <c r="F16">
        <f>10^-3</f>
        <v>1E-3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40">
        <f>$B$7+C17</f>
        <v>0.42499999999999999</v>
      </c>
      <c r="C17" s="2">
        <v>7.0000000000000007E-2</v>
      </c>
      <c r="D17" s="25">
        <f>0.06*$F$16</f>
        <v>6.0000000000000002E-5</v>
      </c>
      <c r="E17" s="25">
        <f>(((4*PI()*10^-7)*$F$13*$D$13)/(2*$B$7))*((B17/SQRT(B17^2+($H$7)^2))-(C17/SQRT(C17^2+($H$7)^2)))</f>
        <v>5.9134426837060773E-5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x14ac:dyDescent="0.25">
      <c r="B18" s="40">
        <f t="shared" ref="B18:B68" si="0">$B$7+C18</f>
        <v>0.41499999999999998</v>
      </c>
      <c r="C18" s="2">
        <f>C17-0.01</f>
        <v>6.0000000000000005E-2</v>
      </c>
      <c r="D18" s="25">
        <f>0.08*$F$16</f>
        <v>8.0000000000000007E-5</v>
      </c>
      <c r="E18" s="25">
        <f t="shared" ref="E18:E68" si="1">(((4*PI()*10^-7)*$F$13*$D$13)/(2*$B$7))*((B18/SQRT(B18^2+($H$7)^2))-(C18/SQRT(C18^2+($H$7)^2)))</f>
        <v>7.8603110921516498E-5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x14ac:dyDescent="0.25">
      <c r="B19" s="40">
        <f t="shared" si="0"/>
        <v>0.40499999999999997</v>
      </c>
      <c r="C19" s="2">
        <f t="shared" ref="C19:C68" si="2">C18-0.01</f>
        <v>0.05</v>
      </c>
      <c r="D19" s="25">
        <f>0.011*$F$16</f>
        <v>1.1E-5</v>
      </c>
      <c r="E19" s="25">
        <f t="shared" si="1"/>
        <v>1.0855697559783236E-4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x14ac:dyDescent="0.25">
      <c r="B20" s="40">
        <f t="shared" si="0"/>
        <v>0.39499999999999996</v>
      </c>
      <c r="C20" s="2">
        <f t="shared" si="2"/>
        <v>0.04</v>
      </c>
      <c r="D20" s="25">
        <f>0.15*$F$16</f>
        <v>1.4999999999999999E-4</v>
      </c>
      <c r="E20" s="25">
        <f t="shared" si="1"/>
        <v>1.5722561332310765E-4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x14ac:dyDescent="0.25">
      <c r="B21" s="40">
        <f t="shared" si="0"/>
        <v>0.38500000000000001</v>
      </c>
      <c r="C21" s="2">
        <f t="shared" si="2"/>
        <v>0.03</v>
      </c>
      <c r="D21" s="25">
        <f>0.23*$F$16</f>
        <v>2.3000000000000001E-4</v>
      </c>
      <c r="E21" s="25">
        <f t="shared" si="1"/>
        <v>2.4112088785454829E-4</v>
      </c>
      <c r="F21" t="s">
        <v>38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x14ac:dyDescent="0.25">
      <c r="B22" s="40">
        <f t="shared" si="0"/>
        <v>0.375</v>
      </c>
      <c r="C22" s="2">
        <f t="shared" si="2"/>
        <v>1.9999999999999997E-2</v>
      </c>
      <c r="D22" s="25">
        <f>0.37*$F$16</f>
        <v>3.6999999999999999E-4</v>
      </c>
      <c r="E22" s="25">
        <f t="shared" si="1"/>
        <v>3.9272004690643777E-4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x14ac:dyDescent="0.25">
      <c r="B23" s="40">
        <f t="shared" si="0"/>
        <v>0.36499999999999999</v>
      </c>
      <c r="C23" s="2">
        <f t="shared" si="2"/>
        <v>9.9999999999999967E-3</v>
      </c>
      <c r="D23" s="25">
        <f>0.62*$F$16</f>
        <v>6.2E-4</v>
      </c>
      <c r="E23" s="25">
        <f t="shared" si="1"/>
        <v>6.6180885571205726E-4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x14ac:dyDescent="0.25">
      <c r="B24" s="40">
        <f t="shared" si="0"/>
        <v>0.35499999999999998</v>
      </c>
      <c r="C24" s="2">
        <f t="shared" si="2"/>
        <v>0</v>
      </c>
      <c r="D24" s="25">
        <f>0.97*$F$16</f>
        <v>9.6999999999999994E-4</v>
      </c>
      <c r="E24" s="25">
        <f t="shared" si="1"/>
        <v>1.0583040289824286E-3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25">
      <c r="B25" s="40">
        <f t="shared" si="0"/>
        <v>0.34499999999999997</v>
      </c>
      <c r="C25" s="2">
        <f t="shared" si="2"/>
        <v>-0.01</v>
      </c>
      <c r="D25" s="25">
        <f>1.33*$F$16</f>
        <v>1.33E-3</v>
      </c>
      <c r="E25" s="25">
        <f t="shared" si="1"/>
        <v>1.4547870033710685E-3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0">
        <f t="shared" si="0"/>
        <v>0.33499999999999996</v>
      </c>
      <c r="C26" s="2">
        <f t="shared" si="2"/>
        <v>-0.02</v>
      </c>
      <c r="D26" s="25">
        <f>1.58*$F$16</f>
        <v>1.58E-3</v>
      </c>
      <c r="E26" s="25">
        <f t="shared" si="1"/>
        <v>1.7238390237204809E-3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0">
        <f t="shared" si="0"/>
        <v>0.32499999999999996</v>
      </c>
      <c r="C27" s="2">
        <f t="shared" si="2"/>
        <v>-0.03</v>
      </c>
      <c r="D27" s="25">
        <f>1.74*$F$16</f>
        <v>1.74E-3</v>
      </c>
      <c r="E27" s="25">
        <f t="shared" si="1"/>
        <v>1.8753762229786121E-3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0">
        <f t="shared" si="0"/>
        <v>0.315</v>
      </c>
      <c r="C28" s="2">
        <f t="shared" si="2"/>
        <v>-0.04</v>
      </c>
      <c r="D28" s="25">
        <f>1.82*$F$16</f>
        <v>1.82E-3</v>
      </c>
      <c r="E28" s="25">
        <f t="shared" si="1"/>
        <v>1.9591833753150661E-3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0">
        <f t="shared" si="0"/>
        <v>0.30499999999999999</v>
      </c>
      <c r="C29" s="2">
        <f t="shared" si="2"/>
        <v>-0.05</v>
      </c>
      <c r="D29" s="25">
        <f>1.88*$F$16</f>
        <v>1.8799999999999999E-3</v>
      </c>
      <c r="E29" s="25">
        <f t="shared" si="1"/>
        <v>2.0077362946064156E-3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0">
        <f t="shared" si="0"/>
        <v>0.29499999999999998</v>
      </c>
      <c r="C30" s="2">
        <f t="shared" si="2"/>
        <v>-6.0000000000000005E-2</v>
      </c>
      <c r="D30" s="25">
        <f>1.91*$F$16</f>
        <v>1.91E-3</v>
      </c>
      <c r="E30" s="25">
        <f t="shared" si="1"/>
        <v>2.0375449184484029E-3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0">
        <f t="shared" si="0"/>
        <v>0.28499999999999998</v>
      </c>
      <c r="C31" s="2">
        <f t="shared" si="2"/>
        <v>-7.0000000000000007E-2</v>
      </c>
      <c r="D31" s="25">
        <f>1.93*$F$16</f>
        <v>1.9300000000000001E-3</v>
      </c>
      <c r="E31" s="25">
        <f t="shared" si="1"/>
        <v>2.0568363522152611E-3</v>
      </c>
      <c r="G31" s="4"/>
      <c r="H31" s="4"/>
      <c r="I31" s="4"/>
      <c r="J31" s="4"/>
      <c r="K31" s="4"/>
      <c r="L31" s="4"/>
      <c r="M31" s="4"/>
      <c r="N31" s="4"/>
      <c r="O31" s="4"/>
      <c r="P31" s="41" t="s">
        <v>7</v>
      </c>
      <c r="Q31" s="42"/>
      <c r="R31" s="42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0">
        <f t="shared" si="0"/>
        <v>0.27499999999999997</v>
      </c>
      <c r="C32" s="2">
        <f t="shared" si="2"/>
        <v>-0.08</v>
      </c>
      <c r="D32" s="25">
        <f>1.94*$F$16</f>
        <v>1.9399999999999999E-3</v>
      </c>
      <c r="E32" s="25">
        <f t="shared" si="1"/>
        <v>2.0698795438656398E-3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0">
        <f t="shared" si="0"/>
        <v>0.26500000000000001</v>
      </c>
      <c r="C33" s="2">
        <f t="shared" si="2"/>
        <v>-0.09</v>
      </c>
      <c r="D33" s="25">
        <f>1.95*$F$16</f>
        <v>1.9499999999999999E-3</v>
      </c>
      <c r="E33" s="25">
        <f t="shared" si="1"/>
        <v>2.0790103718335397E-3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0">
        <f t="shared" si="0"/>
        <v>0.255</v>
      </c>
      <c r="C34" s="2">
        <f t="shared" si="2"/>
        <v>-9.9999999999999992E-2</v>
      </c>
      <c r="D34" s="25">
        <f>1.96*$F$16</f>
        <v>1.9599999999999999E-3</v>
      </c>
      <c r="E34" s="25">
        <f t="shared" si="1"/>
        <v>2.0855741752445374E-3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0">
        <f t="shared" si="0"/>
        <v>0.245</v>
      </c>
      <c r="C35" s="2">
        <f t="shared" si="2"/>
        <v>-0.10999999999999999</v>
      </c>
      <c r="D35" s="25">
        <f>1.97*$F$16</f>
        <v>1.97E-3</v>
      </c>
      <c r="E35" s="25">
        <f t="shared" si="1"/>
        <v>2.090381562529952E-3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0">
        <f t="shared" si="0"/>
        <v>0.23499999999999999</v>
      </c>
      <c r="C36" s="2">
        <f t="shared" si="2"/>
        <v>-0.11999999999999998</v>
      </c>
      <c r="D36" s="25">
        <f>1.97*$F$16</f>
        <v>1.97E-3</v>
      </c>
      <c r="E36" s="25">
        <f t="shared" si="1"/>
        <v>2.0939397594405707E-3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0">
        <f t="shared" si="0"/>
        <v>0.22500000000000001</v>
      </c>
      <c r="C37" s="2">
        <f t="shared" si="2"/>
        <v>-0.12999999999999998</v>
      </c>
      <c r="D37" s="25">
        <f>1.98*$F$16</f>
        <v>1.98E-3</v>
      </c>
      <c r="E37" s="25">
        <f t="shared" si="1"/>
        <v>2.0965757336746304E-3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0">
        <f t="shared" si="0"/>
        <v>0.215</v>
      </c>
      <c r="C38" s="2">
        <f t="shared" si="2"/>
        <v>-0.13999999999999999</v>
      </c>
      <c r="D38" s="25">
        <f>1.98*F16</f>
        <v>1.98E-3</v>
      </c>
      <c r="E38" s="25">
        <f t="shared" si="1"/>
        <v>2.0985045648239144E-3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0">
        <f t="shared" si="0"/>
        <v>0.20499999999999999</v>
      </c>
      <c r="C39" s="2">
        <f t="shared" si="2"/>
        <v>-0.15</v>
      </c>
      <c r="D39" s="25">
        <f>1.98*F16</f>
        <v>1.98E-3</v>
      </c>
      <c r="E39" s="25">
        <f t="shared" si="1"/>
        <v>2.0998687669529638E-3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0">
        <f t="shared" si="0"/>
        <v>0.19499999999999998</v>
      </c>
      <c r="C40" s="2">
        <f t="shared" si="2"/>
        <v>-0.16</v>
      </c>
      <c r="D40" s="25">
        <f>1.98*F16</f>
        <v>1.98E-3</v>
      </c>
      <c r="E40" s="25">
        <f t="shared" si="1"/>
        <v>2.1007614628604449E-3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0">
        <f t="shared" si="0"/>
        <v>0.18499999999999997</v>
      </c>
      <c r="C41" s="2">
        <f t="shared" si="2"/>
        <v>-0.17</v>
      </c>
      <c r="D41" s="25">
        <f>1.98*F16</f>
        <v>1.98E-3</v>
      </c>
      <c r="E41" s="25">
        <f t="shared" si="1"/>
        <v>2.1012401200170123E-3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0">
        <f t="shared" si="0"/>
        <v>0.17499999999999996</v>
      </c>
      <c r="C42" s="2">
        <f t="shared" si="2"/>
        <v>-0.18000000000000002</v>
      </c>
      <c r="D42" s="25">
        <f>1.98*F16</f>
        <v>1.98E-3</v>
      </c>
      <c r="E42" s="25">
        <f t="shared" si="1"/>
        <v>2.1013344155364606E-3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0">
        <f t="shared" si="0"/>
        <v>0.16499999999999995</v>
      </c>
      <c r="C43" s="2">
        <f t="shared" si="2"/>
        <v>-0.19000000000000003</v>
      </c>
      <c r="D43" s="25">
        <f>1.98*F16</f>
        <v>1.98E-3</v>
      </c>
      <c r="E43" s="25">
        <f t="shared" si="1"/>
        <v>2.1010501019946321E-3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0">
        <f t="shared" si="0"/>
        <v>0.15499999999999994</v>
      </c>
      <c r="C44" s="2">
        <f t="shared" si="2"/>
        <v>-0.20000000000000004</v>
      </c>
      <c r="D44" s="25">
        <f>1.97*F16</f>
        <v>1.97E-3</v>
      </c>
      <c r="E44" s="25">
        <f t="shared" si="1"/>
        <v>2.1003697407397564E-3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0">
        <f t="shared" si="0"/>
        <v>0.14499999999999993</v>
      </c>
      <c r="C45" s="2">
        <f t="shared" si="2"/>
        <v>-0.21000000000000005</v>
      </c>
      <c r="D45" s="25">
        <f>1.97*F16</f>
        <v>1.97E-3</v>
      </c>
      <c r="E45" s="25">
        <f t="shared" si="1"/>
        <v>2.0992504627397072E-3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0">
        <f t="shared" si="0"/>
        <v>0.13499999999999993</v>
      </c>
      <c r="C46" s="2">
        <f t="shared" si="2"/>
        <v>-0.22000000000000006</v>
      </c>
      <c r="D46" s="3">
        <f>1.97*F16</f>
        <v>1.97E-3</v>
      </c>
      <c r="E46" s="25">
        <f t="shared" si="1"/>
        <v>2.0976182638406831E-3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0">
        <f t="shared" si="0"/>
        <v>0.12499999999999992</v>
      </c>
      <c r="C47" s="2">
        <f t="shared" si="2"/>
        <v>-0.23000000000000007</v>
      </c>
      <c r="D47" s="3">
        <f>1.97*F16</f>
        <v>1.97E-3</v>
      </c>
      <c r="E47" s="25">
        <f t="shared" si="1"/>
        <v>2.0953575217556703E-3</v>
      </c>
      <c r="G47" t="s">
        <v>40</v>
      </c>
    </row>
    <row r="48" spans="2:27" x14ac:dyDescent="0.25">
      <c r="B48" s="40">
        <f t="shared" si="0"/>
        <v>0.11499999999999991</v>
      </c>
      <c r="C48" s="2">
        <f t="shared" si="2"/>
        <v>-0.24000000000000007</v>
      </c>
      <c r="D48" s="3">
        <f>1.96*F16</f>
        <v>1.9599999999999999E-3</v>
      </c>
      <c r="E48" s="25">
        <f t="shared" si="1"/>
        <v>2.0922931364979569E-3</v>
      </c>
      <c r="G48">
        <f>0.005*F16</f>
        <v>5.0000000000000004E-6</v>
      </c>
      <c r="H48">
        <f>-0.021*F16</f>
        <v>-2.1000000000000002E-5</v>
      </c>
      <c r="I48">
        <f>-0.075*F16</f>
        <v>-7.4999999999999993E-5</v>
      </c>
    </row>
    <row r="49" spans="2:5" x14ac:dyDescent="0.25">
      <c r="B49" s="40">
        <f t="shared" si="0"/>
        <v>0.10499999999999993</v>
      </c>
      <c r="C49" s="2">
        <f t="shared" si="2"/>
        <v>-0.25000000000000006</v>
      </c>
      <c r="D49" s="3">
        <f>1.96*F16</f>
        <v>1.9599999999999999E-3</v>
      </c>
      <c r="E49" s="25">
        <f t="shared" si="1"/>
        <v>2.0881604081063351E-3</v>
      </c>
    </row>
    <row r="50" spans="2:5" x14ac:dyDescent="0.25">
      <c r="B50" s="40">
        <f t="shared" si="0"/>
        <v>9.4999999999999918E-2</v>
      </c>
      <c r="C50" s="2">
        <f t="shared" si="2"/>
        <v>-0.26000000000000006</v>
      </c>
      <c r="D50" s="3">
        <f>1.96*F16</f>
        <v>1.9599999999999999E-3</v>
      </c>
      <c r="E50" s="25">
        <f t="shared" si="1"/>
        <v>2.0825533842339281E-3</v>
      </c>
    </row>
    <row r="51" spans="2:5" x14ac:dyDescent="0.25">
      <c r="B51" s="40">
        <f t="shared" si="0"/>
        <v>8.4999999999999909E-2</v>
      </c>
      <c r="C51" s="2">
        <f t="shared" si="2"/>
        <v>-0.27000000000000007</v>
      </c>
      <c r="D51" s="3">
        <f>1.95*F16</f>
        <v>1.9499999999999999E-3</v>
      </c>
      <c r="E51" s="25">
        <f t="shared" si="1"/>
        <v>2.0748335593149692E-3</v>
      </c>
    </row>
    <row r="52" spans="2:5" x14ac:dyDescent="0.25">
      <c r="B52" s="40">
        <f t="shared" si="0"/>
        <v>7.49999999999999E-2</v>
      </c>
      <c r="C52" s="2">
        <f t="shared" si="2"/>
        <v>-0.28000000000000008</v>
      </c>
      <c r="D52" s="3">
        <f>1.94*F16</f>
        <v>1.9399999999999999E-3</v>
      </c>
      <c r="E52" s="25">
        <f t="shared" si="1"/>
        <v>2.0639620561840729E-3</v>
      </c>
    </row>
    <row r="53" spans="2:5" x14ac:dyDescent="0.25">
      <c r="B53" s="40">
        <f t="shared" si="0"/>
        <v>6.4999999999999891E-2</v>
      </c>
      <c r="C53" s="2">
        <f t="shared" si="2"/>
        <v>-0.29000000000000009</v>
      </c>
      <c r="D53" s="3">
        <f>1.92*F16</f>
        <v>1.92E-3</v>
      </c>
      <c r="E53" s="25">
        <f t="shared" si="1"/>
        <v>2.0481768771858774E-3</v>
      </c>
    </row>
    <row r="54" spans="2:5" x14ac:dyDescent="0.25">
      <c r="B54" s="40">
        <f t="shared" si="0"/>
        <v>5.4999999999999882E-2</v>
      </c>
      <c r="C54" s="2">
        <f t="shared" si="2"/>
        <v>-0.3000000000000001</v>
      </c>
      <c r="D54" s="3">
        <f>1.9*F16</f>
        <v>1.9E-3</v>
      </c>
      <c r="E54" s="25">
        <f t="shared" si="1"/>
        <v>2.0243412561593297E-3</v>
      </c>
    </row>
    <row r="55" spans="2:5" x14ac:dyDescent="0.25">
      <c r="B55" s="40">
        <f t="shared" si="0"/>
        <v>4.4999999999999873E-2</v>
      </c>
      <c r="C55" s="2">
        <f t="shared" si="2"/>
        <v>-0.31000000000000011</v>
      </c>
      <c r="D55" s="3">
        <f>1.86*F16</f>
        <v>1.8600000000000001E-3</v>
      </c>
      <c r="E55" s="25">
        <f t="shared" si="1"/>
        <v>1.9865666729749513E-3</v>
      </c>
    </row>
    <row r="56" spans="2:5" x14ac:dyDescent="0.25">
      <c r="B56" s="40">
        <f t="shared" si="0"/>
        <v>3.4999999999999865E-2</v>
      </c>
      <c r="C56" s="2">
        <f t="shared" si="2"/>
        <v>-0.32000000000000012</v>
      </c>
      <c r="D56" s="3">
        <f>1.79*F16</f>
        <v>1.7900000000000001E-3</v>
      </c>
      <c r="E56" s="25">
        <f t="shared" si="1"/>
        <v>1.9232345657612968E-3</v>
      </c>
    </row>
    <row r="57" spans="2:5" x14ac:dyDescent="0.25">
      <c r="B57" s="40">
        <f t="shared" si="0"/>
        <v>2.4999999999999856E-2</v>
      </c>
      <c r="C57" s="2">
        <f t="shared" si="2"/>
        <v>-0.33000000000000013</v>
      </c>
      <c r="D57" s="3">
        <f>1.67*F16</f>
        <v>1.67E-3</v>
      </c>
      <c r="E57" s="25">
        <f t="shared" si="1"/>
        <v>1.810952424749221E-3</v>
      </c>
    </row>
    <row r="58" spans="2:5" x14ac:dyDescent="0.25">
      <c r="B58" s="40">
        <f t="shared" si="0"/>
        <v>1.4999999999999847E-2</v>
      </c>
      <c r="C58" s="2">
        <f t="shared" si="2"/>
        <v>-0.34000000000000014</v>
      </c>
      <c r="D58" s="3">
        <f>1.46*F16</f>
        <v>1.4599999999999999E-3</v>
      </c>
      <c r="E58" s="25">
        <f t="shared" si="1"/>
        <v>1.6069976715109881E-3</v>
      </c>
    </row>
    <row r="59" spans="2:5" x14ac:dyDescent="0.25">
      <c r="B59" s="40">
        <f t="shared" si="0"/>
        <v>4.9999999999998379E-3</v>
      </c>
      <c r="C59" s="2">
        <f t="shared" si="2"/>
        <v>-0.35000000000000014</v>
      </c>
      <c r="D59" s="3">
        <f>1.13*F16</f>
        <v>1.1299999999999999E-3</v>
      </c>
      <c r="E59" s="25">
        <f t="shared" si="1"/>
        <v>1.2678383585174532E-3</v>
      </c>
    </row>
    <row r="60" spans="2:5" x14ac:dyDescent="0.25">
      <c r="B60" s="40">
        <f t="shared" si="0"/>
        <v>-5.000000000000171E-3</v>
      </c>
      <c r="C60" s="2">
        <f t="shared" si="2"/>
        <v>-0.36000000000000015</v>
      </c>
      <c r="D60" s="3">
        <f>0.75*F16</f>
        <v>7.5000000000000002E-4</v>
      </c>
      <c r="E60" s="25">
        <f t="shared" si="1"/>
        <v>8.4876665271174916E-4</v>
      </c>
    </row>
    <row r="61" spans="2:5" x14ac:dyDescent="0.25">
      <c r="B61" s="40">
        <f t="shared" si="0"/>
        <v>-1.500000000000018E-2</v>
      </c>
      <c r="C61" s="2">
        <f t="shared" si="2"/>
        <v>-0.37000000000000016</v>
      </c>
      <c r="D61" s="3">
        <f>0.46*F16</f>
        <v>4.6000000000000001E-4</v>
      </c>
      <c r="E61" s="25">
        <f t="shared" si="1"/>
        <v>5.0958289410021852E-4</v>
      </c>
    </row>
    <row r="62" spans="2:5" x14ac:dyDescent="0.25">
      <c r="B62" s="40">
        <f t="shared" si="0"/>
        <v>-2.5000000000000189E-2</v>
      </c>
      <c r="C62" s="2">
        <f t="shared" si="2"/>
        <v>-0.38000000000000017</v>
      </c>
      <c r="D62" s="3">
        <f>0.28*F16</f>
        <v>2.8000000000000003E-4</v>
      </c>
      <c r="E62" s="25">
        <f t="shared" si="1"/>
        <v>3.0557886442699546E-4</v>
      </c>
    </row>
    <row r="63" spans="2:5" x14ac:dyDescent="0.25">
      <c r="B63" s="40">
        <f t="shared" si="0"/>
        <v>-3.5000000000000198E-2</v>
      </c>
      <c r="C63" s="2">
        <f t="shared" si="2"/>
        <v>-0.39000000000000018</v>
      </c>
      <c r="D63" s="3">
        <f>0.18*F16</f>
        <v>1.7999999999999998E-4</v>
      </c>
      <c r="E63" s="25">
        <f t="shared" si="1"/>
        <v>1.9322183301574415E-4</v>
      </c>
    </row>
    <row r="64" spans="2:5" x14ac:dyDescent="0.25">
      <c r="B64" s="40">
        <f t="shared" si="0"/>
        <v>-4.5000000000000207E-2</v>
      </c>
      <c r="C64" s="2">
        <f t="shared" si="2"/>
        <v>-0.40000000000000019</v>
      </c>
      <c r="D64" s="3">
        <f>0.12*F16</f>
        <v>1.2E-4</v>
      </c>
      <c r="E64" s="25">
        <f t="shared" si="1"/>
        <v>1.2978801412036049E-4</v>
      </c>
    </row>
    <row r="65" spans="1:7" x14ac:dyDescent="0.25">
      <c r="B65" s="40">
        <f t="shared" si="0"/>
        <v>-5.5000000000000215E-2</v>
      </c>
      <c r="C65" s="2">
        <f t="shared" si="2"/>
        <v>-0.4100000000000002</v>
      </c>
      <c r="D65" s="3">
        <f>0.09*F16</f>
        <v>8.9999999999999992E-5</v>
      </c>
      <c r="E65" s="25">
        <f t="shared" si="1"/>
        <v>9.1883225273121298E-5</v>
      </c>
    </row>
    <row r="66" spans="1:7" x14ac:dyDescent="0.25">
      <c r="B66" s="40">
        <f t="shared" si="0"/>
        <v>-6.5000000000000224E-2</v>
      </c>
      <c r="C66" s="2">
        <f t="shared" si="2"/>
        <v>-0.42000000000000021</v>
      </c>
      <c r="D66" s="3">
        <f>0.06*F16</f>
        <v>6.0000000000000002E-5</v>
      </c>
      <c r="E66" s="25">
        <f t="shared" si="1"/>
        <v>6.7886707894714154E-5</v>
      </c>
    </row>
    <row r="67" spans="1:7" x14ac:dyDescent="0.25">
      <c r="A67" t="s">
        <v>39</v>
      </c>
      <c r="B67" s="40">
        <f t="shared" si="0"/>
        <v>-7.5000000000000233E-2</v>
      </c>
      <c r="C67" s="2">
        <f t="shared" si="2"/>
        <v>-0.43000000000000022</v>
      </c>
      <c r="D67" s="3">
        <f>0.05*F16</f>
        <v>5.0000000000000002E-5</v>
      </c>
      <c r="E67" s="25">
        <f t="shared" si="1"/>
        <v>5.1907141511693737E-5</v>
      </c>
    </row>
    <row r="68" spans="1:7" x14ac:dyDescent="0.25">
      <c r="B68" s="40">
        <f t="shared" si="0"/>
        <v>-8.5000000000000242E-2</v>
      </c>
      <c r="C68" s="2">
        <f t="shared" si="2"/>
        <v>-0.44000000000000022</v>
      </c>
      <c r="D68" s="3">
        <f>0.04*F16</f>
        <v>4.0000000000000003E-5</v>
      </c>
      <c r="E68" s="25">
        <f t="shared" si="1"/>
        <v>4.0804250298102365E-5</v>
      </c>
    </row>
    <row r="70" spans="1:7" x14ac:dyDescent="0.25">
      <c r="A70" t="s">
        <v>10</v>
      </c>
      <c r="C70" s="43" t="s">
        <v>11</v>
      </c>
      <c r="D70" s="43"/>
      <c r="E70" s="43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B72" s="44" t="s">
        <v>16</v>
      </c>
      <c r="C72" s="44"/>
      <c r="D72" s="44"/>
    </row>
    <row r="73" spans="1:7" x14ac:dyDescent="0.25">
      <c r="B73" s="10" t="s">
        <v>12</v>
      </c>
    </row>
    <row r="74" spans="1:7" x14ac:dyDescent="0.25">
      <c r="B74" s="11" t="s">
        <v>13</v>
      </c>
    </row>
    <row r="75" spans="1:7" ht="17.25" x14ac:dyDescent="0.25">
      <c r="B75" s="2">
        <f>PI()*H7^2</f>
        <v>1.9333739948455885E-3</v>
      </c>
      <c r="C75" t="s">
        <v>19</v>
      </c>
    </row>
    <row r="77" spans="1:7" x14ac:dyDescent="0.25">
      <c r="B77" s="26" t="s">
        <v>14</v>
      </c>
    </row>
    <row r="78" spans="1:7" x14ac:dyDescent="0.25">
      <c r="B78" s="27" t="s">
        <v>15</v>
      </c>
    </row>
    <row r="79" spans="1:7" x14ac:dyDescent="0.25">
      <c r="B79" s="2">
        <f>((4*PI()*10^-7)*F13^2*B75)/B7</f>
        <v>4.9891310533188972E-4</v>
      </c>
      <c r="C79" t="s">
        <v>18</v>
      </c>
    </row>
    <row r="81" spans="1:15" x14ac:dyDescent="0.25"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5">
      <c r="B82" s="44" t="s">
        <v>17</v>
      </c>
      <c r="C82" s="44"/>
      <c r="D82" s="4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5">
      <c r="B83" s="7"/>
      <c r="C83" s="7"/>
      <c r="D83" s="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5">
      <c r="B84" s="28" t="s">
        <v>5</v>
      </c>
      <c r="C84" s="32" t="s">
        <v>36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5">
      <c r="A85" t="s">
        <v>23</v>
      </c>
      <c r="B85" s="29" t="s">
        <v>35</v>
      </c>
      <c r="C85" s="33" t="s">
        <v>37</v>
      </c>
      <c r="E85" s="36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5">
      <c r="B86" s="30">
        <v>0.3</v>
      </c>
      <c r="C86" s="2">
        <f>0.243*F16</f>
        <v>2.43E-4</v>
      </c>
      <c r="E86" s="36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5">
      <c r="B87" s="31">
        <v>0.4</v>
      </c>
      <c r="C87" s="2">
        <f>0.352*F16</f>
        <v>3.5199999999999999E-4</v>
      </c>
      <c r="E87" s="36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5">
      <c r="B88" s="31">
        <v>0.5</v>
      </c>
      <c r="C88" s="2">
        <f>0.44*F16</f>
        <v>4.4000000000000002E-4</v>
      </c>
      <c r="E88" s="36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5">
      <c r="B89" s="31">
        <v>0.6</v>
      </c>
      <c r="C89" s="2">
        <f>0.51*F16</f>
        <v>5.1000000000000004E-4</v>
      </c>
      <c r="E89" s="36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5">
      <c r="B90" s="31">
        <v>0.7</v>
      </c>
      <c r="C90" s="2">
        <f>0.61*F16</f>
        <v>6.0999999999999997E-4</v>
      </c>
      <c r="E90" s="36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5">
      <c r="B91" s="31">
        <v>0.8</v>
      </c>
      <c r="C91" s="2">
        <f>0.72*F16</f>
        <v>7.1999999999999994E-4</v>
      </c>
      <c r="E91" s="36"/>
      <c r="F91" s="4"/>
      <c r="G91" s="4"/>
      <c r="H91" s="41" t="s">
        <v>7</v>
      </c>
      <c r="I91" s="42"/>
      <c r="J91" s="41"/>
      <c r="K91" s="42"/>
      <c r="L91" s="42"/>
      <c r="M91" s="4"/>
      <c r="N91" s="4"/>
      <c r="O91" s="4"/>
    </row>
    <row r="92" spans="1:15" x14ac:dyDescent="0.25">
      <c r="B92" s="31">
        <v>0.9</v>
      </c>
      <c r="C92" s="2">
        <f>0.78*F16</f>
        <v>7.8000000000000009E-4</v>
      </c>
      <c r="E92" s="36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5">
      <c r="B93" s="31">
        <v>1</v>
      </c>
      <c r="C93" s="2">
        <f>0.91*F16</f>
        <v>9.1E-4</v>
      </c>
      <c r="E93" s="36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5">
      <c r="B96" s="35" t="s">
        <v>24</v>
      </c>
      <c r="C96" s="34">
        <v>9.2299999999999999E-4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2:15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2:15" x14ac:dyDescent="0.25">
      <c r="B98" s="38" t="s">
        <v>25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2:15" x14ac:dyDescent="0.25">
      <c r="B99" s="39" t="s">
        <v>15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2:15" x14ac:dyDescent="0.25">
      <c r="B100" s="37">
        <f>C96*F13*B75</f>
        <v>4.8181613325546909E-4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</sheetData>
  <mergeCells count="8">
    <mergeCell ref="P31:R31"/>
    <mergeCell ref="A1:E1"/>
    <mergeCell ref="B3:D3"/>
    <mergeCell ref="J91:L91"/>
    <mergeCell ref="H91:I91"/>
    <mergeCell ref="B72:D72"/>
    <mergeCell ref="B82:D82"/>
    <mergeCell ref="C70:E70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3F0A511A9C0F499A77FDADADCCD4FC" ma:contentTypeVersion="9" ma:contentTypeDescription="Create a new document." ma:contentTypeScope="" ma:versionID="033e5342819171db9d1d7eaf6a126541">
  <xsd:schema xmlns:xsd="http://www.w3.org/2001/XMLSchema" xmlns:xs="http://www.w3.org/2001/XMLSchema" xmlns:p="http://schemas.microsoft.com/office/2006/metadata/properties" xmlns:ns3="6a19189a-dc49-4eb0-bd03-6416189103bb" targetNamespace="http://schemas.microsoft.com/office/2006/metadata/properties" ma:root="true" ma:fieldsID="8993e187f572d9cb5691964fb6fbc238" ns3:_="">
    <xsd:import namespace="6a19189a-dc49-4eb0-bd03-6416189103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9189a-dc49-4eb0-bd03-641618910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a19189a-dc49-4eb0-bd03-6416189103b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46E7D-E4BF-433A-9121-920B751764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19189a-dc49-4eb0-bd03-6416189103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5648CD-7D6B-4A9D-89A0-471E600E91AA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a19189a-dc49-4eb0-bd03-6416189103bb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2221BE1-FB40-4DF9-B579-BE7C1E295F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J. Wagner</dc:creator>
  <cp:lastModifiedBy>Schmitz, Josiah</cp:lastModifiedBy>
  <dcterms:created xsi:type="dcterms:W3CDTF">2022-04-28T19:02:41Z</dcterms:created>
  <dcterms:modified xsi:type="dcterms:W3CDTF">2023-10-13T00:55:32Z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0x010100713F0A511A9C0F499A77FDADADCCD4FC</vt:lpwstr>
  </property>
</Properties>
</file>