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16" documentId="13_ncr:1_{46D648EA-69EE-403A-8790-CB4428D5D065}" xr6:coauthVersionLast="47" xr6:coauthVersionMax="47" xr10:uidLastSave="{8293D57D-30C1-4B8F-A7B8-2D86ADD41F41}"/>
  <bookViews>
    <workbookView xWindow="-28920" yWindow="1065" windowWidth="29040" windowHeight="16440" xr2:uid="{E870BDC3-BA36-4DEC-877A-BFB19943F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F63" i="1"/>
  <c r="F64" i="1"/>
  <c r="F65" i="1"/>
  <c r="F66" i="1"/>
  <c r="E62" i="1"/>
  <c r="C66" i="1"/>
  <c r="E66" i="1" s="1"/>
  <c r="C65" i="1"/>
  <c r="E65" i="1" s="1"/>
  <c r="C64" i="1"/>
  <c r="E64" i="1" s="1"/>
  <c r="E63" i="1"/>
  <c r="C63" i="1"/>
  <c r="C62" i="1"/>
  <c r="F59" i="1"/>
  <c r="B54" i="1"/>
  <c r="C51" i="1"/>
  <c r="E51" i="1" s="1"/>
  <c r="F51" i="1" s="1"/>
  <c r="C50" i="1"/>
  <c r="C49" i="1"/>
  <c r="E49" i="1" s="1"/>
  <c r="F49" i="1" s="1"/>
  <c r="C48" i="1"/>
  <c r="C47" i="1"/>
  <c r="E47" i="1" s="1"/>
  <c r="F47" i="1" s="1"/>
  <c r="F50" i="1"/>
  <c r="E50" i="1"/>
  <c r="E48" i="1"/>
  <c r="F48" i="1" s="1"/>
  <c r="C38" i="1"/>
  <c r="E38" i="1"/>
  <c r="F38" i="1" s="1"/>
  <c r="F37" i="1"/>
  <c r="F36" i="1"/>
  <c r="F35" i="1"/>
  <c r="C37" i="1"/>
  <c r="E37" i="1" s="1"/>
  <c r="E36" i="1"/>
  <c r="C36" i="1"/>
  <c r="F34" i="1"/>
  <c r="E35" i="1"/>
  <c r="E34" i="1"/>
  <c r="C35" i="1"/>
  <c r="C34" i="1"/>
  <c r="B69" i="1" l="1"/>
  <c r="B90" i="1" s="1"/>
  <c r="B41" i="1"/>
</calcChain>
</file>

<file path=xl/sharedStrings.xml><?xml version="1.0" encoding="utf-8"?>
<sst xmlns="http://schemas.openxmlformats.org/spreadsheetml/2006/main" count="70" uniqueCount="42">
  <si>
    <t>Oscilloscope and A.C. Circuits Worksheet</t>
  </si>
  <si>
    <t>A. Frequency Measurements</t>
  </si>
  <si>
    <t>function generator set to 100 Hz</t>
  </si>
  <si>
    <t>Period</t>
  </si>
  <si>
    <t>Frequency</t>
  </si>
  <si>
    <t>function generator set to 5000 Hz</t>
  </si>
  <si>
    <t>B. Voltage Measurements</t>
  </si>
  <si>
    <t>amplitude level set to half</t>
  </si>
  <si>
    <t>Peak</t>
  </si>
  <si>
    <t>Voltage</t>
  </si>
  <si>
    <t>amplitude level set to maximum</t>
  </si>
  <si>
    <r>
      <t xml:space="preserve">C.  RC Circuit: Determination of 4.4 </t>
    </r>
    <r>
      <rPr>
        <sz val="11"/>
        <color theme="1"/>
        <rFont val="Calibri"/>
        <family val="2"/>
      </rPr>
      <t>µ</t>
    </r>
    <r>
      <rPr>
        <sz val="9.9"/>
        <color theme="1"/>
        <rFont val="Calibri"/>
        <family val="2"/>
      </rPr>
      <t>F Capacitor</t>
    </r>
  </si>
  <si>
    <t>Degrees/Division</t>
  </si>
  <si>
    <t>φ (Degrees)</t>
  </si>
  <si>
    <t>Capacitance</t>
  </si>
  <si>
    <t>φ (# of Divisions)</t>
  </si>
  <si>
    <t>1000 Hz</t>
  </si>
  <si>
    <t>1500 Hz</t>
  </si>
  <si>
    <t>2000 Hz</t>
  </si>
  <si>
    <t>2500 Hz</t>
  </si>
  <si>
    <t>3000 Hz</t>
  </si>
  <si>
    <t>Average Capacitance</t>
  </si>
  <si>
    <r>
      <t xml:space="preserve">D.  RC Circuit: Determination of 1 </t>
    </r>
    <r>
      <rPr>
        <sz val="11"/>
        <color theme="1"/>
        <rFont val="Calibri"/>
        <family val="2"/>
      </rPr>
      <t>µ</t>
    </r>
    <r>
      <rPr>
        <sz val="9.9"/>
        <color theme="1"/>
        <rFont val="Calibri"/>
        <family val="2"/>
      </rPr>
      <t>F Capacitor</t>
    </r>
  </si>
  <si>
    <t>E.  RL Circuit: Determination of a 1 milliHenry Inductor</t>
  </si>
  <si>
    <t>Inductor Resistance</t>
  </si>
  <si>
    <r>
      <t>R</t>
    </r>
    <r>
      <rPr>
        <vertAlign val="subscript"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=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+ R =</t>
    </r>
  </si>
  <si>
    <t>Inductance</t>
  </si>
  <si>
    <t>3500 Hz</t>
  </si>
  <si>
    <t>4000 Hz</t>
  </si>
  <si>
    <t>4500 Hz</t>
  </si>
  <si>
    <t>5000 Hz</t>
  </si>
  <si>
    <t>Average Inductance</t>
  </si>
  <si>
    <t>F.  Resonance of an RLC Circuit</t>
  </si>
  <si>
    <t>Resonant Frequency</t>
  </si>
  <si>
    <t>R = 15 Ohms</t>
  </si>
  <si>
    <t>+ Frequency</t>
  </si>
  <si>
    <t>- Frequency</t>
  </si>
  <si>
    <t>R = 80 Ohms</t>
  </si>
  <si>
    <t>Frequency Range:</t>
  </si>
  <si>
    <t>Calculated Resonant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</si>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</sst>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12" borderId="1" xfId="11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10" borderId="1" xfId="9" applyFont="1" applyBorder="1" applyAlignment="1">
      <alignment horizontal="center" vertical="center"/>
    </xf>
    <xf numFmtId="0" fontId="0" fillId="11" borderId="1" xfId="10" applyFont="1" applyBorder="1" applyAlignment="1">
      <alignment horizontal="center" vertical="center"/>
    </xf>
    <xf numFmtId="0" fontId="0" fillId="12" borderId="1" xfId="11" applyFont="1" applyBorder="1" applyAlignment="1">
      <alignment horizontal="center" vertical="center"/>
    </xf>
    <xf numFmtId="0" fontId="1" fillId="6" borderId="1" xfId="5" applyBorder="1" applyAlignment="1">
      <alignment vertical="center"/>
    </xf>
    <xf numFmtId="49" fontId="1" fillId="5" borderId="1" xfId="4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12">
    <cellStyle name="20% - Accent2" xfId="2" builtinId="34"/>
    <cellStyle name="20% - Accent3" xfId="4" builtinId="38"/>
    <cellStyle name="20% - Accent4" xfId="6" builtinId="42"/>
    <cellStyle name="20% - Accent5" xfId="8" builtinId="46"/>
    <cellStyle name="20% - Accent6" xfId="10" builtinId="50"/>
    <cellStyle name="40% - Accent1" xfId="1" builtinId="31"/>
    <cellStyle name="40% - Accent2" xfId="3" builtinId="35"/>
    <cellStyle name="40% - Accent3" xfId="5" builtinId="39"/>
    <cellStyle name="40% - Accent4" xfId="7" builtinId="43"/>
    <cellStyle name="40% - Accent5" xfId="9" builtinId="47"/>
    <cellStyle name="40% - Accent6" xfId="1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44A1-83F6-4FCF-B3D4-2EBB4EAEFF77}">
  <dimension ref="A1:F90"/>
  <sheetViews>
    <sheetView tabSelected="1" topLeftCell="A87" zoomScale="90" zoomScaleNormal="90" workbookViewId="0">
      <selection activeCell="H62" sqref="H62"/>
    </sheetView>
  </sheetViews>
  <sheetFormatPr defaultRowHeight="15" x14ac:dyDescent="0.25"/>
  <cols>
    <col min="1" max="1" width="10.7109375" customWidth="1"/>
    <col min="2" max="2" width="19.7109375" customWidth="1"/>
    <col min="3" max="8" width="18.7109375" customWidth="1"/>
  </cols>
  <sheetData>
    <row r="1" spans="1:5" x14ac:dyDescent="0.25">
      <c r="A1" s="25" t="s">
        <v>0</v>
      </c>
      <c r="B1" s="25"/>
      <c r="C1" s="25"/>
      <c r="D1" s="25"/>
      <c r="E1" s="25"/>
    </row>
    <row r="3" spans="1:5" x14ac:dyDescent="0.25">
      <c r="B3" t="s">
        <v>1</v>
      </c>
      <c r="C3" s="1"/>
    </row>
    <row r="5" spans="1:5" x14ac:dyDescent="0.25">
      <c r="B5" s="26" t="s">
        <v>2</v>
      </c>
      <c r="C5" s="26"/>
      <c r="D5" s="26"/>
    </row>
    <row r="7" spans="1:5" x14ac:dyDescent="0.25">
      <c r="B7" s="3" t="s">
        <v>3</v>
      </c>
      <c r="D7" s="4" t="s">
        <v>4</v>
      </c>
    </row>
    <row r="8" spans="1:5" x14ac:dyDescent="0.25">
      <c r="B8" s="2">
        <v>0.01</v>
      </c>
      <c r="C8" t="s">
        <v>40</v>
      </c>
      <c r="D8" s="2">
        <v>100</v>
      </c>
      <c r="E8" t="s">
        <v>41</v>
      </c>
    </row>
    <row r="10" spans="1:5" x14ac:dyDescent="0.25">
      <c r="B10" s="24" t="s">
        <v>5</v>
      </c>
      <c r="C10" s="24"/>
      <c r="D10" s="24"/>
    </row>
    <row r="12" spans="1:5" x14ac:dyDescent="0.25">
      <c r="B12" s="3" t="s">
        <v>3</v>
      </c>
      <c r="D12" s="4" t="s">
        <v>4</v>
      </c>
    </row>
    <row r="13" spans="1:5" x14ac:dyDescent="0.25">
      <c r="B13" s="2">
        <v>2.0000000000000001E-4</v>
      </c>
      <c r="C13" t="s">
        <v>40</v>
      </c>
      <c r="D13" s="2">
        <v>5005</v>
      </c>
      <c r="E13" t="s">
        <v>41</v>
      </c>
    </row>
    <row r="16" spans="1:5" x14ac:dyDescent="0.25">
      <c r="B16" t="s">
        <v>6</v>
      </c>
      <c r="C16" s="1"/>
    </row>
    <row r="18" spans="2:4" x14ac:dyDescent="0.25">
      <c r="B18" s="24" t="s">
        <v>7</v>
      </c>
      <c r="C18" s="24"/>
      <c r="D18" s="24"/>
    </row>
    <row r="20" spans="2:4" x14ac:dyDescent="0.25">
      <c r="B20" s="5" t="s">
        <v>8</v>
      </c>
    </row>
    <row r="21" spans="2:4" x14ac:dyDescent="0.25">
      <c r="B21" s="6" t="s">
        <v>9</v>
      </c>
    </row>
    <row r="22" spans="2:4" x14ac:dyDescent="0.25">
      <c r="B22" s="7">
        <v>71</v>
      </c>
    </row>
    <row r="24" spans="2:4" x14ac:dyDescent="0.25">
      <c r="B24" s="24" t="s">
        <v>10</v>
      </c>
      <c r="C24" s="24"/>
      <c r="D24" s="24"/>
    </row>
    <row r="26" spans="2:4" x14ac:dyDescent="0.25">
      <c r="B26" s="5" t="s">
        <v>8</v>
      </c>
    </row>
    <row r="27" spans="2:4" x14ac:dyDescent="0.25">
      <c r="B27" s="6" t="s">
        <v>9</v>
      </c>
    </row>
    <row r="28" spans="2:4" x14ac:dyDescent="0.25">
      <c r="B28" s="7">
        <v>110</v>
      </c>
    </row>
    <row r="31" spans="2:4" x14ac:dyDescent="0.25">
      <c r="B31" t="s">
        <v>11</v>
      </c>
      <c r="C31" s="1"/>
      <c r="D31" s="1"/>
    </row>
    <row r="33" spans="2:6" x14ac:dyDescent="0.25">
      <c r="B33" s="8" t="s">
        <v>4</v>
      </c>
      <c r="C33" s="9" t="s">
        <v>12</v>
      </c>
      <c r="D33" s="10" t="s">
        <v>15</v>
      </c>
      <c r="E33" s="11" t="s">
        <v>13</v>
      </c>
      <c r="F33" s="12" t="s">
        <v>14</v>
      </c>
    </row>
    <row r="34" spans="2:6" x14ac:dyDescent="0.25">
      <c r="B34" s="7" t="s">
        <v>16</v>
      </c>
      <c r="C34" s="7">
        <f>360/4</f>
        <v>90</v>
      </c>
      <c r="D34" s="7">
        <v>0.5</v>
      </c>
      <c r="E34" s="7">
        <f>(C34*D34)</f>
        <v>45</v>
      </c>
      <c r="F34" s="7">
        <f>-1/(2*PI()*1000*25*TAN(RADIANS(-E34)))</f>
        <v>6.366197723675815E-6</v>
      </c>
    </row>
    <row r="35" spans="2:6" x14ac:dyDescent="0.25">
      <c r="B35" s="7" t="s">
        <v>17</v>
      </c>
      <c r="C35" s="7">
        <f>360/2.65</f>
        <v>135.84905660377359</v>
      </c>
      <c r="D35" s="7">
        <v>0.25</v>
      </c>
      <c r="E35" s="7">
        <f>(C35*D35)</f>
        <v>33.962264150943398</v>
      </c>
      <c r="F35" s="7">
        <f>-1/(2*PI()*1500*25*TAN(RADIANS(-E35)))</f>
        <v>6.3011320807475091E-6</v>
      </c>
    </row>
    <row r="36" spans="2:6" x14ac:dyDescent="0.25">
      <c r="B36" s="7" t="s">
        <v>18</v>
      </c>
      <c r="C36" s="7">
        <f>360/2</f>
        <v>180</v>
      </c>
      <c r="D36" s="7">
        <v>0.15</v>
      </c>
      <c r="E36" s="7">
        <f t="shared" ref="E36:E38" si="0">(C36*D36)</f>
        <v>27</v>
      </c>
      <c r="F36" s="7">
        <f>-1/(2*PI()*2000*25*TAN(RADIANS(-E36)))</f>
        <v>6.2471832663045644E-6</v>
      </c>
    </row>
    <row r="37" spans="2:6" x14ac:dyDescent="0.25">
      <c r="B37" s="7" t="s">
        <v>19</v>
      </c>
      <c r="C37" s="7">
        <f>360/1.6</f>
        <v>225</v>
      </c>
      <c r="D37" s="7">
        <v>0.1</v>
      </c>
      <c r="E37" s="7">
        <f t="shared" si="0"/>
        <v>22.5</v>
      </c>
      <c r="F37" s="7">
        <f>-1/(2*PI()*2500*25*TAN(RADIANS(-E37)))</f>
        <v>6.1477443540987498E-6</v>
      </c>
    </row>
    <row r="38" spans="2:6" x14ac:dyDescent="0.25">
      <c r="B38" s="7" t="s">
        <v>20</v>
      </c>
      <c r="C38" s="7">
        <f>360/1.3</f>
        <v>276.92307692307691</v>
      </c>
      <c r="D38" s="7">
        <v>0.05</v>
      </c>
      <c r="E38" s="7">
        <f t="shared" si="0"/>
        <v>13.846153846153847</v>
      </c>
      <c r="F38" s="7">
        <f>-1/(2*PI()*3000*25*TAN(RADIANS(-E38)))</f>
        <v>8.6095598273530372E-6</v>
      </c>
    </row>
    <row r="40" spans="2:6" x14ac:dyDescent="0.25">
      <c r="B40" s="3" t="s">
        <v>21</v>
      </c>
    </row>
    <row r="41" spans="2:6" x14ac:dyDescent="0.25">
      <c r="B41" s="2">
        <f>AVERAGE(F34:F38)</f>
        <v>6.7343634504359353E-6</v>
      </c>
    </row>
    <row r="44" spans="2:6" x14ac:dyDescent="0.25">
      <c r="B44" s="24" t="s">
        <v>22</v>
      </c>
      <c r="C44" s="24"/>
      <c r="D44" s="24"/>
    </row>
    <row r="46" spans="2:6" x14ac:dyDescent="0.25">
      <c r="B46" s="8" t="s">
        <v>4</v>
      </c>
      <c r="C46" s="9" t="s">
        <v>12</v>
      </c>
      <c r="D46" s="10" t="s">
        <v>15</v>
      </c>
      <c r="E46" s="11" t="s">
        <v>13</v>
      </c>
      <c r="F46" s="12" t="s">
        <v>14</v>
      </c>
    </row>
    <row r="47" spans="2:6" x14ac:dyDescent="0.25">
      <c r="B47" s="7" t="s">
        <v>16</v>
      </c>
      <c r="C47" s="7">
        <f>360/4</f>
        <v>90</v>
      </c>
      <c r="D47" s="7">
        <v>0.6</v>
      </c>
      <c r="E47" s="7">
        <f>(C47*D47)</f>
        <v>54</v>
      </c>
      <c r="F47" s="7">
        <f>-1/(2*PI()*1000*100*TAN(RADIANS(-E47)))</f>
        <v>1.15632834698535E-6</v>
      </c>
    </row>
    <row r="48" spans="2:6" x14ac:dyDescent="0.25">
      <c r="B48" s="7" t="s">
        <v>17</v>
      </c>
      <c r="C48" s="7">
        <f>360/2.7</f>
        <v>133.33333333333331</v>
      </c>
      <c r="D48" s="7">
        <v>0.3</v>
      </c>
      <c r="E48" s="7">
        <f t="shared" ref="E48:E51" si="1">(C48*D48)</f>
        <v>39.999999999999993</v>
      </c>
      <c r="F48" s="7">
        <f>-1/(2*PI()*1500*100*TAN(RADIANS(-E48)))</f>
        <v>1.2644898347259558E-6</v>
      </c>
    </row>
    <row r="49" spans="2:6" x14ac:dyDescent="0.25">
      <c r="B49" s="7" t="s">
        <v>18</v>
      </c>
      <c r="C49" s="7">
        <f>360/2</f>
        <v>180</v>
      </c>
      <c r="D49" s="7">
        <v>0.15</v>
      </c>
      <c r="E49" s="7">
        <f t="shared" si="1"/>
        <v>27</v>
      </c>
      <c r="F49" s="7">
        <f>-1/(2*PI()*2000*100*TAN(RADIANS(-E49)))</f>
        <v>1.5617958165761411E-6</v>
      </c>
    </row>
    <row r="50" spans="2:6" x14ac:dyDescent="0.25">
      <c r="B50" s="7" t="s">
        <v>19</v>
      </c>
      <c r="C50" s="7">
        <f>360/4</f>
        <v>90</v>
      </c>
      <c r="D50" s="7">
        <v>0.3</v>
      </c>
      <c r="E50" s="7">
        <f t="shared" si="1"/>
        <v>27</v>
      </c>
      <c r="F50" s="7">
        <f>-1/(2*PI()*2500*100*TAN(RADIANS(-E50)))</f>
        <v>1.2494366532609128E-6</v>
      </c>
    </row>
    <row r="51" spans="2:6" x14ac:dyDescent="0.25">
      <c r="B51" s="7" t="s">
        <v>20</v>
      </c>
      <c r="C51" s="7">
        <f>360/3.3</f>
        <v>109.09090909090909</v>
      </c>
      <c r="D51" s="7">
        <v>0.2</v>
      </c>
      <c r="E51" s="7">
        <f t="shared" si="1"/>
        <v>21.81818181818182</v>
      </c>
      <c r="F51" s="7">
        <f>-1/(2*PI()*3000*100*TAN(RADIANS(-E51)))</f>
        <v>1.3251660953575059E-6</v>
      </c>
    </row>
    <row r="53" spans="2:6" x14ac:dyDescent="0.25">
      <c r="B53" s="3" t="s">
        <v>21</v>
      </c>
    </row>
    <row r="54" spans="2:6" x14ac:dyDescent="0.25">
      <c r="B54" s="2">
        <f>AVERAGE(F47:F51)</f>
        <v>1.3114433493811729E-6</v>
      </c>
    </row>
    <row r="57" spans="2:6" x14ac:dyDescent="0.25">
      <c r="B57" s="24" t="s">
        <v>23</v>
      </c>
      <c r="C57" s="24"/>
      <c r="D57" s="24"/>
      <c r="E57" s="14" t="s">
        <v>24</v>
      </c>
      <c r="F57" s="7">
        <v>8.3000000000000007</v>
      </c>
    </row>
    <row r="59" spans="2:6" ht="18" x14ac:dyDescent="0.25">
      <c r="E59" s="15" t="s">
        <v>25</v>
      </c>
      <c r="F59" s="7">
        <f>25+8.3</f>
        <v>33.299999999999997</v>
      </c>
    </row>
    <row r="61" spans="2:6" x14ac:dyDescent="0.25">
      <c r="B61" s="8" t="s">
        <v>4</v>
      </c>
      <c r="C61" s="9" t="s">
        <v>12</v>
      </c>
      <c r="D61" s="10" t="s">
        <v>15</v>
      </c>
      <c r="E61" s="11" t="s">
        <v>13</v>
      </c>
      <c r="F61" s="16" t="s">
        <v>26</v>
      </c>
    </row>
    <row r="62" spans="2:6" x14ac:dyDescent="0.25">
      <c r="B62" s="7" t="s">
        <v>20</v>
      </c>
      <c r="C62" s="7">
        <f>360/3.4</f>
        <v>105.88235294117648</v>
      </c>
      <c r="D62" s="7">
        <v>-0.25</v>
      </c>
      <c r="E62" s="7">
        <f>C62*D62</f>
        <v>-26.47058823529412</v>
      </c>
      <c r="F62" s="7">
        <f>($F$59*TAN(RADIANS(-E62)))/(2*PI()*3000)</f>
        <v>8.7967217042058082E-4</v>
      </c>
    </row>
    <row r="63" spans="2:6" x14ac:dyDescent="0.25">
      <c r="B63" s="7" t="s">
        <v>27</v>
      </c>
      <c r="C63" s="7">
        <f>360/2.9</f>
        <v>124.13793103448276</v>
      </c>
      <c r="D63" s="7">
        <v>-0.2</v>
      </c>
      <c r="E63" s="7">
        <f t="shared" ref="E63:E66" si="2">C63*D63</f>
        <v>-24.827586206896555</v>
      </c>
      <c r="F63" s="7">
        <f>($F$59*TAN(RADIANS(-E63)))/(2*PI()*3500)</f>
        <v>7.0056461572213613E-4</v>
      </c>
    </row>
    <row r="64" spans="2:6" x14ac:dyDescent="0.25">
      <c r="B64" s="7" t="s">
        <v>28</v>
      </c>
      <c r="C64" s="7">
        <f>360/2.5</f>
        <v>144</v>
      </c>
      <c r="D64" s="7">
        <v>-0.2</v>
      </c>
      <c r="E64" s="7">
        <f t="shared" si="2"/>
        <v>-28.8</v>
      </c>
      <c r="F64" s="7">
        <f>($F$59*TAN(RADIANS(-E64)))/(2*PI()*4000)</f>
        <v>7.2840561844883999E-4</v>
      </c>
    </row>
    <row r="65" spans="2:6" x14ac:dyDescent="0.25">
      <c r="B65" s="7" t="s">
        <v>29</v>
      </c>
      <c r="C65" s="7">
        <f>360/4.4</f>
        <v>81.818181818181813</v>
      </c>
      <c r="D65" s="7">
        <v>-0.5</v>
      </c>
      <c r="E65" s="7">
        <f t="shared" si="2"/>
        <v>-40.909090909090907</v>
      </c>
      <c r="F65" s="7">
        <f>($F$59*TAN(RADIANS(-E65)))/(2*PI()*4500)</f>
        <v>1.0205232198852593E-3</v>
      </c>
    </row>
    <row r="66" spans="2:6" x14ac:dyDescent="0.25">
      <c r="B66" s="7" t="s">
        <v>30</v>
      </c>
      <c r="C66" s="7">
        <f>360/4.1</f>
        <v>87.804878048780495</v>
      </c>
      <c r="D66" s="7">
        <v>-0.5</v>
      </c>
      <c r="E66" s="7">
        <f t="shared" si="2"/>
        <v>-43.902439024390247</v>
      </c>
      <c r="F66" s="7">
        <f>($F$59*TAN(RADIANS(-E66)))/(2*PI()*5000)</f>
        <v>1.0201206826707546E-3</v>
      </c>
    </row>
    <row r="68" spans="2:6" x14ac:dyDescent="0.25">
      <c r="B68" s="17" t="s">
        <v>31</v>
      </c>
    </row>
    <row r="69" spans="2:6" x14ac:dyDescent="0.25">
      <c r="B69" s="2">
        <f>AVERAGE(F62:F66)</f>
        <v>8.6985726142951403E-4</v>
      </c>
    </row>
    <row r="72" spans="2:6" x14ac:dyDescent="0.25">
      <c r="B72" s="24" t="s">
        <v>32</v>
      </c>
      <c r="C72" s="24"/>
    </row>
    <row r="74" spans="2:6" x14ac:dyDescent="0.25">
      <c r="B74" t="s">
        <v>34</v>
      </c>
    </row>
    <row r="75" spans="2:6" x14ac:dyDescent="0.25">
      <c r="B75" s="18" t="s">
        <v>33</v>
      </c>
      <c r="D75" s="19" t="s">
        <v>35</v>
      </c>
      <c r="E75" s="19" t="s">
        <v>36</v>
      </c>
    </row>
    <row r="76" spans="2:6" x14ac:dyDescent="0.25">
      <c r="B76" s="13">
        <v>4904</v>
      </c>
      <c r="D76" s="7">
        <v>200</v>
      </c>
      <c r="E76" s="7">
        <v>-200</v>
      </c>
    </row>
    <row r="77" spans="2:6" x14ac:dyDescent="0.25">
      <c r="B77" s="20"/>
      <c r="D77" s="21"/>
      <c r="E77" s="21"/>
    </row>
    <row r="78" spans="2:6" x14ac:dyDescent="0.25">
      <c r="B78" s="20"/>
      <c r="C78" s="14" t="s">
        <v>38</v>
      </c>
      <c r="D78" s="2">
        <v>5104</v>
      </c>
      <c r="E78" s="7">
        <v>4704</v>
      </c>
    </row>
    <row r="81" spans="2:5" x14ac:dyDescent="0.25">
      <c r="B81" t="s">
        <v>37</v>
      </c>
    </row>
    <row r="82" spans="2:5" x14ac:dyDescent="0.25">
      <c r="B82" s="18" t="s">
        <v>33</v>
      </c>
      <c r="D82" s="19" t="s">
        <v>35</v>
      </c>
      <c r="E82" s="19" t="s">
        <v>36</v>
      </c>
    </row>
    <row r="83" spans="2:5" x14ac:dyDescent="0.25">
      <c r="B83" s="13">
        <v>4870</v>
      </c>
      <c r="D83" s="7">
        <v>200</v>
      </c>
      <c r="E83" s="7">
        <v>-200</v>
      </c>
    </row>
    <row r="85" spans="2:5" x14ac:dyDescent="0.25">
      <c r="C85" s="14" t="s">
        <v>38</v>
      </c>
      <c r="D85" s="2">
        <v>5070</v>
      </c>
      <c r="E85" s="7">
        <v>4670</v>
      </c>
    </row>
    <row r="88" spans="2:5" x14ac:dyDescent="0.25">
      <c r="B88" s="22" t="s">
        <v>39</v>
      </c>
    </row>
    <row r="89" spans="2:5" x14ac:dyDescent="0.25">
      <c r="B89" s="23" t="s">
        <v>4</v>
      </c>
    </row>
    <row r="90" spans="2:5" x14ac:dyDescent="0.25">
      <c r="B90" s="7">
        <f>1/(2*PI()*SQRT(B54*B69))</f>
        <v>4712.1745297665411</v>
      </c>
    </row>
  </sheetData>
  <mergeCells count="8">
    <mergeCell ref="B72:C72"/>
    <mergeCell ref="B18:D18"/>
    <mergeCell ref="B24:D24"/>
    <mergeCell ref="A1:E1"/>
    <mergeCell ref="B5:D5"/>
    <mergeCell ref="B10:D10"/>
    <mergeCell ref="B44:D44"/>
    <mergeCell ref="B57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2022-08-16T19:51:15Z</dcterms:created>
  <dcterms:modified xsi:type="dcterms:W3CDTF">2023-11-03T01:13:27Z</dcterms:modified>
</cp:coreProperties>
</file>