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Desktop\"/>
    </mc:Choice>
  </mc:AlternateContent>
  <xr:revisionPtr revIDLastSave="0" documentId="13_ncr:1_{81507815-13EF-4FA9-8BAF-D47FAC66DD7E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学生中考成绩" sheetId="1" r:id="rId1"/>
    <sheet name="学生基本情况" sheetId="2" r:id="rId2"/>
    <sheet name="成绩情况统计" sheetId="3" r:id="rId3"/>
    <sheet name="班级编号对照表" sheetId="4" r:id="rId4"/>
  </sheets>
  <definedNames>
    <definedName name="语文">学生中考成绩!$C$2:$C$19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 a="1"/>
  <c r="B8" i="3" s="1"/>
  <c r="B7" i="3" a="1"/>
  <c r="B7" i="3" s="1"/>
  <c r="B5" i="3"/>
  <c r="B6" i="3"/>
  <c r="B4" i="3"/>
  <c r="B3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  <c r="G22" i="1"/>
  <c r="H22" i="1"/>
  <c r="I22" i="1"/>
  <c r="F22" i="1"/>
  <c r="E22" i="1"/>
  <c r="D22" i="1"/>
  <c r="D21" i="1"/>
  <c r="E21" i="1"/>
  <c r="F21" i="1"/>
  <c r="G21" i="1"/>
  <c r="H21" i="1"/>
  <c r="I21" i="1"/>
  <c r="C22" i="1"/>
  <c r="C21" i="1"/>
  <c r="E20" i="1"/>
  <c r="F20" i="1"/>
  <c r="G20" i="1"/>
  <c r="H20" i="1"/>
  <c r="I20" i="1"/>
  <c r="D20" i="1"/>
  <c r="C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K21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J21" i="1" s="1"/>
  <c r="K20" i="1" l="1"/>
  <c r="J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<sst xmlns="http://schemas.openxmlformats.org/spreadsheetml/2006/main" count="95" uniqueCount="76">
  <si>
    <t>学号</t>
  </si>
  <si>
    <t>姓名</t>
  </si>
  <si>
    <t>语文</t>
  </si>
  <si>
    <t>数学</t>
  </si>
  <si>
    <t>英语</t>
  </si>
  <si>
    <t>生物</t>
  </si>
  <si>
    <t>地理</t>
  </si>
  <si>
    <t>历史</t>
  </si>
  <si>
    <t>政治</t>
  </si>
  <si>
    <t>最高分</t>
    <phoneticPr fontId="1" type="noConversion"/>
  </si>
  <si>
    <t>最低分</t>
    <phoneticPr fontId="1" type="noConversion"/>
  </si>
  <si>
    <t>身份证号</t>
  </si>
  <si>
    <t>出生日期</t>
    <phoneticPr fontId="1" type="noConversion"/>
  </si>
  <si>
    <t>性别</t>
    <phoneticPr fontId="1" type="noConversion"/>
  </si>
  <si>
    <t>年龄</t>
    <phoneticPr fontId="1" type="noConversion"/>
  </si>
  <si>
    <t>总分</t>
    <phoneticPr fontId="1" type="noConversion"/>
  </si>
  <si>
    <t>名次</t>
    <phoneticPr fontId="1" type="noConversion"/>
  </si>
  <si>
    <t>奖学金</t>
    <phoneticPr fontId="1" type="noConversion"/>
  </si>
  <si>
    <t>班级</t>
    <phoneticPr fontId="1" type="noConversion"/>
  </si>
  <si>
    <t>李杰</t>
  </si>
  <si>
    <t>阎嘉璐</t>
  </si>
  <si>
    <t>章哲红</t>
  </si>
  <si>
    <t>宗荔</t>
  </si>
  <si>
    <t>杭宏</t>
  </si>
  <si>
    <t>于宝茜</t>
  </si>
  <si>
    <t>井柏全</t>
  </si>
  <si>
    <t>胡沈芳</t>
  </si>
  <si>
    <t>李琳</t>
  </si>
  <si>
    <t>刘汉</t>
  </si>
  <si>
    <t>雷云国</t>
  </si>
  <si>
    <t>江流</t>
  </si>
  <si>
    <t>汤穆</t>
  </si>
  <si>
    <t>李志</t>
  </si>
  <si>
    <t>张毅</t>
  </si>
  <si>
    <t>赵萍</t>
  </si>
  <si>
    <t>优秀人数</t>
    <phoneticPr fontId="1" type="noConversion"/>
  </si>
  <si>
    <t>班级编号</t>
    <phoneticPr fontId="1" type="noConversion"/>
  </si>
  <si>
    <t>班级名称</t>
    <phoneticPr fontId="1" type="noConversion"/>
  </si>
  <si>
    <t>01</t>
    <phoneticPr fontId="1" type="noConversion"/>
  </si>
  <si>
    <t>华罗庚班</t>
    <phoneticPr fontId="1" type="noConversion"/>
  </si>
  <si>
    <t>02</t>
    <phoneticPr fontId="1" type="noConversion"/>
  </si>
  <si>
    <t>周有光班</t>
    <phoneticPr fontId="1" type="noConversion"/>
  </si>
  <si>
    <t>03</t>
    <phoneticPr fontId="1" type="noConversion"/>
  </si>
  <si>
    <t>钱学森班</t>
    <phoneticPr fontId="1" type="noConversion"/>
  </si>
  <si>
    <t>统计项目</t>
  </si>
  <si>
    <t>总分介于650-700之间的人数</t>
  </si>
  <si>
    <t>华罗庚班的总成绩的平均值</t>
  </si>
  <si>
    <t>周有光班的女生总成绩之和</t>
  </si>
  <si>
    <t>"03"号班级的语文总分</t>
    <phoneticPr fontId="1" type="noConversion"/>
  </si>
  <si>
    <t>“03”号班级“李”姓同学的数学总分</t>
    <phoneticPr fontId="1" type="noConversion"/>
  </si>
  <si>
    <t>萧宇航</t>
  </si>
  <si>
    <t>李云梦</t>
  </si>
  <si>
    <t>萧宇航</t>
    <phoneticPr fontId="1" type="noConversion"/>
  </si>
  <si>
    <t>李云梦</t>
    <phoneticPr fontId="1" type="noConversion"/>
  </si>
  <si>
    <t>342222200032017870</t>
    <phoneticPr fontId="1" type="noConversion"/>
  </si>
  <si>
    <t>530102200205293520</t>
    <phoneticPr fontId="1" type="noConversion"/>
  </si>
  <si>
    <t>342222200402017870</t>
    <phoneticPr fontId="1" type="noConversion"/>
  </si>
  <si>
    <t>650102200405303520</t>
    <phoneticPr fontId="1" type="noConversion"/>
  </si>
  <si>
    <t>512323200301160018</t>
    <phoneticPr fontId="1" type="noConversion"/>
  </si>
  <si>
    <t>110102200405293520</t>
    <phoneticPr fontId="1" type="noConversion"/>
  </si>
  <si>
    <t>512323200404150018</t>
    <phoneticPr fontId="1" type="noConversion"/>
  </si>
  <si>
    <t>342222200312017870</t>
    <phoneticPr fontId="1" type="noConversion"/>
  </si>
  <si>
    <t>650102200402213520</t>
    <phoneticPr fontId="1" type="noConversion"/>
  </si>
  <si>
    <t>512323200041160018</t>
    <phoneticPr fontId="1" type="noConversion"/>
  </si>
  <si>
    <t>342222200311117870</t>
    <phoneticPr fontId="1" type="noConversion"/>
  </si>
  <si>
    <t>650102200405293520</t>
    <phoneticPr fontId="1" type="noConversion"/>
  </si>
  <si>
    <t>512323200409160018</t>
    <phoneticPr fontId="1" type="noConversion"/>
  </si>
  <si>
    <t>342222200310017870</t>
    <phoneticPr fontId="1" type="noConversion"/>
  </si>
  <si>
    <t>650102200406293520</t>
    <phoneticPr fontId="1" type="noConversion"/>
  </si>
  <si>
    <t>320423200410060018</t>
    <phoneticPr fontId="1" type="noConversion"/>
  </si>
  <si>
    <t>512323200501160018</t>
    <phoneticPr fontId="1" type="noConversion"/>
  </si>
  <si>
    <t>2004年出生的男生的总成绩的平均值</t>
    <phoneticPr fontId="1" type="noConversion"/>
  </si>
  <si>
    <t>总成绩</t>
    <phoneticPr fontId="1" type="noConversion"/>
  </si>
  <si>
    <t>平均成绩</t>
    <phoneticPr fontId="1" type="noConversion"/>
  </si>
  <si>
    <t>统计报告</t>
    <phoneticPr fontId="1" type="noConversion"/>
  </si>
  <si>
    <t>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</si>
</sst>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1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1" formatCode="0"/>
    </dxf>
    <dxf>
      <numFmt numFmtId="19" formatCode="yyyy/m/d"/>
    </dxf>
    <dxf>
      <numFmt numFmtId="30" formatCode="@"/>
    </dxf>
    <dxf>
      <numFmt numFmtId="30" formatCode="@"/>
    </dxf>
    <dxf>
      <numFmt numFmtId="1" formatCode="0"/>
      <protection locked="1" hidden="0"/>
    </dxf>
    <dxf>
      <numFmt numFmtId="1" formatCode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88CEF-2096-40F5-B539-100FD686A2D5}" name="表1" displayName="表1" ref="A1:K22" totalsRowShown="0">
  <tableColumns count="11">
    <tableColumn id="1" xr3:uid="{701A4110-6594-4789-BBD7-1660AE9325EA}" name="学号"/>
    <tableColumn id="2" xr3:uid="{7E243C8C-C5D8-4ADB-8EB8-11478BAA37BE}" name="姓名"/>
    <tableColumn id="3" xr3:uid="{DDE0B866-05FF-4867-94FC-E926A49FF88B}" name="语文"/>
    <tableColumn id="4" xr3:uid="{44B0777A-4D16-4440-867A-9611A76CF095}" name="数学"/>
    <tableColumn id="5" xr3:uid="{03E39FB4-3995-4D56-AA17-0C1571DE7AF3}" name="英语"/>
    <tableColumn id="6" xr3:uid="{321C35A3-2E74-4413-A2FC-20C727E7E42E}" name="生物"/>
    <tableColumn id="7" xr3:uid="{ACF3FA84-F693-4D8D-B4F9-DD405E1A80D8}" name="地理"/>
    <tableColumn id="8" xr3:uid="{C42B7090-040D-4901-A1AC-92B6BB1EF424}" name="历史"/>
    <tableColumn id="9" xr3:uid="{57172B81-761E-4B01-B0BE-3EE09C0E7BFA}" name="政治"/>
    <tableColumn id="10" xr3:uid="{CAEECD10-F319-463D-B975-A43DA66568D4}" name="总成绩" dataDxfId="10"/>
    <tableColumn id="11" xr3:uid="{0C0F310A-D49C-4739-A5A3-C38678E0F13B}" name="平均成绩" dataDxfId="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C9B39B-9CCA-4B9A-ADED-5C18A05A0F62}" name="表3" displayName="表3" ref="A1:J19" totalsRowShown="0">
  <tableColumns count="10">
    <tableColumn id="1" xr3:uid="{5A4F8435-B944-47F0-805E-6E9D6D440992}" name="学号" dataDxfId="8"/>
    <tableColumn id="2" xr3:uid="{FCAAB1D1-2036-4924-B3D5-07223E5CAE1D}" name="姓名"/>
    <tableColumn id="3" xr3:uid="{7EA603C1-CA01-452F-91DE-A007483E0B83}" name="身份证号" dataDxfId="7"/>
    <tableColumn id="4" xr3:uid="{25D3C468-2F0E-4269-ACE2-B33785927950}" name="班级">
      <calculatedColumnFormula>VLOOKUP(MID(A2,3,2),班级编号对照表!$A$2:$B$4,2,FALSE)</calculatedColumnFormula>
    </tableColumn>
    <tableColumn id="5" xr3:uid="{745065D7-5861-433E-AC8A-9E2A6A70D253}" name="出生日期" dataDxfId="6">
      <calculatedColumnFormula>DATE(MID(C2,7,4),MID(C2,11,2),MID(C2,13,2))</calculatedColumnFormula>
    </tableColumn>
    <tableColumn id="6" xr3:uid="{71144656-67D6-4177-A327-FFC3ECD68A28}" name="性别">
      <calculatedColumnFormula>IF(MOD(MID(C2,17,1),2)=0,"女","男")</calculatedColumnFormula>
    </tableColumn>
    <tableColumn id="7" xr3:uid="{08EDE87A-BBC6-4F4A-97D1-66D27CAFB759}" name="年龄">
      <calculatedColumnFormula>DATEDIF(E2,TODAY(),"Y")</calculatedColumnFormula>
    </tableColumn>
    <tableColumn id="8" xr3:uid="{A03E51B4-6738-4975-9FC6-46B4957F9458}" name="总分" dataDxfId="5">
      <calculatedColumnFormula>表1[[#This Row],[总成绩]]</calculatedColumnFormula>
    </tableColumn>
    <tableColumn id="9" xr3:uid="{067C2BD4-E991-4952-B33F-FE1018D8EB6F}" name="名次">
      <calculatedColumnFormula>_xlfn.RANK.EQ(H2,$H$2:$H$19,0)</calculatedColumnFormula>
    </tableColumn>
    <tableColumn id="10" xr3:uid="{84127B9E-CDF3-4657-8BAB-06A2DC1883BD}" name="奖学金" dataDxfId="4">
      <calculatedColumnFormula>IF(I2&lt;=1,"一等奖",IF(I2&lt;=3,"二等奖","无"))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1A1FC-8A4B-4C46-BA5B-D775770894E6}" name="表2" displayName="表2" ref="A2:B8" totalsRowShown="0" headerRowDxfId="3" dataDxfId="2">
  <autoFilter ref="A2:B8" xr:uid="{C271A1FC-8A4B-4C46-BA5B-D775770894E6}"/>
  <tableColumns count="2">
    <tableColumn id="1" xr3:uid="{E52202CC-F04D-4D30-88DE-904B110ACDE1}" name="统计项目" dataDxfId="1"/>
    <tableColumn id="2" xr3:uid="{BE3E8DF1-0308-4058-AB4D-5EB8437785D7}" name="结果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5" sqref="K15"/>
    </sheetView>
  </sheetViews>
  <sheetFormatPr defaultRowHeight="14" x14ac:dyDescent="0.25"/>
  <cols>
    <col min="10" max="10" width="8.81640625" customWidth="1"/>
    <col min="11" max="11" width="10.81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  <c r="K1" t="s">
        <v>73</v>
      </c>
    </row>
    <row r="2" spans="1:11" x14ac:dyDescent="0.25">
      <c r="A2" s="1">
        <v>210305</v>
      </c>
      <c r="B2" t="s">
        <v>50</v>
      </c>
      <c r="C2" s="4">
        <v>91</v>
      </c>
      <c r="D2" s="4">
        <v>89</v>
      </c>
      <c r="E2" s="4">
        <v>94</v>
      </c>
      <c r="F2" s="4">
        <v>92</v>
      </c>
      <c r="G2" s="4">
        <v>91</v>
      </c>
      <c r="H2" s="4">
        <v>86</v>
      </c>
      <c r="I2" s="4">
        <v>86</v>
      </c>
      <c r="J2" s="3">
        <f>SUM(C2:I2)</f>
        <v>629</v>
      </c>
      <c r="K2" s="3">
        <f>AVERAGE(C2:I2)</f>
        <v>89.857142857142861</v>
      </c>
    </row>
    <row r="3" spans="1:11" x14ac:dyDescent="0.25">
      <c r="A3" s="1">
        <v>210203</v>
      </c>
      <c r="B3" t="s">
        <v>19</v>
      </c>
      <c r="C3" s="4">
        <v>93</v>
      </c>
      <c r="D3" s="4">
        <v>99</v>
      </c>
      <c r="E3" s="4">
        <v>92</v>
      </c>
      <c r="F3" s="4">
        <v>86</v>
      </c>
      <c r="G3" s="4">
        <v>86</v>
      </c>
      <c r="H3" s="4">
        <v>73</v>
      </c>
      <c r="I3" s="4">
        <v>92</v>
      </c>
      <c r="J3" s="3">
        <f t="shared" ref="J3:J19" si="0">SUM(C3:I3)</f>
        <v>621</v>
      </c>
      <c r="K3" s="3">
        <f t="shared" ref="K3:K19" si="1">AVERAGE(C3:I3)</f>
        <v>88.714285714285708</v>
      </c>
    </row>
    <row r="4" spans="1:11" x14ac:dyDescent="0.25">
      <c r="A4" s="1">
        <v>210104</v>
      </c>
      <c r="B4" t="s">
        <v>20</v>
      </c>
      <c r="C4" s="4">
        <v>102</v>
      </c>
      <c r="D4" s="4">
        <v>116</v>
      </c>
      <c r="E4" s="4">
        <v>113</v>
      </c>
      <c r="F4" s="4">
        <v>78</v>
      </c>
      <c r="G4" s="4">
        <v>88</v>
      </c>
      <c r="H4" s="4">
        <v>86</v>
      </c>
      <c r="I4" s="4">
        <v>73</v>
      </c>
      <c r="J4" s="3">
        <f t="shared" si="0"/>
        <v>656</v>
      </c>
      <c r="K4" s="3">
        <f t="shared" si="1"/>
        <v>93.714285714285708</v>
      </c>
    </row>
    <row r="5" spans="1:11" x14ac:dyDescent="0.25">
      <c r="A5" s="1">
        <v>210301</v>
      </c>
      <c r="B5" t="s">
        <v>21</v>
      </c>
      <c r="C5" s="4">
        <v>99</v>
      </c>
      <c r="D5" s="4">
        <v>98</v>
      </c>
      <c r="E5" s="4">
        <v>101</v>
      </c>
      <c r="F5" s="4">
        <v>95</v>
      </c>
      <c r="G5" s="4">
        <v>91</v>
      </c>
      <c r="H5" s="4">
        <v>95</v>
      </c>
      <c r="I5" s="4">
        <v>78</v>
      </c>
      <c r="J5" s="3">
        <f t="shared" si="0"/>
        <v>657</v>
      </c>
      <c r="K5" s="3">
        <f t="shared" si="1"/>
        <v>93.857142857142861</v>
      </c>
    </row>
    <row r="6" spans="1:11" x14ac:dyDescent="0.25">
      <c r="A6" s="1">
        <v>210306</v>
      </c>
      <c r="B6" t="s">
        <v>22</v>
      </c>
      <c r="C6" s="4">
        <v>101</v>
      </c>
      <c r="D6" s="4">
        <v>94</v>
      </c>
      <c r="E6" s="4">
        <v>99</v>
      </c>
      <c r="F6" s="4">
        <v>90</v>
      </c>
      <c r="G6" s="4">
        <v>87</v>
      </c>
      <c r="H6" s="4">
        <v>95</v>
      </c>
      <c r="I6" s="4">
        <v>93</v>
      </c>
      <c r="J6" s="3">
        <f t="shared" si="0"/>
        <v>659</v>
      </c>
      <c r="K6" s="3">
        <f t="shared" si="1"/>
        <v>94.142857142857139</v>
      </c>
    </row>
    <row r="7" spans="1:11" x14ac:dyDescent="0.25">
      <c r="A7" s="1">
        <v>210206</v>
      </c>
      <c r="B7" t="s">
        <v>23</v>
      </c>
      <c r="C7" s="4">
        <v>100.5</v>
      </c>
      <c r="D7" s="4">
        <v>103</v>
      </c>
      <c r="E7" s="4">
        <v>104</v>
      </c>
      <c r="F7" s="4">
        <v>88</v>
      </c>
      <c r="G7" s="4">
        <v>89</v>
      </c>
      <c r="H7" s="4">
        <v>78</v>
      </c>
      <c r="I7" s="4">
        <v>90</v>
      </c>
      <c r="J7" s="3">
        <f t="shared" si="0"/>
        <v>652.5</v>
      </c>
      <c r="K7" s="3">
        <f t="shared" si="1"/>
        <v>93.214285714285708</v>
      </c>
    </row>
    <row r="8" spans="1:11" x14ac:dyDescent="0.25">
      <c r="A8" s="1">
        <v>210302</v>
      </c>
      <c r="B8" t="s">
        <v>51</v>
      </c>
      <c r="C8" s="4">
        <v>78</v>
      </c>
      <c r="D8" s="4">
        <v>95</v>
      </c>
      <c r="E8" s="4">
        <v>94</v>
      </c>
      <c r="F8" s="4">
        <v>82</v>
      </c>
      <c r="G8" s="4">
        <v>90</v>
      </c>
      <c r="H8" s="4">
        <v>93</v>
      </c>
      <c r="I8" s="4">
        <v>84</v>
      </c>
      <c r="J8" s="3">
        <f t="shared" si="0"/>
        <v>616</v>
      </c>
      <c r="K8" s="3">
        <f t="shared" si="1"/>
        <v>88</v>
      </c>
    </row>
    <row r="9" spans="1:11" x14ac:dyDescent="0.25">
      <c r="A9" s="1">
        <v>210204</v>
      </c>
      <c r="B9" t="s">
        <v>24</v>
      </c>
      <c r="C9" s="4">
        <v>95.5</v>
      </c>
      <c r="D9" s="4">
        <v>92</v>
      </c>
      <c r="E9" s="4">
        <v>96</v>
      </c>
      <c r="F9" s="4">
        <v>84</v>
      </c>
      <c r="G9" s="4">
        <v>95</v>
      </c>
      <c r="H9" s="4">
        <v>91</v>
      </c>
      <c r="I9" s="4">
        <v>92</v>
      </c>
      <c r="J9" s="3">
        <f t="shared" si="0"/>
        <v>645.5</v>
      </c>
      <c r="K9" s="3">
        <f t="shared" si="1"/>
        <v>92.214285714285708</v>
      </c>
    </row>
    <row r="10" spans="1:11" x14ac:dyDescent="0.25">
      <c r="A10" s="1">
        <v>210201</v>
      </c>
      <c r="B10" t="s">
        <v>25</v>
      </c>
      <c r="C10" s="4">
        <v>93.5</v>
      </c>
      <c r="D10" s="4">
        <v>107</v>
      </c>
      <c r="E10" s="4">
        <v>96</v>
      </c>
      <c r="F10" s="4">
        <v>100</v>
      </c>
      <c r="G10" s="4">
        <v>93</v>
      </c>
      <c r="H10" s="4">
        <v>92</v>
      </c>
      <c r="I10" s="4">
        <v>93</v>
      </c>
      <c r="J10" s="3">
        <f t="shared" si="0"/>
        <v>674.5</v>
      </c>
      <c r="K10" s="3">
        <f t="shared" si="1"/>
        <v>96.357142857142861</v>
      </c>
    </row>
    <row r="11" spans="1:11" x14ac:dyDescent="0.25">
      <c r="A11" s="1">
        <v>210304</v>
      </c>
      <c r="B11" t="s">
        <v>26</v>
      </c>
      <c r="C11" s="4">
        <v>95</v>
      </c>
      <c r="D11" s="4">
        <v>97</v>
      </c>
      <c r="E11" s="4">
        <v>102</v>
      </c>
      <c r="F11" s="4">
        <v>93</v>
      </c>
      <c r="G11" s="4">
        <v>95</v>
      </c>
      <c r="H11" s="4">
        <v>92</v>
      </c>
      <c r="I11" s="4">
        <v>88</v>
      </c>
      <c r="J11" s="3">
        <f t="shared" si="0"/>
        <v>662</v>
      </c>
      <c r="K11" s="3">
        <f t="shared" si="1"/>
        <v>94.571428571428569</v>
      </c>
    </row>
    <row r="12" spans="1:11" x14ac:dyDescent="0.25">
      <c r="A12" s="1">
        <v>210103</v>
      </c>
      <c r="B12" t="s">
        <v>27</v>
      </c>
      <c r="C12" s="4">
        <v>95</v>
      </c>
      <c r="D12" s="4">
        <v>85</v>
      </c>
      <c r="E12" s="4">
        <v>99</v>
      </c>
      <c r="F12" s="4">
        <v>98</v>
      </c>
      <c r="G12" s="4">
        <v>92</v>
      </c>
      <c r="H12" s="4">
        <v>92</v>
      </c>
      <c r="I12" s="4">
        <v>88</v>
      </c>
      <c r="J12" s="3">
        <f t="shared" si="0"/>
        <v>649</v>
      </c>
      <c r="K12" s="3">
        <f t="shared" si="1"/>
        <v>92.714285714285708</v>
      </c>
    </row>
    <row r="13" spans="1:11" x14ac:dyDescent="0.25">
      <c r="A13" s="1">
        <v>210105</v>
      </c>
      <c r="B13" t="s">
        <v>28</v>
      </c>
      <c r="C13" s="4">
        <v>88</v>
      </c>
      <c r="D13" s="4">
        <v>98</v>
      </c>
      <c r="E13" s="4">
        <v>101</v>
      </c>
      <c r="F13" s="4">
        <v>89</v>
      </c>
      <c r="G13" s="4">
        <v>73</v>
      </c>
      <c r="H13" s="4">
        <v>95</v>
      </c>
      <c r="I13" s="4">
        <v>91</v>
      </c>
      <c r="J13" s="3">
        <f t="shared" si="0"/>
        <v>635</v>
      </c>
      <c r="K13" s="3">
        <f t="shared" si="1"/>
        <v>90.714285714285708</v>
      </c>
    </row>
    <row r="14" spans="1:11" x14ac:dyDescent="0.25">
      <c r="A14" s="1">
        <v>210202</v>
      </c>
      <c r="B14" t="s">
        <v>29</v>
      </c>
      <c r="C14" s="4">
        <v>86</v>
      </c>
      <c r="D14" s="4">
        <v>107</v>
      </c>
      <c r="E14" s="4">
        <v>89</v>
      </c>
      <c r="F14" s="4">
        <v>88</v>
      </c>
      <c r="G14" s="4">
        <v>92</v>
      </c>
      <c r="H14" s="4">
        <v>88</v>
      </c>
      <c r="I14" s="4">
        <v>89</v>
      </c>
      <c r="J14" s="3">
        <f t="shared" si="0"/>
        <v>639</v>
      </c>
      <c r="K14" s="3">
        <f t="shared" si="1"/>
        <v>91.285714285714292</v>
      </c>
    </row>
    <row r="15" spans="1:11" x14ac:dyDescent="0.25">
      <c r="A15" s="1">
        <v>210205</v>
      </c>
      <c r="B15" t="s">
        <v>30</v>
      </c>
      <c r="C15" s="4">
        <v>103.5</v>
      </c>
      <c r="D15" s="4">
        <v>105</v>
      </c>
      <c r="E15" s="4">
        <v>105</v>
      </c>
      <c r="F15" s="4">
        <v>93</v>
      </c>
      <c r="G15" s="4">
        <v>93</v>
      </c>
      <c r="H15" s="4">
        <v>90</v>
      </c>
      <c r="I15" s="4">
        <v>86</v>
      </c>
      <c r="J15" s="3">
        <f t="shared" si="0"/>
        <v>675.5</v>
      </c>
      <c r="K15" s="3">
        <f t="shared" si="1"/>
        <v>96.5</v>
      </c>
    </row>
    <row r="16" spans="1:11" x14ac:dyDescent="0.25">
      <c r="A16" s="1">
        <v>210102</v>
      </c>
      <c r="B16" t="s">
        <v>31</v>
      </c>
      <c r="C16" s="4">
        <v>110</v>
      </c>
      <c r="D16" s="4">
        <v>95</v>
      </c>
      <c r="E16" s="4">
        <v>98</v>
      </c>
      <c r="F16" s="4">
        <v>99</v>
      </c>
      <c r="G16" s="4">
        <v>93</v>
      </c>
      <c r="H16" s="4">
        <v>93</v>
      </c>
      <c r="I16" s="4">
        <v>92</v>
      </c>
      <c r="J16" s="3">
        <f t="shared" si="0"/>
        <v>680</v>
      </c>
      <c r="K16" s="3">
        <f t="shared" si="1"/>
        <v>97.142857142857139</v>
      </c>
    </row>
    <row r="17" spans="1:11" x14ac:dyDescent="0.25">
      <c r="A17" s="1">
        <v>210303</v>
      </c>
      <c r="B17" t="s">
        <v>32</v>
      </c>
      <c r="C17" s="4">
        <v>84</v>
      </c>
      <c r="D17" s="4">
        <v>100</v>
      </c>
      <c r="E17" s="4">
        <v>97</v>
      </c>
      <c r="F17" s="4">
        <v>87</v>
      </c>
      <c r="G17" s="4">
        <v>78</v>
      </c>
      <c r="H17" s="4">
        <v>89</v>
      </c>
      <c r="I17" s="4">
        <v>93</v>
      </c>
      <c r="J17" s="3">
        <f t="shared" si="0"/>
        <v>628</v>
      </c>
      <c r="K17" s="3">
        <f t="shared" si="1"/>
        <v>89.714285714285708</v>
      </c>
    </row>
    <row r="18" spans="1:11" x14ac:dyDescent="0.25">
      <c r="A18" s="1">
        <v>210101</v>
      </c>
      <c r="B18" t="s">
        <v>33</v>
      </c>
      <c r="C18" s="4">
        <v>97.5</v>
      </c>
      <c r="D18" s="4">
        <v>106</v>
      </c>
      <c r="E18" s="4">
        <v>108</v>
      </c>
      <c r="F18" s="4">
        <v>98</v>
      </c>
      <c r="G18" s="4">
        <v>99</v>
      </c>
      <c r="H18" s="4">
        <v>99</v>
      </c>
      <c r="I18" s="4">
        <v>96</v>
      </c>
      <c r="J18" s="3">
        <f t="shared" si="0"/>
        <v>703.5</v>
      </c>
      <c r="K18" s="3">
        <f t="shared" si="1"/>
        <v>100.5</v>
      </c>
    </row>
    <row r="19" spans="1:11" x14ac:dyDescent="0.25">
      <c r="A19" s="1">
        <v>210106</v>
      </c>
      <c r="B19" t="s">
        <v>34</v>
      </c>
      <c r="C19" s="4">
        <v>90</v>
      </c>
      <c r="D19" s="4">
        <v>111</v>
      </c>
      <c r="E19" s="4">
        <v>116</v>
      </c>
      <c r="F19" s="4">
        <v>72</v>
      </c>
      <c r="G19" s="4">
        <v>95</v>
      </c>
      <c r="H19" s="4">
        <v>93</v>
      </c>
      <c r="I19" s="4">
        <v>95</v>
      </c>
      <c r="J19" s="3">
        <f t="shared" si="0"/>
        <v>672</v>
      </c>
      <c r="K19" s="3">
        <f t="shared" si="1"/>
        <v>96</v>
      </c>
    </row>
    <row r="20" spans="1:11" x14ac:dyDescent="0.25">
      <c r="A20" t="s">
        <v>9</v>
      </c>
      <c r="C20">
        <f>MAX(C2:C19)</f>
        <v>110</v>
      </c>
      <c r="D20">
        <f>MAX(D2:D19)</f>
        <v>116</v>
      </c>
      <c r="E20">
        <f t="shared" ref="E20:I20" si="2">MAX(E2:E19)</f>
        <v>116</v>
      </c>
      <c r="F20">
        <f t="shared" si="2"/>
        <v>100</v>
      </c>
      <c r="G20">
        <f t="shared" si="2"/>
        <v>99</v>
      </c>
      <c r="H20">
        <f t="shared" si="2"/>
        <v>99</v>
      </c>
      <c r="I20">
        <f t="shared" si="2"/>
        <v>96</v>
      </c>
      <c r="J20" s="3">
        <f t="shared" ref="J20" si="3">MAX(J2:J19)</f>
        <v>703.5</v>
      </c>
      <c r="K20" s="3">
        <f t="shared" ref="K20" si="4">MAX(K2:K19)</f>
        <v>100.5</v>
      </c>
    </row>
    <row r="21" spans="1:11" x14ac:dyDescent="0.25">
      <c r="A21" t="s">
        <v>10</v>
      </c>
      <c r="C21">
        <f>MIN(C2:C19)</f>
        <v>78</v>
      </c>
      <c r="D21">
        <f t="shared" ref="D21:K21" si="5">MIN(D2:D19)</f>
        <v>85</v>
      </c>
      <c r="E21">
        <f t="shared" si="5"/>
        <v>89</v>
      </c>
      <c r="F21">
        <f t="shared" si="5"/>
        <v>72</v>
      </c>
      <c r="G21">
        <f t="shared" si="5"/>
        <v>73</v>
      </c>
      <c r="H21">
        <f t="shared" si="5"/>
        <v>73</v>
      </c>
      <c r="I21">
        <f t="shared" si="5"/>
        <v>73</v>
      </c>
      <c r="J21" s="3">
        <f t="shared" si="5"/>
        <v>616</v>
      </c>
      <c r="K21" s="3">
        <f t="shared" si="5"/>
        <v>88</v>
      </c>
    </row>
    <row r="22" spans="1:11" x14ac:dyDescent="0.25">
      <c r="A22" t="s">
        <v>35</v>
      </c>
      <c r="C22">
        <f>COUNTIF(语文,"&gt;=105")</f>
        <v>1</v>
      </c>
      <c r="D22">
        <f>COUNTIF(D2:D19,"&gt;=105")</f>
        <v>6</v>
      </c>
      <c r="E22">
        <f t="shared" ref="E22" si="6">COUNTIF(E2:E19,"&gt;=105")</f>
        <v>4</v>
      </c>
      <c r="F22">
        <f>COUNTIF(F2:F19,"&gt;=90")</f>
        <v>9</v>
      </c>
      <c r="G22">
        <f t="shared" ref="G22:I22" si="7">COUNTIF(G2:G19,"&gt;=90")</f>
        <v>12</v>
      </c>
      <c r="H22">
        <f t="shared" si="7"/>
        <v>12</v>
      </c>
      <c r="I22">
        <f t="shared" si="7"/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A2" workbookViewId="0">
      <selection activeCell="J15" sqref="J15"/>
    </sheetView>
  </sheetViews>
  <sheetFormatPr defaultRowHeight="14" x14ac:dyDescent="0.25"/>
  <cols>
    <col min="3" max="3" width="10.81640625" customWidth="1"/>
    <col min="4" max="4" width="16.26953125" customWidth="1"/>
    <col min="5" max="5" width="12.36328125" customWidth="1"/>
    <col min="10" max="10" width="8.81640625" customWidth="1"/>
  </cols>
  <sheetData>
    <row r="1" spans="1:10" x14ac:dyDescent="0.25">
      <c r="A1" t="s">
        <v>0</v>
      </c>
      <c r="B1" t="s">
        <v>1</v>
      </c>
      <c r="C1" s="1" t="s">
        <v>11</v>
      </c>
      <c r="D1" t="s">
        <v>18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s="1">
        <v>210305</v>
      </c>
      <c r="B2" t="s">
        <v>52</v>
      </c>
      <c r="C2" s="1" t="s">
        <v>54</v>
      </c>
      <c r="D2" t="str">
        <f>VLOOKUP(MID(A2,3,2),班级编号对照表!$A$2:$B$4,2,FALSE)</f>
        <v>钱学森班</v>
      </c>
      <c r="E2" s="5">
        <f>DATE(MID(C2,7,4),MID(C2,11,2),MID(C2,13,2))</f>
        <v>37469</v>
      </c>
      <c r="F2" t="str">
        <f>IF(MOD(MID(C2,17,1),2)=0,"女","男")</f>
        <v>男</v>
      </c>
      <c r="G2">
        <f ca="1">DATEDIF(E2,TODAY(),"Y")</f>
        <v>22</v>
      </c>
      <c r="H2" s="3">
        <f>表1[[#This Row],[总成绩]]</f>
        <v>629</v>
      </c>
      <c r="I2">
        <f>_xlfn.RANK.EQ(H2,$H$2:$H$19,0)</f>
        <v>15</v>
      </c>
      <c r="J2" t="str">
        <f t="shared" ref="J2:J19" si="0">IF(I2&lt;=1,"一等奖",IF(I2&lt;=3,"二等奖","无"))</f>
        <v>无</v>
      </c>
    </row>
    <row r="3" spans="1:10" x14ac:dyDescent="0.25">
      <c r="A3" s="1">
        <v>210203</v>
      </c>
      <c r="B3" t="s">
        <v>19</v>
      </c>
      <c r="C3" s="1" t="s">
        <v>55</v>
      </c>
      <c r="D3" t="str">
        <f>VLOOKUP(MID(A3,3,2),班级编号对照表!$A$2:$B$4,2,FALSE)</f>
        <v>周有光班</v>
      </c>
      <c r="E3" s="5">
        <f t="shared" ref="E3:E19" si="1">DATE(MID(C3,7,4),MID(C3,11,2),MID(C3,13,2))</f>
        <v>37405</v>
      </c>
      <c r="F3" t="str">
        <f t="shared" ref="F3:F19" si="2">IF(MOD(MID(C3,17,1),2)=0,"女","男")</f>
        <v>女</v>
      </c>
      <c r="G3">
        <f t="shared" ref="G3:G19" ca="1" si="3">DATEDIF(E3,TODAY(),"Y")</f>
        <v>22</v>
      </c>
      <c r="H3" s="3">
        <f>表1[[#This Row],[总成绩]]</f>
        <v>621</v>
      </c>
      <c r="I3">
        <f t="shared" ref="I3:I19" si="4">_xlfn.RANK.EQ(H3,$H$2:$H$19,0)</f>
        <v>17</v>
      </c>
      <c r="J3" t="str">
        <f t="shared" si="0"/>
        <v>无</v>
      </c>
    </row>
    <row r="4" spans="1:10" x14ac:dyDescent="0.25">
      <c r="A4" s="1">
        <v>210104</v>
      </c>
      <c r="B4" t="s">
        <v>20</v>
      </c>
      <c r="C4" s="1" t="s">
        <v>70</v>
      </c>
      <c r="D4" t="str">
        <f>VLOOKUP(MID(A4,3,2),班级编号对照表!$A$2:$B$4,2,FALSE)</f>
        <v>华罗庚班</v>
      </c>
      <c r="E4" s="5">
        <f t="shared" si="1"/>
        <v>38368</v>
      </c>
      <c r="F4" t="str">
        <f t="shared" si="2"/>
        <v>男</v>
      </c>
      <c r="G4">
        <f t="shared" ca="1" si="3"/>
        <v>19</v>
      </c>
      <c r="H4" s="3">
        <f>表1[[#This Row],[总成绩]]</f>
        <v>656</v>
      </c>
      <c r="I4">
        <f t="shared" si="4"/>
        <v>9</v>
      </c>
      <c r="J4" t="str">
        <f t="shared" si="0"/>
        <v>无</v>
      </c>
    </row>
    <row r="5" spans="1:10" x14ac:dyDescent="0.25">
      <c r="A5" s="1">
        <v>210301</v>
      </c>
      <c r="B5" t="s">
        <v>21</v>
      </c>
      <c r="C5" s="1" t="s">
        <v>56</v>
      </c>
      <c r="D5" t="str">
        <f>VLOOKUP(MID(A5,3,2),班级编号对照表!$A$2:$B$4,2,FALSE)</f>
        <v>钱学森班</v>
      </c>
      <c r="E5" s="5">
        <f t="shared" si="1"/>
        <v>38018</v>
      </c>
      <c r="F5" t="str">
        <f t="shared" si="2"/>
        <v>男</v>
      </c>
      <c r="G5">
        <f t="shared" ca="1" si="3"/>
        <v>20</v>
      </c>
      <c r="H5" s="3">
        <f>表1[[#This Row],[总成绩]]</f>
        <v>657</v>
      </c>
      <c r="I5">
        <f t="shared" si="4"/>
        <v>8</v>
      </c>
      <c r="J5" t="str">
        <f t="shared" si="0"/>
        <v>无</v>
      </c>
    </row>
    <row r="6" spans="1:10" x14ac:dyDescent="0.25">
      <c r="A6" s="1">
        <v>210306</v>
      </c>
      <c r="B6" t="s">
        <v>22</v>
      </c>
      <c r="C6" s="1" t="s">
        <v>57</v>
      </c>
      <c r="D6" t="str">
        <f>VLOOKUP(MID(A6,3,2),班级编号对照表!$A$2:$B$4,2,FALSE)</f>
        <v>钱学森班</v>
      </c>
      <c r="E6" s="5">
        <f t="shared" si="1"/>
        <v>38137</v>
      </c>
      <c r="F6" t="str">
        <f t="shared" si="2"/>
        <v>女</v>
      </c>
      <c r="G6">
        <f t="shared" ca="1" si="3"/>
        <v>20</v>
      </c>
      <c r="H6" s="3">
        <f>表1[[#This Row],[总成绩]]</f>
        <v>659</v>
      </c>
      <c r="I6">
        <f t="shared" si="4"/>
        <v>7</v>
      </c>
      <c r="J6" t="str">
        <f t="shared" si="0"/>
        <v>无</v>
      </c>
    </row>
    <row r="7" spans="1:10" x14ac:dyDescent="0.25">
      <c r="A7" s="1">
        <v>210206</v>
      </c>
      <c r="B7" t="s">
        <v>23</v>
      </c>
      <c r="C7" s="1" t="s">
        <v>58</v>
      </c>
      <c r="D7" t="str">
        <f>VLOOKUP(MID(A7,3,2),班级编号对照表!$A$2:$B$4,2,FALSE)</f>
        <v>周有光班</v>
      </c>
      <c r="E7" s="5">
        <f t="shared" si="1"/>
        <v>37637</v>
      </c>
      <c r="F7" t="str">
        <f t="shared" si="2"/>
        <v>男</v>
      </c>
      <c r="G7">
        <f t="shared" ca="1" si="3"/>
        <v>21</v>
      </c>
      <c r="H7" s="3">
        <f>表1[[#This Row],[总成绩]]</f>
        <v>652.5</v>
      </c>
      <c r="I7">
        <f t="shared" si="4"/>
        <v>10</v>
      </c>
      <c r="J7" t="str">
        <f t="shared" si="0"/>
        <v>无</v>
      </c>
    </row>
    <row r="8" spans="1:10" x14ac:dyDescent="0.25">
      <c r="A8" s="1">
        <v>210302</v>
      </c>
      <c r="B8" t="s">
        <v>53</v>
      </c>
      <c r="C8" s="1" t="s">
        <v>56</v>
      </c>
      <c r="D8" t="str">
        <f>VLOOKUP(MID(A8,3,2),班级编号对照表!$A$2:$B$4,2,FALSE)</f>
        <v>钱学森班</v>
      </c>
      <c r="E8" s="5">
        <f t="shared" si="1"/>
        <v>38018</v>
      </c>
      <c r="F8" t="str">
        <f t="shared" si="2"/>
        <v>男</v>
      </c>
      <c r="G8">
        <f t="shared" ca="1" si="3"/>
        <v>20</v>
      </c>
      <c r="H8" s="3">
        <f>表1[[#This Row],[总成绩]]</f>
        <v>616</v>
      </c>
      <c r="I8">
        <f t="shared" si="4"/>
        <v>18</v>
      </c>
      <c r="J8" t="str">
        <f t="shared" si="0"/>
        <v>无</v>
      </c>
    </row>
    <row r="9" spans="1:10" x14ac:dyDescent="0.25">
      <c r="A9" s="1">
        <v>210204</v>
      </c>
      <c r="B9" t="s">
        <v>24</v>
      </c>
      <c r="C9" s="1" t="s">
        <v>59</v>
      </c>
      <c r="D9" t="str">
        <f>VLOOKUP(MID(A9,3,2),班级编号对照表!$A$2:$B$4,2,FALSE)</f>
        <v>周有光班</v>
      </c>
      <c r="E9" s="5">
        <f t="shared" si="1"/>
        <v>38136</v>
      </c>
      <c r="F9" t="str">
        <f t="shared" si="2"/>
        <v>女</v>
      </c>
      <c r="G9">
        <f t="shared" ca="1" si="3"/>
        <v>20</v>
      </c>
      <c r="H9" s="3">
        <f>表1[[#This Row],[总成绩]]</f>
        <v>645.5</v>
      </c>
      <c r="I9">
        <f t="shared" si="4"/>
        <v>12</v>
      </c>
      <c r="J9" t="str">
        <f t="shared" si="0"/>
        <v>无</v>
      </c>
    </row>
    <row r="10" spans="1:10" x14ac:dyDescent="0.25">
      <c r="A10" s="1">
        <v>210201</v>
      </c>
      <c r="B10" t="s">
        <v>25</v>
      </c>
      <c r="C10" s="1" t="s">
        <v>60</v>
      </c>
      <c r="D10" t="str">
        <f>VLOOKUP(MID(A10,3,2),班级编号对照表!$A$2:$B$4,2,FALSE)</f>
        <v>周有光班</v>
      </c>
      <c r="E10" s="5">
        <f t="shared" si="1"/>
        <v>38092</v>
      </c>
      <c r="F10" t="str">
        <f t="shared" si="2"/>
        <v>男</v>
      </c>
      <c r="G10">
        <f t="shared" ca="1" si="3"/>
        <v>20</v>
      </c>
      <c r="H10" s="3">
        <f>表1[[#This Row],[总成绩]]</f>
        <v>674.5</v>
      </c>
      <c r="I10">
        <f t="shared" si="4"/>
        <v>4</v>
      </c>
      <c r="J10" t="str">
        <f t="shared" si="0"/>
        <v>无</v>
      </c>
    </row>
    <row r="11" spans="1:10" x14ac:dyDescent="0.25">
      <c r="A11" s="1">
        <v>210304</v>
      </c>
      <c r="B11" t="s">
        <v>26</v>
      </c>
      <c r="C11" s="1" t="s">
        <v>61</v>
      </c>
      <c r="D11" t="str">
        <f>VLOOKUP(MID(A11,3,2),班级编号对照表!$A$2:$B$4,2,FALSE)</f>
        <v>钱学森班</v>
      </c>
      <c r="E11" s="5">
        <f t="shared" si="1"/>
        <v>37956</v>
      </c>
      <c r="F11" t="str">
        <f t="shared" si="2"/>
        <v>男</v>
      </c>
      <c r="G11">
        <f t="shared" ca="1" si="3"/>
        <v>20</v>
      </c>
      <c r="H11" s="3">
        <f>表1[[#This Row],[总成绩]]</f>
        <v>662</v>
      </c>
      <c r="I11">
        <f t="shared" si="4"/>
        <v>6</v>
      </c>
      <c r="J11" t="str">
        <f t="shared" si="0"/>
        <v>无</v>
      </c>
    </row>
    <row r="12" spans="1:10" x14ac:dyDescent="0.25">
      <c r="A12" s="1">
        <v>210103</v>
      </c>
      <c r="B12" t="s">
        <v>27</v>
      </c>
      <c r="C12" s="1" t="s">
        <v>62</v>
      </c>
      <c r="D12" t="str">
        <f>VLOOKUP(MID(A12,3,2),班级编号对照表!$A$2:$B$4,2,FALSE)</f>
        <v>华罗庚班</v>
      </c>
      <c r="E12" s="5">
        <f t="shared" si="1"/>
        <v>38038</v>
      </c>
      <c r="F12" t="str">
        <f t="shared" si="2"/>
        <v>女</v>
      </c>
      <c r="G12">
        <f t="shared" ca="1" si="3"/>
        <v>20</v>
      </c>
      <c r="H12" s="3">
        <f>表1[[#This Row],[总成绩]]</f>
        <v>649</v>
      </c>
      <c r="I12">
        <f t="shared" si="4"/>
        <v>11</v>
      </c>
      <c r="J12" t="str">
        <f t="shared" si="0"/>
        <v>无</v>
      </c>
    </row>
    <row r="13" spans="1:10" x14ac:dyDescent="0.25">
      <c r="A13" s="1">
        <v>210105</v>
      </c>
      <c r="B13" t="s">
        <v>28</v>
      </c>
      <c r="C13" s="1" t="s">
        <v>63</v>
      </c>
      <c r="D13" t="str">
        <f>VLOOKUP(MID(A13,3,2),班级编号对照表!$A$2:$B$4,2,FALSE)</f>
        <v>华罗庚班</v>
      </c>
      <c r="E13" s="5">
        <f t="shared" si="1"/>
        <v>37757</v>
      </c>
      <c r="F13" t="str">
        <f t="shared" si="2"/>
        <v>男</v>
      </c>
      <c r="G13">
        <f t="shared" ca="1" si="3"/>
        <v>21</v>
      </c>
      <c r="H13" s="3">
        <f>表1[[#This Row],[总成绩]]</f>
        <v>635</v>
      </c>
      <c r="I13">
        <f t="shared" si="4"/>
        <v>14</v>
      </c>
      <c r="J13" t="str">
        <f t="shared" si="0"/>
        <v>无</v>
      </c>
    </row>
    <row r="14" spans="1:10" x14ac:dyDescent="0.25">
      <c r="A14" s="1">
        <v>210202</v>
      </c>
      <c r="B14" t="s">
        <v>29</v>
      </c>
      <c r="C14" s="1" t="s">
        <v>64</v>
      </c>
      <c r="D14" t="str">
        <f>VLOOKUP(MID(A14,3,2),班级编号对照表!$A$2:$B$4,2,FALSE)</f>
        <v>周有光班</v>
      </c>
      <c r="E14" s="5">
        <f t="shared" si="1"/>
        <v>37936</v>
      </c>
      <c r="F14" t="str">
        <f t="shared" si="2"/>
        <v>男</v>
      </c>
      <c r="G14">
        <f t="shared" ca="1" si="3"/>
        <v>20</v>
      </c>
      <c r="H14" s="3">
        <f>表1[[#This Row],[总成绩]]</f>
        <v>639</v>
      </c>
      <c r="I14">
        <f t="shared" si="4"/>
        <v>13</v>
      </c>
      <c r="J14" t="str">
        <f t="shared" si="0"/>
        <v>无</v>
      </c>
    </row>
    <row r="15" spans="1:10" x14ac:dyDescent="0.25">
      <c r="A15" s="1">
        <v>210205</v>
      </c>
      <c r="B15" t="s">
        <v>30</v>
      </c>
      <c r="C15" s="1" t="s">
        <v>65</v>
      </c>
      <c r="D15" t="str">
        <f>VLOOKUP(MID(A15,3,2),班级编号对照表!$A$2:$B$4,2,FALSE)</f>
        <v>周有光班</v>
      </c>
      <c r="E15" s="5">
        <f t="shared" si="1"/>
        <v>38136</v>
      </c>
      <c r="F15" t="str">
        <f t="shared" si="2"/>
        <v>女</v>
      </c>
      <c r="G15">
        <f t="shared" ca="1" si="3"/>
        <v>20</v>
      </c>
      <c r="H15" s="3">
        <f>表1[[#This Row],[总成绩]]</f>
        <v>675.5</v>
      </c>
      <c r="I15">
        <f t="shared" si="4"/>
        <v>3</v>
      </c>
      <c r="J15" t="str">
        <f t="shared" si="0"/>
        <v>二等奖</v>
      </c>
    </row>
    <row r="16" spans="1:10" x14ac:dyDescent="0.25">
      <c r="A16" s="1">
        <v>210102</v>
      </c>
      <c r="B16" t="s">
        <v>31</v>
      </c>
      <c r="C16" s="1" t="s">
        <v>66</v>
      </c>
      <c r="D16" t="str">
        <f>VLOOKUP(MID(A16,3,2),班级编号对照表!$A$2:$B$4,2,FALSE)</f>
        <v>华罗庚班</v>
      </c>
      <c r="E16" s="5">
        <f t="shared" si="1"/>
        <v>38246</v>
      </c>
      <c r="F16" t="str">
        <f t="shared" si="2"/>
        <v>男</v>
      </c>
      <c r="G16">
        <f t="shared" ca="1" si="3"/>
        <v>20</v>
      </c>
      <c r="H16" s="3">
        <f>表1[[#This Row],[总成绩]]</f>
        <v>680</v>
      </c>
      <c r="I16">
        <f t="shared" si="4"/>
        <v>2</v>
      </c>
      <c r="J16" t="str">
        <f t="shared" si="0"/>
        <v>二等奖</v>
      </c>
    </row>
    <row r="17" spans="1:10" x14ac:dyDescent="0.25">
      <c r="A17" s="1">
        <v>210303</v>
      </c>
      <c r="B17" t="s">
        <v>32</v>
      </c>
      <c r="C17" s="1" t="s">
        <v>67</v>
      </c>
      <c r="D17" t="str">
        <f>VLOOKUP(MID(A17,3,2),班级编号对照表!$A$2:$B$4,2,FALSE)</f>
        <v>钱学森班</v>
      </c>
      <c r="E17" s="5">
        <f t="shared" si="1"/>
        <v>37895</v>
      </c>
      <c r="F17" t="str">
        <f t="shared" si="2"/>
        <v>男</v>
      </c>
      <c r="G17">
        <f t="shared" ca="1" si="3"/>
        <v>21</v>
      </c>
      <c r="H17" s="3">
        <f>表1[[#This Row],[总成绩]]</f>
        <v>628</v>
      </c>
      <c r="I17">
        <f t="shared" si="4"/>
        <v>16</v>
      </c>
      <c r="J17" t="str">
        <f t="shared" si="0"/>
        <v>无</v>
      </c>
    </row>
    <row r="18" spans="1:10" x14ac:dyDescent="0.25">
      <c r="A18" s="1">
        <v>210101</v>
      </c>
      <c r="B18" t="s">
        <v>33</v>
      </c>
      <c r="C18" s="1" t="s">
        <v>68</v>
      </c>
      <c r="D18" t="str">
        <f>VLOOKUP(MID(A18,3,2),班级编号对照表!$A$2:$B$4,2,FALSE)</f>
        <v>华罗庚班</v>
      </c>
      <c r="E18" s="5">
        <f t="shared" si="1"/>
        <v>38167</v>
      </c>
      <c r="F18" t="str">
        <f t="shared" si="2"/>
        <v>女</v>
      </c>
      <c r="G18">
        <f t="shared" ca="1" si="3"/>
        <v>20</v>
      </c>
      <c r="H18" s="3">
        <f>表1[[#This Row],[总成绩]]</f>
        <v>703.5</v>
      </c>
      <c r="I18">
        <f t="shared" si="4"/>
        <v>1</v>
      </c>
      <c r="J18" t="str">
        <f t="shared" si="0"/>
        <v>一等奖</v>
      </c>
    </row>
    <row r="19" spans="1:10" x14ac:dyDescent="0.25">
      <c r="A19" s="1">
        <v>210106</v>
      </c>
      <c r="B19" t="s">
        <v>34</v>
      </c>
      <c r="C19" s="1" t="s">
        <v>69</v>
      </c>
      <c r="D19" t="str">
        <f>VLOOKUP(MID(A19,3,2),班级编号对照表!$A$2:$B$4,2,FALSE)</f>
        <v>华罗庚班</v>
      </c>
      <c r="E19" s="5">
        <f t="shared" si="1"/>
        <v>38266</v>
      </c>
      <c r="F19" t="str">
        <f t="shared" si="2"/>
        <v>男</v>
      </c>
      <c r="G19">
        <f t="shared" ca="1" si="3"/>
        <v>20</v>
      </c>
      <c r="H19" s="3">
        <f>表1[[#This Row],[总成绩]]</f>
        <v>672</v>
      </c>
      <c r="I19">
        <f t="shared" si="4"/>
        <v>5</v>
      </c>
      <c r="J19" t="str">
        <f t="shared" si="0"/>
        <v>无</v>
      </c>
    </row>
    <row r="20" spans="1:10" x14ac:dyDescent="0.25">
      <c r="C20" s="1"/>
    </row>
    <row r="21" spans="1:10" x14ac:dyDescent="0.25">
      <c r="C21" s="1"/>
    </row>
    <row r="22" spans="1:10" x14ac:dyDescent="0.25">
      <c r="C22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zoomScale="160" zoomScaleNormal="160" workbookViewId="0">
      <selection activeCell="D2" sqref="D2"/>
    </sheetView>
  </sheetViews>
  <sheetFormatPr defaultRowHeight="14" x14ac:dyDescent="0.25"/>
  <cols>
    <col min="1" max="1" width="37.26953125" bestFit="1" customWidth="1"/>
    <col min="2" max="2" width="19.6328125" customWidth="1"/>
    <col min="4" max="4" width="31.08984375" customWidth="1"/>
  </cols>
  <sheetData>
    <row r="1" spans="1:5" s="6" customFormat="1" ht="25" customHeight="1" x14ac:dyDescent="0.25">
      <c r="A1" s="11" t="s">
        <v>74</v>
      </c>
      <c r="B1" s="11"/>
      <c r="D1"/>
      <c r="E1"/>
    </row>
    <row r="2" spans="1:5" s="6" customFormat="1" ht="25" customHeight="1" x14ac:dyDescent="0.25">
      <c r="A2" s="9" t="s">
        <v>44</v>
      </c>
      <c r="B2" s="10" t="s">
        <v>75</v>
      </c>
      <c r="D2"/>
      <c r="E2"/>
    </row>
    <row r="3" spans="1:5" s="6" customFormat="1" ht="25" customHeight="1" x14ac:dyDescent="0.25">
      <c r="A3" s="6" t="s">
        <v>45</v>
      </c>
      <c r="B3" s="6">
        <f>COUNTIFS(学生基本情况!H2:H19,"&gt;=650",学生基本情况!H2:H19,"&lt;=700")</f>
        <v>9</v>
      </c>
      <c r="D3"/>
      <c r="E3"/>
    </row>
    <row r="4" spans="1:5" s="6" customFormat="1" ht="25" customHeight="1" x14ac:dyDescent="0.25">
      <c r="A4" s="6" t="s">
        <v>46</v>
      </c>
      <c r="B4" s="7">
        <f>AVERAGEIF(学生基本情况!D2:D19,"华罗庚班",学生基本情况!H2:H19)</f>
        <v>665.91666666666663</v>
      </c>
      <c r="D4"/>
      <c r="E4"/>
    </row>
    <row r="5" spans="1:5" s="6" customFormat="1" ht="25" customHeight="1" x14ac:dyDescent="0.25">
      <c r="A5" s="6" t="s">
        <v>47</v>
      </c>
      <c r="B5" s="8">
        <f>SUMIFS(学生基本情况!H2:H19,学生基本情况!D2:D19,"周有光班",学生基本情况!F2:F19,"女")</f>
        <v>1942</v>
      </c>
      <c r="D5"/>
      <c r="E5"/>
    </row>
    <row r="6" spans="1:5" s="6" customFormat="1" ht="25" customHeight="1" x14ac:dyDescent="0.25">
      <c r="A6" s="6" t="s">
        <v>71</v>
      </c>
      <c r="B6" s="7">
        <f>AVERAGEIFS(学生基本情况!H2:H19,学生基本情况!E2:E19,"&gt;=2004/1/1",学生基本情况!E2:E19,"&lt;=2004/12/31",学生基本情况!F2:F19,"男")</f>
        <v>659.9</v>
      </c>
      <c r="D6"/>
      <c r="E6"/>
    </row>
    <row r="7" spans="1:5" s="6" customFormat="1" ht="25" customHeight="1" x14ac:dyDescent="0.25">
      <c r="A7" s="6" t="s">
        <v>48</v>
      </c>
      <c r="B7" s="8" cm="1">
        <f t="array" ref="B7">SUMPRODUCT((MID(学生中考成绩!$A$2:$A$19,3,2)="03")*1,学生中考成绩!C2:C19)</f>
        <v>548</v>
      </c>
      <c r="D7"/>
      <c r="E7"/>
    </row>
    <row r="8" spans="1:5" s="6" customFormat="1" ht="25" customHeight="1" x14ac:dyDescent="0.25">
      <c r="A8" s="6" t="s">
        <v>49</v>
      </c>
      <c r="B8" s="7" cm="1">
        <f t="array" ref="B8">SUMPRODUCT((MID(学生中考成绩!$A$2:$A$19,3,2)="03")*1,(LEFT(学生中考成绩!$B$2:$B$19,1)="李")*1,学生中考成绩!D2:D19)</f>
        <v>195</v>
      </c>
      <c r="D8"/>
      <c r="E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4"/>
    </sheetView>
  </sheetViews>
  <sheetFormatPr defaultRowHeight="14" x14ac:dyDescent="0.25"/>
  <sheetData>
    <row r="1" spans="1:2" x14ac:dyDescent="0.25">
      <c r="A1" t="s">
        <v>36</v>
      </c>
      <c r="B1" t="s">
        <v>37</v>
      </c>
    </row>
    <row r="2" spans="1:2" x14ac:dyDescent="0.25">
      <c r="A2" s="2" t="s">
        <v>38</v>
      </c>
      <c r="B2" t="s">
        <v>39</v>
      </c>
    </row>
    <row r="3" spans="1:2" x14ac:dyDescent="0.25">
      <c r="A3" s="2" t="s">
        <v>40</v>
      </c>
      <c r="B3" t="s">
        <v>41</v>
      </c>
    </row>
    <row r="4" spans="1:2" x14ac:dyDescent="0.25">
      <c r="A4" s="2" t="s">
        <v>42</v>
      </c>
      <c r="B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学生中考成绩</vt:lpstr>
      <vt:lpstr>学生基本情况</vt:lpstr>
      <vt:lpstr>成绩情况统计</vt:lpstr>
      <vt:lpstr>班级编号对照表</vt:lpstr>
      <vt:lpstr>语文</vt:lpstr>
    </vt:vector>
  </TitlesOfParts>
  <Company>neea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neea</dc:creator>
  <cp:lastModifiedBy>linder 离落</cp:lastModifiedBy>
  <dcterms:created xsi:type="dcterms:W3CDTF">2013-03-03T01:44:07Z</dcterms:created>
  <dcterms:modified xsi:type="dcterms:W3CDTF">2024-10-30T07:07:02Z</dcterms:modified>
</cp:coreProperties>
</file>