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esktop\sas\Excel\Week 5\"/>
    </mc:Choice>
  </mc:AlternateContent>
  <bookViews>
    <workbookView xWindow="0" yWindow="0" windowWidth="24690" windowHeight="11640" activeTab="2"/>
  </bookViews>
  <sheets>
    <sheet name="Staff" sheetId="1" r:id="rId1"/>
    <sheet name="Stats" sheetId="2" r:id="rId2"/>
    <sheet name="Dashboard" sheetId="3" r:id="rId3"/>
  </sheets>
  <definedNames>
    <definedName name="_xlnm._FilterDatabase" localSheetId="0" hidden="1">Staff!$A$4:$H$24</definedName>
    <definedName name="Annual_Salary">Staff!$N$4:$N$38</definedName>
    <definedName name="Date_of_Hire">Staff!$F$4:$F$38</definedName>
    <definedName name="Department">Staff!$H$4:$H$38</definedName>
    <definedName name="Email">Staff!$E$4:$E$38</definedName>
    <definedName name="Emp_ID">Staff!$A$4:$A$38</definedName>
    <definedName name="Extension">Staff!$K$4:$K$38</definedName>
    <definedName name="First">Staff!$C$4:$C$38</definedName>
    <definedName name="Floor">Staff!$J$4:$J$38</definedName>
    <definedName name="Gender">Staff!$D$4:$D$38</definedName>
    <definedName name="Last">Staff!$B$4:$B$38</definedName>
    <definedName name="Last_Review">Staff!$L$4:$L$38</definedName>
    <definedName name="Location">Staff!$I$4:$I$38</definedName>
    <definedName name="Next_Review">Staff!$M$4:$M$38</definedName>
    <definedName name="Pension">Staff!$O$4:$O$38</definedName>
    <definedName name="Pension_Rate">Staff!$P$1</definedName>
    <definedName name="Years_Service">Staff!$G$4:$G$38</definedName>
  </definedNames>
  <calcPr calcId="152511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3" l="1"/>
  <c r="B5" i="3"/>
  <c r="B4" i="3"/>
  <c r="B3" i="3"/>
  <c r="B4" i="2" l="1"/>
  <c r="A39" i="1" l="1"/>
  <c r="N39" i="1"/>
  <c r="B12" i="2" l="1"/>
  <c r="B11" i="2"/>
  <c r="B3" i="2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4" i="1"/>
  <c r="O39" i="1" s="1"/>
  <c r="G12" i="1" l="1"/>
  <c r="M7" i="1" l="1"/>
  <c r="M25" i="1"/>
  <c r="M30" i="1"/>
  <c r="M34" i="1"/>
  <c r="M23" i="1"/>
  <c r="M24" i="1"/>
  <c r="M10" i="1"/>
  <c r="M4" i="1"/>
  <c r="M22" i="1"/>
  <c r="M16" i="1"/>
  <c r="M18" i="1"/>
  <c r="M15" i="1"/>
  <c r="M5" i="1"/>
  <c r="M26" i="1"/>
  <c r="M38" i="1"/>
  <c r="M21" i="1"/>
  <c r="M13" i="1"/>
  <c r="M20" i="1"/>
  <c r="M19" i="1"/>
  <c r="M29" i="1"/>
  <c r="M33" i="1"/>
  <c r="M11" i="1"/>
  <c r="M8" i="1"/>
  <c r="M9" i="1"/>
  <c r="M6" i="1"/>
  <c r="M28" i="1"/>
  <c r="M36" i="1"/>
  <c r="M14" i="1"/>
  <c r="M35" i="1"/>
  <c r="M32" i="1"/>
  <c r="M17" i="1"/>
  <c r="M31" i="1"/>
  <c r="M37" i="1"/>
  <c r="M27" i="1"/>
  <c r="M12" i="1"/>
  <c r="B5" i="2" l="1"/>
  <c r="G7" i="1"/>
  <c r="G25" i="1"/>
  <c r="G30" i="1"/>
  <c r="G34" i="1"/>
  <c r="G23" i="1"/>
  <c r="G24" i="1"/>
  <c r="G10" i="1"/>
  <c r="G4" i="1"/>
  <c r="G22" i="1"/>
  <c r="G16" i="1"/>
  <c r="G18" i="1"/>
  <c r="G15" i="1"/>
  <c r="G5" i="1"/>
  <c r="G26" i="1"/>
  <c r="G38" i="1"/>
  <c r="G21" i="1"/>
  <c r="G13" i="1"/>
  <c r="G20" i="1"/>
  <c r="G19" i="1"/>
  <c r="G29" i="1"/>
  <c r="G33" i="1"/>
  <c r="G11" i="1"/>
  <c r="G8" i="1"/>
  <c r="G9" i="1"/>
  <c r="G6" i="1"/>
  <c r="G28" i="1"/>
  <c r="G36" i="1"/>
  <c r="G14" i="1"/>
  <c r="G35" i="1"/>
  <c r="G32" i="1"/>
  <c r="G17" i="1"/>
  <c r="G31" i="1"/>
  <c r="G37" i="1"/>
  <c r="G27" i="1"/>
  <c r="E7" i="1"/>
  <c r="E25" i="1"/>
  <c r="E30" i="1"/>
  <c r="E34" i="1"/>
  <c r="E23" i="1"/>
  <c r="E24" i="1"/>
  <c r="E10" i="1"/>
  <c r="E4" i="1"/>
  <c r="E22" i="1"/>
  <c r="E16" i="1"/>
  <c r="E18" i="1"/>
  <c r="E15" i="1"/>
  <c r="E5" i="1"/>
  <c r="E26" i="1"/>
  <c r="E38" i="1"/>
  <c r="E21" i="1"/>
  <c r="E13" i="1"/>
  <c r="E20" i="1"/>
  <c r="E19" i="1"/>
  <c r="E29" i="1"/>
  <c r="E33" i="1"/>
  <c r="E11" i="1"/>
  <c r="E8" i="1"/>
  <c r="E9" i="1"/>
  <c r="E6" i="1"/>
  <c r="E28" i="1"/>
  <c r="E36" i="1"/>
  <c r="E14" i="1"/>
  <c r="E35" i="1"/>
  <c r="E32" i="1"/>
  <c r="E17" i="1"/>
  <c r="E31" i="1"/>
  <c r="E37" i="1"/>
  <c r="E27" i="1"/>
  <c r="E12" i="1"/>
  <c r="K7" i="1"/>
  <c r="K25" i="1"/>
  <c r="K30" i="1"/>
  <c r="K34" i="1"/>
  <c r="K23" i="1"/>
  <c r="K24" i="1"/>
  <c r="K10" i="1"/>
  <c r="K4" i="1"/>
  <c r="K22" i="1"/>
  <c r="K16" i="1"/>
  <c r="K18" i="1"/>
  <c r="K15" i="1"/>
  <c r="K5" i="1"/>
  <c r="K26" i="1"/>
  <c r="K38" i="1"/>
  <c r="K21" i="1"/>
  <c r="K13" i="1"/>
  <c r="K20" i="1"/>
  <c r="K19" i="1"/>
  <c r="K29" i="1"/>
  <c r="K33" i="1"/>
  <c r="K11" i="1"/>
  <c r="K8" i="1"/>
  <c r="K9" i="1"/>
  <c r="K6" i="1"/>
  <c r="K28" i="1"/>
  <c r="K36" i="1"/>
  <c r="K14" i="1"/>
  <c r="K35" i="1"/>
  <c r="K32" i="1"/>
  <c r="K17" i="1"/>
  <c r="K31" i="1"/>
  <c r="K37" i="1"/>
  <c r="K27" i="1"/>
  <c r="K12" i="1"/>
  <c r="J7" i="1"/>
  <c r="J25" i="1"/>
  <c r="J30" i="1"/>
  <c r="J34" i="1"/>
  <c r="J23" i="1"/>
  <c r="J24" i="1"/>
  <c r="J10" i="1"/>
  <c r="J4" i="1"/>
  <c r="J22" i="1"/>
  <c r="J16" i="1"/>
  <c r="J18" i="1"/>
  <c r="J15" i="1"/>
  <c r="J5" i="1"/>
  <c r="J26" i="1"/>
  <c r="J38" i="1"/>
  <c r="J21" i="1"/>
  <c r="J13" i="1"/>
  <c r="J20" i="1"/>
  <c r="J19" i="1"/>
  <c r="J29" i="1"/>
  <c r="J33" i="1"/>
  <c r="J11" i="1"/>
  <c r="J8" i="1"/>
  <c r="J9" i="1"/>
  <c r="J6" i="1"/>
  <c r="J28" i="1"/>
  <c r="J36" i="1"/>
  <c r="J14" i="1"/>
  <c r="J35" i="1"/>
  <c r="J32" i="1"/>
  <c r="J17" i="1"/>
  <c r="J31" i="1"/>
  <c r="J37" i="1"/>
  <c r="J27" i="1"/>
  <c r="J12" i="1"/>
  <c r="B6" i="3" l="1"/>
  <c r="G39" i="1"/>
  <c r="D19" i="2"/>
  <c r="C17" i="2"/>
  <c r="C21" i="2"/>
  <c r="B17" i="2"/>
  <c r="B21" i="2"/>
  <c r="D20" i="2"/>
  <c r="C18" i="2"/>
  <c r="C16" i="2"/>
  <c r="B18" i="2"/>
  <c r="B16" i="2"/>
  <c r="D17" i="2"/>
  <c r="D21" i="2"/>
  <c r="C19" i="2"/>
  <c r="B19" i="2"/>
  <c r="D18" i="2"/>
  <c r="D16" i="2"/>
  <c r="C20" i="2"/>
  <c r="B20" i="2"/>
  <c r="B7" i="2"/>
  <c r="B6" i="2"/>
</calcChain>
</file>

<file path=xl/sharedStrings.xml><?xml version="1.0" encoding="utf-8"?>
<sst xmlns="http://schemas.openxmlformats.org/spreadsheetml/2006/main" count="258" uniqueCount="175">
  <si>
    <t>Emp ID</t>
  </si>
  <si>
    <t>Last</t>
  </si>
  <si>
    <t>First</t>
  </si>
  <si>
    <t>Email</t>
  </si>
  <si>
    <t>Date of Hire</t>
  </si>
  <si>
    <t>Department</t>
  </si>
  <si>
    <t>Location</t>
  </si>
  <si>
    <t>Extension</t>
  </si>
  <si>
    <t>E1001</t>
  </si>
  <si>
    <t>E1003</t>
  </si>
  <si>
    <t>Daniel</t>
  </si>
  <si>
    <t>E1004</t>
  </si>
  <si>
    <t>Adam</t>
  </si>
  <si>
    <t>Facilities</t>
  </si>
  <si>
    <t>Susan</t>
  </si>
  <si>
    <t>Accounting</t>
  </si>
  <si>
    <t>Elizabeth</t>
  </si>
  <si>
    <t>Human Resources</t>
  </si>
  <si>
    <t>Janet</t>
  </si>
  <si>
    <t>Bob</t>
  </si>
  <si>
    <t>Sabrina</t>
  </si>
  <si>
    <t>Mary</t>
  </si>
  <si>
    <t>Executive</t>
  </si>
  <si>
    <t>Joe</t>
  </si>
  <si>
    <t>Customer Service</t>
  </si>
  <si>
    <t>Mark</t>
  </si>
  <si>
    <t>Alexandra</t>
  </si>
  <si>
    <t>Jim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</si>
  <si>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</si>
  <si>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</si>
  <si>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</si>
  <si>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</si>
  <si>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</si>
  <si>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</si>
  <si>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</si>
  <si>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</si>
  <si>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</si>
  <si>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</si>
  <si>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</si>
  <si>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</si>
  <si>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</si>
  <si>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</si>
  <si>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</si>
  <si>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</si>
  <si>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</si>
  <si>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</si>
  <si>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</si>
  <si>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</si>
  <si>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</si>
  <si>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</si>
  <si>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</si>
  <si>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</si>
  <si>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</si>
  <si>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</si>
  <si>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</si>
  <si>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</si>
  <si>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</si>
  <si>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</si>
  <si>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Sean</t>
  </si>
  <si>
    <t>IT</t>
  </si>
  <si>
    <t>Floor</t>
  </si>
  <si>
    <t>Uma</t>
  </si>
  <si>
    <t>Years Service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</si>
  <si>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</si>
  <si>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</si>
  <si>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</si>
  <si>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</si>
  <si>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</si>
  <si>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</si>
  <si>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</si>
  <si>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</si>
  <si>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</si>
  <si>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</si>
  <si>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</si>
  <si>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</si>
  <si>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</si>
  <si>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</si>
  <si>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</si>
  <si>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</si>
  <si>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</si>
  <si>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</si>
  <si>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</si>
  <si>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</si>
  <si>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</si>
  <si>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</si>
  <si>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</si>
  <si>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</si>
  <si>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</si>
  <si>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</si>
  <si>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</si>
  <si>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</si>
  <si>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</si>
  <si>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</si>
  <si>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</si>
  <si>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</si>
  <si>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</si>
  <si>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</si>
  <si>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</si>
  <si>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</si>
  <si>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</si>
  <si>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</si>
  <si>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</si>
  <si>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</si>
  <si>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</si>
  <si>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</si>
  <si>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</si>
  <si>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</si>
  <si>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</si>
  <si>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</si>
  <si>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</si>
  <si>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</si>
  <si>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</si>
  <si>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</si>
  <si>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</si>
  <si>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</si>
  <si>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</si>
  <si>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</si>
  <si>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</si>
  <si>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</si>
  <si>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</si>
  <si>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</si>
  <si>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</si>
  <si>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</si>
  <si>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</si>
  <si>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</si>
  <si>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</si>
  <si>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</si>
  <si>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</si>
  <si>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</si>
  <si>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2578</t>
  </si>
  <si>
    <t>02-North 2654</t>
  </si>
  <si>
    <t>02-North 2793</t>
  </si>
  <si>
    <t>Last Review</t>
  </si>
  <si>
    <t>Next Review</t>
  </si>
  <si>
    <t>Total Salaries:</t>
  </si>
  <si>
    <t>Average Salary:</t>
  </si>
  <si>
    <t>Longest Service:</t>
  </si>
  <si>
    <t>Most Recent Start Date:</t>
  </si>
  <si>
    <t>Barry</t>
  </si>
  <si>
    <t>Boller</t>
  </si>
  <si>
    <t>Carol</t>
  </si>
  <si>
    <t>Chaffee</t>
  </si>
  <si>
    <t>Chaudri</t>
  </si>
  <si>
    <t>Chu</t>
  </si>
  <si>
    <t>Chung</t>
  </si>
  <si>
    <t>Clark</t>
  </si>
  <si>
    <t>Anna</t>
  </si>
  <si>
    <t>Cole</t>
  </si>
  <si>
    <t>Comuntzis</t>
  </si>
  <si>
    <t>Decker</t>
  </si>
  <si>
    <t>Desiato</t>
  </si>
  <si>
    <t>Donnell</t>
  </si>
  <si>
    <t>Ellis</t>
  </si>
  <si>
    <t>Ferris</t>
  </si>
  <si>
    <t>Filosa</t>
  </si>
  <si>
    <t>Flanders</t>
  </si>
  <si>
    <t>Martinez</t>
  </si>
  <si>
    <t>Carlos</t>
  </si>
  <si>
    <t>Sanders</t>
  </si>
  <si>
    <t>Wang</t>
  </si>
  <si>
    <t>Pension</t>
  </si>
  <si>
    <t>Contribution</t>
  </si>
  <si>
    <t>Total Staff:</t>
  </si>
  <si>
    <t>Total Salary</t>
  </si>
  <si>
    <t>Gender</t>
  </si>
  <si>
    <t>M</t>
  </si>
  <si>
    <t>F</t>
  </si>
  <si>
    <t>Total Staff</t>
  </si>
  <si>
    <t>Male</t>
  </si>
  <si>
    <t>Female</t>
  </si>
  <si>
    <t>Annual Salary</t>
  </si>
  <si>
    <t>Row Labels</t>
  </si>
  <si>
    <t>Grand Total</t>
  </si>
  <si>
    <t>Average Annual Salary</t>
  </si>
  <si>
    <t>Average  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</si>
</sst>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0.0"/>
    <numFmt numFmtId="165" formatCode="&quot;$&quot;#,##0.00"/>
  </numFmts>
  <fonts count="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4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5" fillId="3" borderId="1" applyNumberFormat="0" applyAlignment="0" applyProtection="0"/>
    <xf numFmtId="0" fontId="7" fillId="4" borderId="0" applyNumberFormat="0" applyBorder="0" applyAlignment="0" applyProtection="0"/>
  </cellStyleXfs>
  <cellXfs count="38">
    <xf numFmtId="0" fontId="0" fillId="0" borderId="0" xfId="0"/>
    <xf numFmtId="0" fontId="3" fillId="0" borderId="0" xfId="0" applyFont="1" applyFill="1" applyBorder="1" applyAlignment="1">
      <alignment horizontal="left"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2" borderId="0" xfId="2" applyBorder="1" applyAlignment="1">
      <alignment horizontal="left" vertical="center" wrapText="1"/>
    </xf>
    <xf numFmtId="165" fontId="5" fillId="3" borderId="1" xfId="3" applyNumberFormat="1" applyAlignment="1">
      <alignment vertical="center"/>
    </xf>
    <xf numFmtId="164" fontId="5" fillId="3" borderId="1" xfId="3" applyNumberFormat="1" applyAlignment="1">
      <alignment vertical="center"/>
    </xf>
    <xf numFmtId="14" fontId="5" fillId="3" borderId="1" xfId="3" applyNumberFormat="1" applyAlignment="1">
      <alignment vertical="center"/>
    </xf>
    <xf numFmtId="0" fontId="6" fillId="0" borderId="0" xfId="0" applyFont="1" applyAlignment="1">
      <alignment wrapText="1"/>
    </xf>
    <xf numFmtId="0" fontId="2" fillId="2" borderId="0" xfId="2"/>
    <xf numFmtId="9" fontId="7" fillId="4" borderId="0" xfId="4" applyNumberFormat="1"/>
    <xf numFmtId="165" fontId="0" fillId="0" borderId="0" xfId="0" applyNumberFormat="1"/>
    <xf numFmtId="0" fontId="5" fillId="3" borderId="1" xfId="3" applyNumberFormat="1" applyAlignment="1">
      <alignment vertical="center"/>
    </xf>
    <xf numFmtId="0" fontId="8" fillId="0" borderId="0" xfId="1" applyFont="1" applyAlignment="1">
      <alignment horizontal="left"/>
    </xf>
    <xf numFmtId="0" fontId="4" fillId="0" borderId="0" xfId="0" applyFont="1" applyAlignment="1">
      <alignment horizontal="center" wrapText="1"/>
    </xf>
    <xf numFmtId="0" fontId="2" fillId="2" borderId="0" xfId="2" applyBorder="1" applyAlignment="1">
      <alignment horizontal="center" vertical="center" wrapText="1"/>
    </xf>
    <xf numFmtId="0" fontId="3" fillId="0" borderId="0" xfId="0" applyFont="1" applyFill="1" applyAlignment="1">
      <alignment horizontal="left" wrapText="1"/>
    </xf>
    <xf numFmtId="0" fontId="3" fillId="0" borderId="0" xfId="0" applyFont="1" applyFill="1" applyAlignment="1">
      <alignment horizontal="center" wrapText="1"/>
    </xf>
    <xf numFmtId="0" fontId="0" fillId="0" borderId="0" xfId="0" pivotButton="1" applyBorder="1"/>
    <xf numFmtId="0" fontId="0" fillId="0" borderId="0" xfId="0" applyBorder="1"/>
    <xf numFmtId="0" fontId="0" fillId="0" borderId="0" xfId="0" applyBorder="1" applyAlignment="1">
      <alignment horizontal="left"/>
    </xf>
    <xf numFmtId="44" fontId="0" fillId="0" borderId="0" xfId="0" applyNumberFormat="1" applyBorder="1"/>
    <xf numFmtId="0" fontId="0" fillId="0" borderId="2" xfId="0" applyBorder="1" applyAlignment="1">
      <alignment horizontal="left"/>
    </xf>
    <xf numFmtId="0" fontId="0" fillId="0" borderId="2" xfId="0" applyNumberFormat="1" applyBorder="1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2" borderId="3" xfId="2" applyBorder="1" applyAlignment="1">
      <alignment horizontal="left" vertical="center" wrapText="1"/>
    </xf>
    <xf numFmtId="0" fontId="5" fillId="3" borderId="3" xfId="3" applyNumberFormat="1" applyBorder="1" applyAlignment="1">
      <alignment vertical="center"/>
    </xf>
    <xf numFmtId="165" fontId="5" fillId="3" borderId="3" xfId="3" applyNumberFormat="1" applyBorder="1" applyAlignment="1">
      <alignment vertical="center"/>
    </xf>
    <xf numFmtId="164" fontId="5" fillId="3" borderId="3" xfId="3" applyNumberFormat="1" applyBorder="1" applyAlignment="1">
      <alignment vertical="center"/>
    </xf>
    <xf numFmtId="14" fontId="5" fillId="3" borderId="3" xfId="3" applyNumberFormat="1" applyBorder="1" applyAlignment="1">
      <alignment vertical="center"/>
    </xf>
  </cellXfs>
  <cellStyles count="5">
    <cellStyle name="20% - Accent1" xfId="4" builtinId="30"/>
    <cellStyle name="Accent1" xfId="2" builtinId="29"/>
    <cellStyle name="Normal" xfId="0" builtinId="0"/>
    <cellStyle name="Output" xfId="3" builtinId="21"/>
    <cellStyle name="Title" xfId="1" builtinId="15"/>
  </cellStyles>
  <dxfs count="42">
    <dxf>
      <fill>
        <patternFill>
          <bgColor theme="5" tint="0.39994506668294322"/>
        </patternFill>
      </fill>
    </dxf>
    <dxf>
      <fill>
        <patternFill patternType="none">
          <bgColor auto="1"/>
        </patternFill>
      </fill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border>
        <bottom style="thin">
          <color indexed="64"/>
        </bottom>
      </border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numFmt numFmtId="165" formatCode="&quot;$&quot;#,##0.00"/>
    </dxf>
    <dxf>
      <numFmt numFmtId="165" formatCode="&quot;$&quot;#,##0.00"/>
    </dxf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numFmt numFmtId="165" formatCode="&quot;$&quot;#,##0.00"/>
    </dxf>
    <dxf>
      <alignment horizontal="center" vertical="bottom" textRotation="0" wrapText="0" indent="0" justifyLastLine="0" shrinkToFit="0" readingOrder="0"/>
    </dxf>
    <dxf>
      <numFmt numFmtId="165" formatCode="&quot;$&quot;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0.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Stats!$B$10</c:f>
              <c:strCache>
                <c:ptCount val="1"/>
                <c:pt idx="0">
                  <c:v>Total Staff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128-4193-9B57-C543C5AE00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E128-4193-9B57-C543C5AE0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Stats!$A$11:$A$12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Stats!$B$11:$B$12</c:f>
              <c:numCache>
                <c:formatCode>General</c:formatCode>
                <c:ptCount val="2"/>
                <c:pt idx="0">
                  <c:v>17</c:v>
                </c:pt>
                <c:pt idx="1">
                  <c:v>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21C-4D93-A2C2-316304DC4BC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Stats!$B$15</c:f>
              <c:strCache>
                <c:ptCount val="1"/>
                <c:pt idx="0">
                  <c:v>Total Salary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>
                  <a:alpha val="85000"/>
                </a:schemeClr>
              </a:solidFill>
              <a:ln w="9525" cap="flat" cmpd="sng" algn="ctr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Stats!$A$16:$A$21</c:f>
              <c:strCache>
                <c:ptCount val="6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</c:strCache>
            </c:strRef>
          </c:cat>
          <c:val>
            <c:numRef>
              <c:f>Stats!$B$16:$B$21</c:f>
              <c:numCache>
                <c:formatCode>"$"#,##0.00</c:formatCode>
                <c:ptCount val="6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19579288"/>
        <c:axId val="319579680"/>
      </c:barChart>
      <c:valAx>
        <c:axId val="3195796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79288"/>
        <c:crossBetween val="between"/>
      </c:valAx>
      <c:catAx>
        <c:axId val="319579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95796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[Excel_Automation.xlsx]Stats!PivotTable1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Stats!$M$1</c:f>
              <c:strCache>
                <c:ptCount val="1"/>
                <c:pt idx="0">
                  <c:v>Average Annual Salary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Stats!$L$2:$L$4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Stats!$M$2:$M$4</c:f>
              <c:numCache>
                <c:formatCode>_("$"* #,##0.00_);_("$"* \(#,##0.00\);_("$"* "-"??_);_(@_)</c:formatCode>
                <c:ptCount val="2"/>
                <c:pt idx="0">
                  <c:v>54488.888888888891</c:v>
                </c:pt>
                <c:pt idx="1">
                  <c:v>57505.882352941175</c:v>
                </c:pt>
              </c:numCache>
            </c:numRef>
          </c:val>
        </c:ser>
        <c:ser>
          <c:idx val="1"/>
          <c:order val="1"/>
          <c:tx>
            <c:strRef>
              <c:f>Stats!$N$1</c:f>
              <c:strCache>
                <c:ptCount val="1"/>
                <c:pt idx="0">
                  <c:v>Average  Pension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Stats!$L$2:$L$4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Stats!$N$2:$N$4</c:f>
              <c:numCache>
                <c:formatCode>_("$"* #,##0.00_);_("$"* \(#,##0.00\);_("$"* "-"??_);_(@_)</c:formatCode>
                <c:ptCount val="2"/>
                <c:pt idx="0">
                  <c:v>4904</c:v>
                </c:pt>
                <c:pt idx="1">
                  <c:v>5175.5294117647063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6496488"/>
        <c:axId val="316492960"/>
      </c:barChart>
      <c:catAx>
        <c:axId val="316496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92960"/>
        <c:crosses val="autoZero"/>
        <c:auto val="1"/>
        <c:lblAlgn val="ctr"/>
        <c:lblOffset val="100"/>
        <c:noMultiLvlLbl val="0"/>
      </c:catAx>
      <c:valAx>
        <c:axId val="31649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496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Stats!$B$10</c:f>
              <c:strCache>
                <c:ptCount val="1"/>
                <c:pt idx="0">
                  <c:v>Total Staff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128-4193-9B57-C543C5AE005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E128-4193-9B57-C543C5AE005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Stats!$A$11:$A$12</c:f>
              <c:strCache>
                <c:ptCount val="2"/>
                <c:pt idx="0">
                  <c:v>Male</c:v>
                </c:pt>
                <c:pt idx="1">
                  <c:v>Female</c:v>
                </c:pt>
              </c:strCache>
            </c:strRef>
          </c:cat>
          <c:val>
            <c:numRef>
              <c:f>Stats!$B$11:$B$12</c:f>
              <c:numCache>
                <c:formatCode>General</c:formatCode>
                <c:ptCount val="2"/>
                <c:pt idx="0">
                  <c:v>17</c:v>
                </c:pt>
                <c:pt idx="1">
                  <c:v>18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21C-4D93-A2C2-316304DC4BC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[Excel_Automation.xlsx]Stats!PivotTable1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Salary and Pension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Stats!$M$1</c:f>
              <c:strCache>
                <c:ptCount val="1"/>
                <c:pt idx="0">
                  <c:v>Average Annual 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Stats!$L$2:$L$4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Stats!$M$2:$M$4</c:f>
              <c:numCache>
                <c:formatCode>_("$"* #,##0.00_);_("$"* \(#,##0.00\);_("$"* "-"??_);_(@_)</c:formatCode>
                <c:ptCount val="2"/>
                <c:pt idx="0">
                  <c:v>54488.888888888891</c:v>
                </c:pt>
                <c:pt idx="1">
                  <c:v>57505.882352941175</c:v>
                </c:pt>
              </c:numCache>
            </c:numRef>
          </c:val>
        </c:ser>
        <c:ser>
          <c:idx val="1"/>
          <c:order val="1"/>
          <c:tx>
            <c:strRef>
              <c:f>Stats!$N$1</c:f>
              <c:strCache>
                <c:ptCount val="1"/>
                <c:pt idx="0">
                  <c:v>Average  Pension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Stats!$L$2:$L$4</c:f>
              <c:strCache>
                <c:ptCount val="2"/>
                <c:pt idx="0">
                  <c:v>F</c:v>
                </c:pt>
                <c:pt idx="1">
                  <c:v>M</c:v>
                </c:pt>
              </c:strCache>
            </c:strRef>
          </c:cat>
          <c:val>
            <c:numRef>
              <c:f>Stats!$N$2:$N$4</c:f>
              <c:numCache>
                <c:formatCode>_("$"* #,##0.00_);_("$"* \(#,##0.00\);_("$"* "-"??_);_(@_)</c:formatCode>
                <c:ptCount val="2"/>
                <c:pt idx="0">
                  <c:v>4904</c:v>
                </c:pt>
                <c:pt idx="1">
                  <c:v>5175.5294117647063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14406712"/>
        <c:axId val="314404752"/>
      </c:barChart>
      <c:catAx>
        <c:axId val="314406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404752"/>
        <c:crosses val="autoZero"/>
        <c:auto val="1"/>
        <c:lblAlgn val="ctr"/>
        <c:lblOffset val="100"/>
        <c:noMultiLvlLbl val="0"/>
      </c:catAx>
      <c:valAx>
        <c:axId val="314404752"/>
        <c:scaling>
          <c:orientation val="minMax"/>
        </c:scaling>
        <c:delete val="1"/>
        <c:axPos val="l"/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314406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Stats!$B$15</c:f>
              <c:strCache>
                <c:ptCount val="1"/>
                <c:pt idx="0">
                  <c:v>Total Salary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DAF-468C-822C-65D9136E4819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DAF-468C-822C-65D9136E4819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DAF-468C-822C-65D9136E4819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6DAF-468C-822C-65D9136E4819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6DAF-468C-822C-65D9136E4819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6DAF-468C-822C-65D9136E481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Stats!$A$16:$A$21</c:f>
              <c:strCache>
                <c:ptCount val="6"/>
                <c:pt idx="0">
                  <c:v>Executive</c:v>
                </c:pt>
                <c:pt idx="1">
                  <c:v>IT</c:v>
                </c:pt>
                <c:pt idx="2">
                  <c:v>Sales</c:v>
                </c:pt>
                <c:pt idx="3">
                  <c:v>Customer Service</c:v>
                </c:pt>
                <c:pt idx="4">
                  <c:v>Accounting</c:v>
                </c:pt>
                <c:pt idx="5">
                  <c:v>Human Resources</c:v>
                </c:pt>
              </c:strCache>
            </c:strRef>
          </c:cat>
          <c:val>
            <c:numRef>
              <c:f>Stats!$B$16:$B$21</c:f>
              <c:numCache>
                <c:formatCode>"$"#,##0.00</c:formatCode>
                <c:ptCount val="6"/>
                <c:pt idx="0">
                  <c:v>197800</c:v>
                </c:pt>
                <c:pt idx="1">
                  <c:v>278500</c:v>
                </c:pt>
                <c:pt idx="2">
                  <c:v>807000</c:v>
                </c:pt>
                <c:pt idx="3">
                  <c:v>255500</c:v>
                </c:pt>
                <c:pt idx="4">
                  <c:v>227800</c:v>
                </c:pt>
                <c:pt idx="5">
                  <c:v>149700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85D7-4AB5-A501-7B32B63B91A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316517912"/>
        <c:axId val="316517128"/>
      </c:barChart>
      <c:valAx>
        <c:axId val="316517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517912"/>
        <c:crosses val="autoZero"/>
        <c:crossBetween val="between"/>
      </c:valAx>
      <c:catAx>
        <c:axId val="316517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517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688520</xdr:colOff>
      <xdr:row>0</xdr:row>
      <xdr:rowOff>0</xdr:rowOff>
    </xdr:from>
    <xdr:to>
      <xdr:col>8</xdr:col>
      <xdr:colOff>54428</xdr:colOff>
      <xdr:row>9</xdr:row>
      <xdr:rowOff>35380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8DB5471F-1593-40AB-B7CD-50B21DB329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595992</xdr:colOff>
      <xdr:row>15</xdr:row>
      <xdr:rowOff>48985</xdr:rowOff>
    </xdr:from>
    <xdr:to>
      <xdr:col>16</xdr:col>
      <xdr:colOff>0</xdr:colOff>
      <xdr:row>29</xdr:row>
      <xdr:rowOff>176893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AEA7632C-135D-4CE6-B2B6-50468D13B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95251</xdr:colOff>
      <xdr:row>0</xdr:row>
      <xdr:rowOff>0</xdr:rowOff>
    </xdr:from>
    <xdr:to>
      <xdr:col>21</xdr:col>
      <xdr:colOff>381001</xdr:colOff>
      <xdr:row>10</xdr:row>
      <xdr:rowOff>117021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</xdr:row>
      <xdr:rowOff>152400</xdr:rowOff>
    </xdr:from>
    <xdr:to>
      <xdr:col>9</xdr:col>
      <xdr:colOff>24493</xdr:colOff>
      <xdr:row>13</xdr:row>
      <xdr:rowOff>51709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8DB5471F-1593-40AB-B7CD-50B21DB329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219075</xdr:colOff>
      <xdr:row>1</xdr:row>
      <xdr:rowOff>47625</xdr:rowOff>
    </xdr:from>
    <xdr:to>
      <xdr:col>16</xdr:col>
      <xdr:colOff>523875</xdr:colOff>
      <xdr:row>14</xdr:row>
      <xdr:rowOff>28575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323850</xdr:colOff>
      <xdr:row>14</xdr:row>
      <xdr:rowOff>66675</xdr:rowOff>
    </xdr:from>
    <xdr:to>
      <xdr:col>13</xdr:col>
      <xdr:colOff>9525</xdr:colOff>
      <xdr:row>29</xdr:row>
      <xdr:rowOff>4083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AEA7632C-135D-4CE6-B2B6-50468D13BE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419099</xdr:colOff>
      <xdr:row>0</xdr:row>
      <xdr:rowOff>95250</xdr:rowOff>
    </xdr:from>
    <xdr:to>
      <xdr:col>15</xdr:col>
      <xdr:colOff>104774</xdr:colOff>
      <xdr:row>0</xdr:row>
      <xdr:rowOff>542925</xdr:rowOff>
    </xdr:to>
    <xdr:sp macro="" textlink="">
      <xdr:nvSpPr>
        <xdr:cNvPr id="5" name="TextBox 4"/>
        <xdr:cNvSpPr txBox="1"/>
      </xdr:nvSpPr>
      <xdr:spPr>
        <a:xfrm>
          <a:off x="3333749" y="95250"/>
          <a:ext cx="7610475" cy="447675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>
              <a:solidFill>
                <a:schemeClr val="accent1"/>
              </a:solidFill>
            </a:rPr>
            <a:t>Salary</a:t>
          </a:r>
          <a:r>
            <a:rPr lang="en-US" sz="2800" baseline="0">
              <a:solidFill>
                <a:schemeClr val="accent1"/>
              </a:solidFill>
            </a:rPr>
            <a:t> Dashboard</a:t>
          </a:r>
          <a:endParaRPr lang="en-US" sz="2800">
            <a:solidFill>
              <a:schemeClr val="accent1"/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753.509702777781" createdVersion="5" refreshedVersion="5" minRefreshableVersion="3" recordCount="35">
  <cacheSource type="worksheet">
    <worksheetSource name="Table1"/>
  </cacheSource>
  <cacheFields count="15">
    <cacheField name="Emp ID" numFmtId="0">
      <sharedItems/>
    </cacheField>
    <cacheField name="Last" numFmtId="0">
      <sharedItems/>
    </cacheField>
    <cacheField name="First" numFmtId="0">
      <sharedItems/>
    </cacheField>
    <cacheField name="Gender" numFmtId="0">
      <sharedItems count="2">
        <s v="M"/>
        <s v="F"/>
      </sharedItems>
    </cacheField>
    <cacheField name="Email" numFmtId="0">
      <sharedItems/>
    </cacheField>
    <cacheField name="Date of Hire" numFmtId="14">
      <sharedItems containsSemiMixedTypes="0" containsNonDate="0" containsDate="1" containsString="0" minDate="2001-02-01T00:00:00" maxDate="2017-05-20T00:00:00"/>
    </cacheField>
    <cacheField name="Years Service" numFmtId="164">
      <sharedItems containsSemiMixedTypes="0" containsString="0" containsNumber="1" minValue="5.1444444444444448" maxValue="21.444444444444443"/>
    </cacheField>
    <cacheField name="Department" numFmtId="0">
      <sharedItems/>
    </cacheField>
    <cacheField name="Location" numFmtId="0">
      <sharedItems/>
    </cacheField>
    <cacheField name="Floor" numFmtId="0">
      <sharedItems/>
    </cacheField>
    <cacheField name="Extension" numFmtId="0">
      <sharedItems/>
    </cacheField>
    <cacheField name="Last Review" numFmtId="14">
      <sharedItems containsSemiMixedTypes="0" containsNonDate="0" containsDate="1" containsString="0" minDate="2016-05-17T00:00:00" maxDate="2017-05-06T00:00:00"/>
    </cacheField>
    <cacheField name="Next Review" numFmtId="14">
      <sharedItems containsSemiMixedTypes="0" containsNonDate="0" containsDate="1" containsString="0" minDate="2017-05-17T00:00:00" maxDate="2018-05-06T00:00:00"/>
    </cacheField>
    <cacheField name="Annual Salary" numFmtId="165">
      <sharedItems containsSemiMixedTypes="0" containsString="0" containsNumber="1" containsInteger="1" minValue="35600" maxValue="101400"/>
    </cacheField>
    <cacheField name="Pension" numFmtId="165">
      <sharedItems containsSemiMixedTypes="0" containsString="0" containsNumber="1" containsInteger="1" minValue="3204" maxValue="912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5">
  <r>
    <s v="E1001"/>
    <s v="Carol"/>
    <s v="Joe"/>
    <x v="0"/>
    <s v="joe.carol@pushpin.com"/>
    <d v="2001-02-01T00:00:00"/>
    <n v="21.444444444444443"/>
    <s v="Executive"/>
    <s v="01-North 2321"/>
    <s v="01"/>
    <s v="2321"/>
    <d v="2017-03-23T00:00:00"/>
    <d v="2018-03-23T00:00:00"/>
    <n v="101400"/>
    <n v="9126"/>
  </r>
  <r>
    <s v="E1003"/>
    <s v="Chung"/>
    <s v="Eric"/>
    <x v="0"/>
    <s v="eric.chung@pushpin.com"/>
    <d v="2001-02-27T00:00:00"/>
    <n v="21.372222222222224"/>
    <s v="IT"/>
    <s v="03-West 2796"/>
    <s v="03"/>
    <s v="2796"/>
    <d v="2016-12-27T00:00:00"/>
    <d v="2017-12-27T00:00:00"/>
    <n v="70300"/>
    <n v="6327"/>
  </r>
  <r>
    <s v="E1004"/>
    <s v="Flanders"/>
    <s v="Daniel"/>
    <x v="0"/>
    <s v="daniel.flanders@pushpin.com"/>
    <d v="2002-09-11T00:00:00"/>
    <n v="19.833333333333332"/>
    <s v="Sales"/>
    <s v="02-North 2639"/>
    <s v="02"/>
    <s v="2639"/>
    <d v="2016-08-08T00:00:00"/>
    <d v="2017-08-08T00:00:00"/>
    <n v="68800"/>
    <n v="6192"/>
  </r>
  <r>
    <s v="E1110"/>
    <s v="Barry"/>
    <s v="Adam"/>
    <x v="0"/>
    <s v="adam.barry@pushpin.com"/>
    <d v="2004-04-22T00:00:00"/>
    <n v="18.219444444444445"/>
    <s v="Customer Service"/>
    <s v="02-West 2018"/>
    <s v="02"/>
    <s v="2018"/>
    <d v="2017-05-05T00:00:00"/>
    <d v="2018-05-05T00:00:00"/>
    <n v="59200"/>
    <n v="5328"/>
  </r>
  <r>
    <s v="E1134"/>
    <s v="Ferris"/>
    <s v="Mary"/>
    <x v="1"/>
    <s v="mary.ferris@pushpin.com"/>
    <d v="2005-07-15T00:00:00"/>
    <n v="16.988888888888887"/>
    <s v="Sales"/>
    <s v="03-North 2392"/>
    <s v="03"/>
    <s v="2392"/>
    <d v="2016-08-16T00:00:00"/>
    <d v="2017-08-16T00:00:00"/>
    <n v="62900"/>
    <n v="5661"/>
  </r>
  <r>
    <s v="E1150"/>
    <s v="Filosa"/>
    <s v="Susan"/>
    <x v="1"/>
    <s v="susan.filosa@pushpin.com"/>
    <d v="2006-01-27T00:00:00"/>
    <n v="16.455555555555556"/>
    <s v="Customer Service"/>
    <s v="02-West 2279"/>
    <s v="02"/>
    <s v="2279"/>
    <d v="2016-08-14T00:00:00"/>
    <d v="2017-08-14T00:00:00"/>
    <n v="58400"/>
    <n v="5256"/>
  </r>
  <r>
    <s v="E1162"/>
    <s v="Carlton"/>
    <s v="Tina"/>
    <x v="1"/>
    <s v="tina.carlton@pushpin.com"/>
    <d v="2006-03-22T00:00:00"/>
    <n v="16.302777777777777"/>
    <s v="Sales"/>
    <s v="02-West 2699"/>
    <s v="02"/>
    <s v="2699"/>
    <d v="2017-03-31T00:00:00"/>
    <d v="2018-03-31T00:00:00"/>
    <n v="59200"/>
    <n v="5328"/>
  </r>
  <r>
    <s v="E1172"/>
    <s v="Fernandes"/>
    <s v="Nicholas"/>
    <x v="0"/>
    <s v="nicholas.fernandes@pushpin.com"/>
    <d v="2006-11-02T00:00:00"/>
    <n v="15.691666666666666"/>
    <s v="Accounting"/>
    <s v="02-North 2372"/>
    <s v="02"/>
    <s v="2372"/>
    <d v="2016-09-01T00:00:00"/>
    <d v="2017-09-01T00:00:00"/>
    <n v="51600"/>
    <n v="4644"/>
  </r>
  <r>
    <s v="E1180"/>
    <s v="Bacata"/>
    <s v="Stevie"/>
    <x v="0"/>
    <s v="stevie.bacata@pushpin.com"/>
    <d v="2008-04-13T00:00:00"/>
    <n v="14.244444444444444"/>
    <s v="Sales"/>
    <s v="02-West 2635"/>
    <s v="02"/>
    <s v="2635"/>
    <d v="2016-05-17T00:00:00"/>
    <d v="2017-05-17T00:00:00"/>
    <n v="58200"/>
    <n v="5238"/>
  </r>
  <r>
    <s v="E1186"/>
    <s v="Comuntzis"/>
    <s v="Janet"/>
    <x v="1"/>
    <s v="janet.comuntzis@pushpin.com"/>
    <d v="2008-08-26T00:00:00"/>
    <n v="13.875"/>
    <s v="Customer Service"/>
    <s v="02-West 2286"/>
    <s v="02"/>
    <s v="2286"/>
    <d v="2016-10-15T00:00:00"/>
    <d v="2017-10-15T00:00:00"/>
    <n v="55800"/>
    <n v="5022"/>
  </r>
  <r>
    <s v="E1192"/>
    <s v="Khan"/>
    <s v="Mihael"/>
    <x v="0"/>
    <s v="mihael.khan@pushpin.com"/>
    <d v="2009-12-13T00:00:00"/>
    <n v="12.577777777777778"/>
    <s v="Sales"/>
    <s v="02-North 2294"/>
    <s v="02"/>
    <s v="2294"/>
    <d v="2016-07-15T00:00:00"/>
    <d v="2017-07-15T00:00:00"/>
    <n v="55500"/>
    <n v="4995"/>
  </r>
  <r>
    <s v="E1198"/>
    <s v="Chu"/>
    <s v="Elizabeth"/>
    <x v="1"/>
    <s v="elizabeth.chu@pushpin.com"/>
    <d v="2010-02-11T00:00:00"/>
    <n v="12.416666666666666"/>
    <s v="IT"/>
    <s v="01-West 2425"/>
    <s v="01"/>
    <s v="2425"/>
    <d v="2017-01-26T00:00:00"/>
    <d v="2018-01-26T00:00:00"/>
    <n v="48400"/>
    <n v="4356"/>
  </r>
  <r>
    <s v="E1203"/>
    <s v="Chairs"/>
    <s v="Samantha"/>
    <x v="1"/>
    <s v="samantha.chairs@pushpin.com"/>
    <d v="2011-02-21T00:00:00"/>
    <n v="11.388888888888889"/>
    <s v="Sales"/>
    <s v="02-West 2962"/>
    <s v="02"/>
    <s v="2962"/>
    <d v="2017-03-07T00:00:00"/>
    <d v="2018-03-07T00:00:00"/>
    <n v="59300"/>
    <n v="5337"/>
  </r>
  <r>
    <s v="E1207"/>
    <s v="Song"/>
    <s v="Natasha"/>
    <x v="1"/>
    <s v="natasha.song@pushpin.com"/>
    <d v="2011-06-19T00:00:00"/>
    <n v="11.061111111111112"/>
    <s v="Sales"/>
    <s v="02-North 2578"/>
    <s v="02"/>
    <s v="2578"/>
    <d v="2016-07-01T00:00:00"/>
    <d v="2017-07-01T00:00:00"/>
    <n v="56000"/>
    <n v="5040"/>
  </r>
  <r>
    <s v="E1211"/>
    <s v="Chaudri"/>
    <s v="Uma"/>
    <x v="1"/>
    <s v="uma.chaudri@pushpin.com"/>
    <d v="2012-03-26T00:00:00"/>
    <n v="10.291666666666666"/>
    <s v="Human Resources"/>
    <s v="03-North 2134"/>
    <s v="03"/>
    <s v="2134"/>
    <d v="2017-02-10T00:00:00"/>
    <d v="2018-02-10T00:00:00"/>
    <n v="63200"/>
    <n v="5688"/>
  </r>
  <r>
    <s v="E1215"/>
    <s v="Desiato"/>
    <s v="Tina"/>
    <x v="1"/>
    <s v="tina.desiato@pushpin.com"/>
    <d v="2012-09-23T00:00:00"/>
    <n v="9.8000000000000007"/>
    <s v="IT"/>
    <s v="01-North 2358"/>
    <s v="01"/>
    <s v="2358"/>
    <d v="2016-10-09T00:00:00"/>
    <d v="2017-10-09T00:00:00"/>
    <n v="51700"/>
    <n v="4653"/>
  </r>
  <r>
    <s v="E1218"/>
    <s v="Decker"/>
    <s v="Bob"/>
    <x v="0"/>
    <s v="bob.decker@pushpin.com"/>
    <d v="2012-10-28T00:00:00"/>
    <n v="9.7027777777777775"/>
    <s v="IT"/>
    <s v="01-North 2086"/>
    <s v="01"/>
    <s v="2086"/>
    <d v="2016-10-13T00:00:00"/>
    <d v="2017-10-13T00:00:00"/>
    <n v="49600"/>
    <n v="4464"/>
  </r>
  <r>
    <s v="E1221"/>
    <s v="Cole"/>
    <s v="Sabrina"/>
    <x v="1"/>
    <s v="sabrina.cole@pushpin.com"/>
    <d v="2013-05-07T00:00:00"/>
    <n v="9.1777777777777771"/>
    <s v="Customer Service"/>
    <s v="02-West 2537"/>
    <s v="02"/>
    <s v="2537"/>
    <d v="2016-12-06T00:00:00"/>
    <d v="2017-12-06T00:00:00"/>
    <n v="45100"/>
    <n v="4059"/>
  </r>
  <r>
    <s v="E1224"/>
    <s v="Chaffee"/>
    <s v="Jim"/>
    <x v="0"/>
    <s v="jim.chaffee@pushpin.com"/>
    <d v="2014-05-28T00:00:00"/>
    <n v="8.1194444444444436"/>
    <s v="Facilities"/>
    <s v="03-West 2432"/>
    <s v="03"/>
    <s v="2432"/>
    <d v="2017-03-10T00:00:00"/>
    <d v="2018-03-10T00:00:00"/>
    <n v="42100"/>
    <n v="3789"/>
  </r>
  <r>
    <s v="E1227"/>
    <s v="Boller"/>
    <s v="Jim"/>
    <x v="0"/>
    <s v="jim.boller@pushpin.com"/>
    <d v="2014-09-11T00:00:00"/>
    <n v="7.833333333333333"/>
    <s v="Accounting"/>
    <s v="03-North 2318"/>
    <s v="03"/>
    <s v="2318"/>
    <d v="2017-04-10T00:00:00"/>
    <d v="2018-04-10T00:00:00"/>
    <n v="62800"/>
    <n v="5652"/>
  </r>
  <r>
    <s v="E1230"/>
    <s v="Bui"/>
    <s v="Charlie"/>
    <x v="0"/>
    <s v="charlie.bui@pushpin.com"/>
    <d v="2014-09-21T00:00:00"/>
    <n v="7.8055555555555554"/>
    <s v="Sales"/>
    <s v="02-North 2694"/>
    <s v="02"/>
    <s v="2694"/>
    <d v="2017-04-03T00:00:00"/>
    <d v="2018-04-03T00:00:00"/>
    <n v="54700"/>
    <n v="4923"/>
  </r>
  <r>
    <s v="E1232"/>
    <s v="Betts"/>
    <s v="Connor"/>
    <x v="0"/>
    <s v="connor.betts@pushpin.com"/>
    <d v="2014-11-13T00:00:00"/>
    <n v="7.6611111111111114"/>
    <s v="Sales"/>
    <s v="02-West 2347"/>
    <s v="02"/>
    <s v="2347"/>
    <d v="2017-04-23T00:00:00"/>
    <d v="2018-04-23T00:00:00"/>
    <n v="52600"/>
    <n v="4734"/>
  </r>
  <r>
    <s v="E1235"/>
    <s v="Clark"/>
    <s v="Anna"/>
    <x v="1"/>
    <s v="anna.clark@pushpin.com"/>
    <d v="2014-12-16T00:00:00"/>
    <n v="7.5694444444444446"/>
    <s v="Accounting"/>
    <s v="03-West 2601"/>
    <s v="03"/>
    <s v="2601"/>
    <d v="2016-12-27T00:00:00"/>
    <d v="2017-12-27T00:00:00"/>
    <n v="58500"/>
    <n v="5265"/>
  </r>
  <r>
    <s v="E1237"/>
    <s v="Zhang"/>
    <s v="Aanya"/>
    <x v="1"/>
    <s v="aanya.zhang@pushpin.com"/>
    <d v="2014-12-29T00:00:00"/>
    <n v="7.5333333333333332"/>
    <s v="Sales"/>
    <s v="02-North 2793"/>
    <s v="02"/>
    <s v="2793"/>
    <d v="2016-06-19T00:00:00"/>
    <d v="2017-06-19T00:00:00"/>
    <n v="46500"/>
    <n v="4185"/>
  </r>
  <r>
    <s v="E1239"/>
    <s v="Forrest"/>
    <s v="Leighton"/>
    <x v="0"/>
    <s v="leighton.forrest@pushpin.com"/>
    <d v="2015-04-26T00:00:00"/>
    <n v="7.208333333333333"/>
    <s v="Sales"/>
    <s v="02-North 2284"/>
    <s v="02"/>
    <s v="2284"/>
    <d v="2016-08-04T00:00:00"/>
    <d v="2017-08-04T00:00:00"/>
    <n v="56200"/>
    <n v="5058"/>
  </r>
  <r>
    <s v="E1241"/>
    <s v="Donnell"/>
    <s v="Alexandra"/>
    <x v="1"/>
    <s v="alexandra.donnell@pushpin.com"/>
    <d v="2015-08-12T00:00:00"/>
    <n v="6.9138888888888888"/>
    <s v="Accounting"/>
    <s v="03-West 2082"/>
    <s v="03"/>
    <s v="2082"/>
    <d v="2016-09-16T00:00:00"/>
    <d v="2017-09-16T00:00:00"/>
    <n v="54900"/>
    <n v="4941"/>
  </r>
  <r>
    <s v="E1243"/>
    <s v="Martinez"/>
    <s v="Carlos"/>
    <x v="0"/>
    <s v="carlos.martinez@pushpin.com"/>
    <d v="2015-08-13T00:00:00"/>
    <n v="6.9111111111111114"/>
    <s v="Human Resources"/>
    <s v="03-West 2764"/>
    <s v="03"/>
    <s v="2764"/>
    <d v="2017-04-20T00:00:00"/>
    <d v="2018-04-20T00:00:00"/>
    <n v="47900"/>
    <n v="4311"/>
  </r>
  <r>
    <s v="E1244"/>
    <s v="Staples"/>
    <s v="Peter"/>
    <x v="0"/>
    <s v="peter.staples@pushpin.com"/>
    <d v="2015-11-13T00:00:00"/>
    <n v="6.6611111111111114"/>
    <s v="Sales"/>
    <s v="02-North 2654"/>
    <s v="02"/>
    <s v="2654"/>
    <d v="2016-06-30T00:00:00"/>
    <d v="2017-06-30T00:00:00"/>
    <n v="49600"/>
    <n v="4464"/>
  </r>
  <r>
    <s v="E1245"/>
    <s v="Senome"/>
    <s v="Radhya"/>
    <x v="1"/>
    <s v="radhya.senome@pushpin.com"/>
    <d v="2015-11-16T00:00:00"/>
    <n v="6.6527777777777777"/>
    <s v="Sales"/>
    <s v="02-North 2260"/>
    <s v="02"/>
    <s v="2260"/>
    <d v="2016-07-12T00:00:00"/>
    <d v="2017-07-12T00:00:00"/>
    <n v="35600"/>
    <n v="3204"/>
  </r>
  <r>
    <s v="E1246"/>
    <s v="Ellis"/>
    <s v="Mark"/>
    <x v="0"/>
    <s v="mark.ellis@pushpin.com"/>
    <d v="2016-01-02T00:00:00"/>
    <n v="6.5250000000000004"/>
    <s v="IT"/>
    <s v="03-West 2482"/>
    <s v="03"/>
    <s v="2482"/>
    <d v="2016-09-06T00:00:00"/>
    <d v="2017-09-06T00:00:00"/>
    <n v="58500"/>
    <n v="5265"/>
  </r>
  <r>
    <s v="E1248"/>
    <s v="Biti"/>
    <s v="Yvette"/>
    <x v="1"/>
    <s v="yvette.biti@pushpin.com"/>
    <d v="2016-01-15T00:00:00"/>
    <n v="6.4888888888888889"/>
    <s v="Sales"/>
    <s v="02-West 2589"/>
    <s v="02"/>
    <s v="2589"/>
    <d v="2017-04-14T00:00:00"/>
    <d v="2018-04-14T00:00:00"/>
    <n v="51400"/>
    <n v="4626"/>
  </r>
  <r>
    <s v="E1249"/>
    <s v="Sanders"/>
    <s v="Sean"/>
    <x v="0"/>
    <s v="sean.sanders@pushpin.com"/>
    <d v="2016-11-17T00:00:00"/>
    <n v="5.65"/>
    <s v="Human Resources"/>
    <s v="03-West 2765"/>
    <s v="03"/>
    <s v="2765"/>
    <d v="2016-07-15T00:00:00"/>
    <d v="2017-07-15T00:00:00"/>
    <n v="38600"/>
    <n v="3474"/>
  </r>
  <r>
    <s v="E1250"/>
    <s v="Gour"/>
    <s v="Phoebe"/>
    <x v="1"/>
    <s v="phoebe.gour@pushpin.com"/>
    <d v="2016-12-17T00:00:00"/>
    <n v="5.5666666666666664"/>
    <s v="Sales"/>
    <s v="02-North 2910"/>
    <s v="02"/>
    <s v="2910"/>
    <d v="2016-06-18T00:00:00"/>
    <d v="2017-06-18T00:00:00"/>
    <n v="40500"/>
    <n v="3645"/>
  </r>
  <r>
    <s v="E1252"/>
    <s v="Wang"/>
    <s v="Mei"/>
    <x v="1"/>
    <s v="mei.wang@pushpin.com"/>
    <d v="2010-01-10T00:00:00"/>
    <n v="12.502777777777778"/>
    <s v="Executive"/>
    <s v="01-West 2783"/>
    <s v="01"/>
    <s v="2783"/>
    <d v="2016-06-23T00:00:00"/>
    <d v="2017-06-23T00:00:00"/>
    <n v="96400"/>
    <n v="8676"/>
  </r>
  <r>
    <s v="E1253"/>
    <s v="Clark"/>
    <s v="Elizabeth"/>
    <x v="1"/>
    <s v="elizabeth.clark@pushpin.com"/>
    <d v="2017-05-19T00:00:00"/>
    <n v="5.1444444444444448"/>
    <s v="Customer Service"/>
    <s v="02-West 2414"/>
    <s v="02"/>
    <s v="2414"/>
    <d v="2016-12-16T00:00:00"/>
    <d v="2017-12-16T00:00:00"/>
    <n v="37000"/>
    <n v="33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L1:N4" firstHeaderRow="0" firstDataRow="1" firstDataCol="1"/>
  <pivotFields count="15"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numFmtId="14" showAll="0"/>
    <pivotField numFmtId="164" showAll="0"/>
    <pivotField showAll="0"/>
    <pivotField showAll="0"/>
    <pivotField showAll="0"/>
    <pivotField showAll="0"/>
    <pivotField numFmtId="14" showAll="0"/>
    <pivotField numFmtId="14" showAll="0"/>
    <pivotField dataField="1" numFmtId="165" showAll="0"/>
    <pivotField dataField="1" numFmtId="165" showAll="0"/>
  </pivotFields>
  <rowFields count="1">
    <field x="3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Annual Salary" fld="13" subtotal="average" baseField="3" baseItem="0"/>
    <dataField name="Average  Pension" fld="14" subtotal="average" baseField="3" baseItem="0"/>
  </dataFields>
  <formats count="10">
    <format dxfId="11">
      <pivotArea collapsedLevelsAreSubtotals="1" fieldPosition="0">
        <references count="2">
          <reference field="4294967294" count="1" selected="0">
            <x v="0"/>
          </reference>
          <reference field="3" count="1">
            <x v="0"/>
          </reference>
        </references>
      </pivotArea>
    </format>
    <format dxfId="10">
      <pivotArea collapsedLevelsAreSubtotals="1" fieldPosition="0">
        <references count="2">
          <reference field="4294967294" count="1" selected="0">
            <x v="0"/>
          </reference>
          <reference field="3" count="1">
            <x v="1"/>
          </reference>
        </references>
      </pivotArea>
    </format>
    <format dxfId="9">
      <pivotArea collapsedLevelsAreSubtotals="1" fieldPosition="0">
        <references count="2">
          <reference field="4294967294" count="1" selected="0">
            <x v="1"/>
          </reference>
          <reference field="3" count="1">
            <x v="0"/>
          </reference>
        </references>
      </pivotArea>
    </format>
    <format dxfId="8">
      <pivotArea collapsedLevelsAreSubtotals="1" fieldPosition="0">
        <references count="2">
          <reference field="4294967294" count="1" selected="0">
            <x v="1"/>
          </reference>
          <reference field="3" count="1">
            <x v="1"/>
          </reference>
        </references>
      </pivotArea>
    </format>
    <format dxfId="7">
      <pivotArea type="all" dataOnly="0" outline="0" fieldPosition="0"/>
    </format>
    <format dxfId="6">
      <pivotArea outline="0" collapsedLevelsAreSubtotals="1" fieldPosition="0"/>
    </format>
    <format dxfId="5">
      <pivotArea field="3" type="button" dataOnly="0" labelOnly="1" outline="0" axis="axisRow" fieldPosition="0"/>
    </format>
    <format dxfId="4">
      <pivotArea dataOnly="0" labelOnly="1" fieldPosition="0">
        <references count="1">
          <reference field="3" count="0"/>
        </references>
      </pivotArea>
    </format>
    <format dxfId="3">
      <pivotArea dataOnly="0" labelOnly="1" grandRow="1" outline="0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3:O39" totalsRowCount="1" dataDxfId="41">
  <autoFilter ref="A3:O38"/>
  <sortState ref="A4:O38">
    <sortCondition ref="A3:A38"/>
  </sortState>
  <tableColumns count="15">
    <tableColumn id="1" name="Emp ID" totalsRowFunction="count" dataDxfId="40" totalsRowDxfId="39"/>
    <tableColumn id="2" name="Last"/>
    <tableColumn id="3" name="First" dataDxfId="38" totalsRowDxfId="37"/>
    <tableColumn id="4" name="Gender" dataDxfId="36" totalsRowDxfId="35"/>
    <tableColumn id="5" name="Email">
      <calculatedColumnFormula>LOWER(C4&amp;"."&amp;B4&amp;"@pushpin.com")</calculatedColumnFormula>
    </tableColumn>
    <tableColumn id="6" name="Date of Hire" dataDxfId="34" totalsRowDxfId="33"/>
    <tableColumn id="7" name="Years Service" totalsRowFunction="average" dataDxfId="32" totalsRowDxfId="31">
      <calculatedColumnFormula>YEARFRAC(F4,TODAY())</calculatedColumnFormula>
    </tableColumn>
    <tableColumn id="8" name="Department" dataDxfId="30" totalsRowDxfId="29"/>
    <tableColumn id="9" name="Location" dataDxfId="28" totalsRowDxfId="27"/>
    <tableColumn id="10" name="Floor" dataDxfId="26" totalsRowDxfId="25">
      <calculatedColumnFormula>LEFT(I4,2)</calculatedColumnFormula>
    </tableColumn>
    <tableColumn id="11" name="Extension" dataDxfId="24" totalsRowDxfId="23">
      <calculatedColumnFormula>RIGHT(I4,4)</calculatedColumnFormula>
    </tableColumn>
    <tableColumn id="12" name="Last Review" dataDxfId="22" totalsRowDxfId="21"/>
    <tableColumn id="13" name="Next Review" dataDxfId="20" totalsRowDxfId="19">
      <calculatedColumnFormula>L4+365</calculatedColumnFormula>
    </tableColumn>
    <tableColumn id="14" name="Annual Salary" totalsRowFunction="sum" dataDxfId="18" totalsRowDxfId="17"/>
    <tableColumn id="15" name="Pension" totalsRowFunction="sum" dataDxfId="16">
      <calculatedColumnFormula>N4*Pension_Rate</calculatedColumnFormula>
    </tableColumn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5:D21" totalsRowShown="0">
  <autoFilter ref="A15:D21">
    <filterColumn colId="0" hiddenButton="1"/>
    <filterColumn colId="1" hiddenButton="1"/>
    <filterColumn colId="2" hiddenButton="1"/>
    <filterColumn colId="3" hiddenButton="1"/>
  </autoFilter>
  <tableColumns count="4">
    <tableColumn id="1" name="Department" dataDxfId="15"/>
    <tableColumn id="2" name="Total Salary" dataDxfId="14">
      <calculatedColumnFormula>SUMIFS(Annual_Salary,Department,A16)</calculatedColumnFormula>
    </tableColumn>
    <tableColumn id="3" name="M" dataDxfId="13">
      <calculatedColumnFormula>SUMIFS(Annual_Salary,Department,A16,Gender,$C$15)</calculatedColumnFormula>
    </tableColumn>
    <tableColumn id="4" name="F" dataDxfId="12">
      <calculatedColumnFormula>SUMIFS(Annual_Salary,Department,A16,Gender,$D$15)</calculatedColumnFormula>
    </tableColumn>
  </tableColumns>
  <tableStyleInfo name="TableStyleMedium16" showFirstColumn="1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opLeftCell="A19" zoomScale="70" zoomScaleNormal="70" workbookViewId="0">
      <selection activeCell="N15" sqref="N15"/>
    </sheetView>
  </sheetViews>
  <sheetFormatPr defaultRowHeight="15" x14ac:dyDescent="0.25"/>
  <cols>
    <col min="1" max="1" width="9.140625" style="3" customWidth="1"/>
    <col min="2" max="2" width="13" customWidth="1"/>
    <col min="3" max="3" width="11.7109375" customWidth="1"/>
    <col min="4" max="4" width="9.5703125" style="3" customWidth="1"/>
    <col min="5" max="5" width="29.140625" bestFit="1" customWidth="1"/>
    <col min="6" max="6" width="14" style="3" customWidth="1"/>
    <col min="7" max="7" width="14.85546875" customWidth="1"/>
    <col min="8" max="8" width="17.7109375" customWidth="1"/>
    <col min="9" max="9" width="16.140625" customWidth="1"/>
    <col min="10" max="10" width="10.42578125" customWidth="1"/>
    <col min="11" max="11" width="12.7109375" customWidth="1"/>
    <col min="12" max="12" width="14.140625" customWidth="1"/>
    <col min="13" max="13" width="14.42578125" customWidth="1"/>
    <col min="14" max="14" width="15.140625" customWidth="1"/>
    <col min="15" max="15" width="11.28515625" bestFit="1" customWidth="1"/>
  </cols>
  <sheetData>
    <row r="1" spans="1:16" ht="28.5" x14ac:dyDescent="0.45">
      <c r="A1" s="18" t="s">
        <v>95</v>
      </c>
      <c r="O1" s="14" t="s">
        <v>161</v>
      </c>
      <c r="P1" s="15">
        <v>0.09</v>
      </c>
    </row>
    <row r="3" spans="1:16" x14ac:dyDescent="0.25">
      <c r="A3" t="s">
        <v>0</v>
      </c>
      <c r="B3" t="s">
        <v>1</v>
      </c>
      <c r="C3" t="s">
        <v>2</v>
      </c>
      <c r="D3" t="s">
        <v>164</v>
      </c>
      <c r="E3" t="s">
        <v>3</v>
      </c>
      <c r="F3" t="s">
        <v>4</v>
      </c>
      <c r="G3" t="s">
        <v>62</v>
      </c>
      <c r="H3" t="s">
        <v>5</v>
      </c>
      <c r="I3" t="s">
        <v>6</v>
      </c>
      <c r="J3" t="s">
        <v>60</v>
      </c>
      <c r="K3" t="s">
        <v>7</v>
      </c>
      <c r="L3" t="s">
        <v>132</v>
      </c>
      <c r="M3" t="s">
        <v>133</v>
      </c>
      <c r="N3" t="s">
        <v>170</v>
      </c>
      <c r="O3" t="s">
        <v>160</v>
      </c>
    </row>
    <row r="4" spans="1:16" x14ac:dyDescent="0.25">
      <c r="A4" s="3" t="s">
        <v>8</v>
      </c>
      <c r="B4" t="s">
        <v>140</v>
      </c>
      <c r="C4" s="2" t="s">
        <v>23</v>
      </c>
      <c r="D4" s="19" t="s">
        <v>165</v>
      </c>
      <c r="E4" t="str">
        <f t="shared" ref="E4:E38" si="0">LOWER(C4&amp;"."&amp;B4&amp;"@pushpin.com")</f>
        <v>joe.carol@pushpin.com</v>
      </c>
      <c r="F4" s="7">
        <v>36923</v>
      </c>
      <c r="G4" s="4">
        <f t="shared" ref="G4:G38" ca="1" si="1">YEARFRAC(F4,TODAY())</f>
        <v>21.444444444444443</v>
      </c>
      <c r="H4" s="1" t="s">
        <v>22</v>
      </c>
      <c r="I4" s="5" t="s">
        <v>118</v>
      </c>
      <c r="J4" s="6" t="str">
        <f t="shared" ref="J4:J38" si="2">LEFT(I4,2)</f>
        <v>01</v>
      </c>
      <c r="K4" s="6" t="str">
        <f t="shared" ref="K4:K38" si="3">RIGHT(I4,4)</f>
        <v>2321</v>
      </c>
      <c r="L4" s="7">
        <v>42817</v>
      </c>
      <c r="M4" s="7">
        <f t="shared" ref="M4:M38" si="4">L4+365</f>
        <v>43182</v>
      </c>
      <c r="N4" s="8">
        <v>101400</v>
      </c>
      <c r="O4" s="16">
        <f t="shared" ref="O4:O38" si="5">N4*Pension_Rate</f>
        <v>9126</v>
      </c>
    </row>
    <row r="5" spans="1:16" x14ac:dyDescent="0.25">
      <c r="A5" s="3" t="s">
        <v>9</v>
      </c>
      <c r="B5" t="s">
        <v>144</v>
      </c>
      <c r="C5" s="2" t="s">
        <v>56</v>
      </c>
      <c r="D5" s="19" t="s">
        <v>165</v>
      </c>
      <c r="E5" t="str">
        <f t="shared" si="0"/>
        <v>eric.chung@pushpin.com</v>
      </c>
      <c r="F5" s="7">
        <v>36949</v>
      </c>
      <c r="G5" s="4">
        <f t="shared" ca="1" si="1"/>
        <v>21.372222222222224</v>
      </c>
      <c r="H5" s="1" t="s">
        <v>59</v>
      </c>
      <c r="I5" s="5" t="s">
        <v>105</v>
      </c>
      <c r="J5" s="6" t="str">
        <f t="shared" si="2"/>
        <v>03</v>
      </c>
      <c r="K5" s="6" t="str">
        <f t="shared" si="3"/>
        <v>2796</v>
      </c>
      <c r="L5" s="7">
        <v>42731</v>
      </c>
      <c r="M5" s="7">
        <f t="shared" si="4"/>
        <v>43096</v>
      </c>
      <c r="N5" s="8">
        <v>70300</v>
      </c>
      <c r="O5" s="16">
        <f t="shared" si="5"/>
        <v>6327</v>
      </c>
    </row>
    <row r="6" spans="1:16" x14ac:dyDescent="0.25">
      <c r="A6" s="3" t="s">
        <v>11</v>
      </c>
      <c r="B6" t="s">
        <v>155</v>
      </c>
      <c r="C6" s="2" t="s">
        <v>10</v>
      </c>
      <c r="D6" s="19" t="s">
        <v>165</v>
      </c>
      <c r="E6" t="str">
        <f t="shared" si="0"/>
        <v>daniel.flanders@pushpin.com</v>
      </c>
      <c r="F6" s="7">
        <v>37510</v>
      </c>
      <c r="G6" s="4">
        <f t="shared" ca="1" si="1"/>
        <v>19.833333333333332</v>
      </c>
      <c r="H6" s="1" t="s">
        <v>55</v>
      </c>
      <c r="I6" s="5" t="s">
        <v>124</v>
      </c>
      <c r="J6" s="6" t="str">
        <f t="shared" si="2"/>
        <v>02</v>
      </c>
      <c r="K6" s="6" t="str">
        <f t="shared" si="3"/>
        <v>2639</v>
      </c>
      <c r="L6" s="7">
        <v>42590</v>
      </c>
      <c r="M6" s="7">
        <f t="shared" si="4"/>
        <v>42955</v>
      </c>
      <c r="N6" s="8">
        <v>68800</v>
      </c>
      <c r="O6" s="16">
        <f t="shared" si="5"/>
        <v>6192</v>
      </c>
    </row>
    <row r="7" spans="1:16" x14ac:dyDescent="0.25">
      <c r="A7" s="3" t="s">
        <v>63</v>
      </c>
      <c r="B7" t="s">
        <v>138</v>
      </c>
      <c r="C7" s="2" t="s">
        <v>12</v>
      </c>
      <c r="D7" s="19" t="s">
        <v>165</v>
      </c>
      <c r="E7" t="str">
        <f t="shared" si="0"/>
        <v>adam.barry@pushpin.com</v>
      </c>
      <c r="F7" s="7">
        <v>38099</v>
      </c>
      <c r="G7" s="4">
        <f t="shared" ca="1" si="1"/>
        <v>18.219444444444445</v>
      </c>
      <c r="H7" s="1" t="s">
        <v>24</v>
      </c>
      <c r="I7" s="5" t="s">
        <v>97</v>
      </c>
      <c r="J7" s="6" t="str">
        <f t="shared" si="2"/>
        <v>02</v>
      </c>
      <c r="K7" s="6" t="str">
        <f t="shared" si="3"/>
        <v>2018</v>
      </c>
      <c r="L7" s="7">
        <v>42860</v>
      </c>
      <c r="M7" s="7">
        <f t="shared" si="4"/>
        <v>43225</v>
      </c>
      <c r="N7" s="8">
        <v>59200</v>
      </c>
      <c r="O7" s="16">
        <f t="shared" si="5"/>
        <v>5328</v>
      </c>
    </row>
    <row r="8" spans="1:16" x14ac:dyDescent="0.25">
      <c r="A8" s="3" t="s">
        <v>64</v>
      </c>
      <c r="B8" t="s">
        <v>153</v>
      </c>
      <c r="C8" s="2" t="s">
        <v>21</v>
      </c>
      <c r="D8" s="19" t="s">
        <v>166</v>
      </c>
      <c r="E8" t="str">
        <f t="shared" si="0"/>
        <v>mary.ferris@pushpin.com</v>
      </c>
      <c r="F8" s="7">
        <v>38548</v>
      </c>
      <c r="G8" s="4">
        <f t="shared" ca="1" si="1"/>
        <v>16.988888888888887</v>
      </c>
      <c r="H8" s="1" t="s">
        <v>55</v>
      </c>
      <c r="I8" s="5" t="s">
        <v>123</v>
      </c>
      <c r="J8" s="6" t="str">
        <f t="shared" si="2"/>
        <v>03</v>
      </c>
      <c r="K8" s="6" t="str">
        <f t="shared" si="3"/>
        <v>2392</v>
      </c>
      <c r="L8" s="7">
        <v>42598</v>
      </c>
      <c r="M8" s="7">
        <f t="shared" si="4"/>
        <v>42963</v>
      </c>
      <c r="N8" s="8">
        <v>62900</v>
      </c>
      <c r="O8" s="16">
        <f t="shared" si="5"/>
        <v>5661</v>
      </c>
    </row>
    <row r="9" spans="1:16" x14ac:dyDescent="0.25">
      <c r="A9" s="3" t="s">
        <v>65</v>
      </c>
      <c r="B9" t="s">
        <v>154</v>
      </c>
      <c r="C9" s="2" t="s">
        <v>14</v>
      </c>
      <c r="D9" s="19" t="s">
        <v>166</v>
      </c>
      <c r="E9" t="str">
        <f t="shared" si="0"/>
        <v>susan.filosa@pushpin.com</v>
      </c>
      <c r="F9" s="7">
        <v>38744</v>
      </c>
      <c r="G9" s="4">
        <f t="shared" ca="1" si="1"/>
        <v>16.455555555555556</v>
      </c>
      <c r="H9" s="1" t="s">
        <v>24</v>
      </c>
      <c r="I9" s="5" t="s">
        <v>112</v>
      </c>
      <c r="J9" s="6" t="str">
        <f t="shared" si="2"/>
        <v>02</v>
      </c>
      <c r="K9" s="6" t="str">
        <f t="shared" si="3"/>
        <v>2279</v>
      </c>
      <c r="L9" s="7">
        <v>42596</v>
      </c>
      <c r="M9" s="7">
        <f t="shared" si="4"/>
        <v>42961</v>
      </c>
      <c r="N9" s="8">
        <v>58400</v>
      </c>
      <c r="O9" s="16">
        <f t="shared" si="5"/>
        <v>5256</v>
      </c>
    </row>
    <row r="10" spans="1:16" x14ac:dyDescent="0.25">
      <c r="A10" s="3" t="s">
        <v>66</v>
      </c>
      <c r="B10" t="s">
        <v>29</v>
      </c>
      <c r="C10" s="2" t="s">
        <v>28</v>
      </c>
      <c r="D10" s="19" t="s">
        <v>166</v>
      </c>
      <c r="E10" t="str">
        <f t="shared" si="0"/>
        <v>tina.carlton@pushpin.com</v>
      </c>
      <c r="F10" s="7">
        <v>38798</v>
      </c>
      <c r="G10" s="4">
        <f t="shared" ca="1" si="1"/>
        <v>16.302777777777777</v>
      </c>
      <c r="H10" s="1" t="s">
        <v>55</v>
      </c>
      <c r="I10" s="5" t="s">
        <v>101</v>
      </c>
      <c r="J10" s="6" t="str">
        <f t="shared" si="2"/>
        <v>02</v>
      </c>
      <c r="K10" s="6" t="str">
        <f t="shared" si="3"/>
        <v>2699</v>
      </c>
      <c r="L10" s="7">
        <v>42825</v>
      </c>
      <c r="M10" s="7">
        <f t="shared" si="4"/>
        <v>43190</v>
      </c>
      <c r="N10" s="8">
        <v>59200</v>
      </c>
      <c r="O10" s="16">
        <f t="shared" si="5"/>
        <v>5328</v>
      </c>
    </row>
    <row r="11" spans="1:16" x14ac:dyDescent="0.25">
      <c r="A11" s="3" t="s">
        <v>67</v>
      </c>
      <c r="B11" t="s">
        <v>51</v>
      </c>
      <c r="C11" s="2" t="s">
        <v>50</v>
      </c>
      <c r="D11" s="19" t="s">
        <v>165</v>
      </c>
      <c r="E11" t="str">
        <f t="shared" si="0"/>
        <v>nicholas.fernandes@pushpin.com</v>
      </c>
      <c r="F11" s="7">
        <v>39023</v>
      </c>
      <c r="G11" s="4">
        <f t="shared" ca="1" si="1"/>
        <v>15.691666666666666</v>
      </c>
      <c r="H11" s="1" t="s">
        <v>15</v>
      </c>
      <c r="I11" s="5" t="s">
        <v>122</v>
      </c>
      <c r="J11" s="6" t="str">
        <f t="shared" si="2"/>
        <v>02</v>
      </c>
      <c r="K11" s="6" t="str">
        <f t="shared" si="3"/>
        <v>2372</v>
      </c>
      <c r="L11" s="7">
        <v>42614</v>
      </c>
      <c r="M11" s="7">
        <f t="shared" si="4"/>
        <v>42979</v>
      </c>
      <c r="N11" s="8">
        <v>51600</v>
      </c>
      <c r="O11" s="16">
        <f t="shared" si="5"/>
        <v>4644</v>
      </c>
    </row>
    <row r="12" spans="1:16" x14ac:dyDescent="0.25">
      <c r="A12" s="3" t="s">
        <v>68</v>
      </c>
      <c r="B12" t="s">
        <v>49</v>
      </c>
      <c r="C12" s="2" t="s">
        <v>48</v>
      </c>
      <c r="D12" s="19" t="s">
        <v>165</v>
      </c>
      <c r="E12" t="str">
        <f t="shared" si="0"/>
        <v>stevie.bacata@pushpin.com</v>
      </c>
      <c r="F12" s="7">
        <v>39551</v>
      </c>
      <c r="G12" s="4">
        <f t="shared" ca="1" si="1"/>
        <v>14.244444444444444</v>
      </c>
      <c r="H12" s="1" t="s">
        <v>55</v>
      </c>
      <c r="I12" s="5" t="s">
        <v>96</v>
      </c>
      <c r="J12" s="6" t="str">
        <f t="shared" si="2"/>
        <v>02</v>
      </c>
      <c r="K12" s="6" t="str">
        <f t="shared" si="3"/>
        <v>2635</v>
      </c>
      <c r="L12" s="7">
        <v>42507</v>
      </c>
      <c r="M12" s="7">
        <f t="shared" si="4"/>
        <v>42872</v>
      </c>
      <c r="N12" s="8">
        <v>58200</v>
      </c>
      <c r="O12" s="16">
        <f t="shared" si="5"/>
        <v>5238</v>
      </c>
    </row>
    <row r="13" spans="1:16" x14ac:dyDescent="0.25">
      <c r="A13" s="3" t="s">
        <v>69</v>
      </c>
      <c r="B13" t="s">
        <v>148</v>
      </c>
      <c r="C13" s="2" t="s">
        <v>18</v>
      </c>
      <c r="D13" s="19" t="s">
        <v>166</v>
      </c>
      <c r="E13" t="str">
        <f t="shared" si="0"/>
        <v>janet.comuntzis@pushpin.com</v>
      </c>
      <c r="F13" s="7">
        <v>39686</v>
      </c>
      <c r="G13" s="4">
        <f t="shared" ca="1" si="1"/>
        <v>13.875</v>
      </c>
      <c r="H13" s="1" t="s">
        <v>24</v>
      </c>
      <c r="I13" s="5" t="s">
        <v>109</v>
      </c>
      <c r="J13" s="6" t="str">
        <f t="shared" si="2"/>
        <v>02</v>
      </c>
      <c r="K13" s="6" t="str">
        <f t="shared" si="3"/>
        <v>2286</v>
      </c>
      <c r="L13" s="7">
        <v>42658</v>
      </c>
      <c r="M13" s="7">
        <f t="shared" si="4"/>
        <v>43023</v>
      </c>
      <c r="N13" s="8">
        <v>55800</v>
      </c>
      <c r="O13" s="16">
        <f t="shared" si="5"/>
        <v>5022</v>
      </c>
    </row>
    <row r="14" spans="1:16" x14ac:dyDescent="0.25">
      <c r="A14" s="3" t="s">
        <v>70</v>
      </c>
      <c r="B14" t="s">
        <v>33</v>
      </c>
      <c r="C14" s="2" t="s">
        <v>32</v>
      </c>
      <c r="D14" s="19" t="s">
        <v>165</v>
      </c>
      <c r="E14" t="str">
        <f t="shared" si="0"/>
        <v>mihael.khan@pushpin.com</v>
      </c>
      <c r="F14" s="7">
        <v>40160</v>
      </c>
      <c r="G14" s="4">
        <f t="shared" ca="1" si="1"/>
        <v>12.577777777777778</v>
      </c>
      <c r="H14" s="1" t="s">
        <v>55</v>
      </c>
      <c r="I14" s="5" t="s">
        <v>127</v>
      </c>
      <c r="J14" s="6" t="str">
        <f t="shared" si="2"/>
        <v>02</v>
      </c>
      <c r="K14" s="6" t="str">
        <f t="shared" si="3"/>
        <v>2294</v>
      </c>
      <c r="L14" s="7">
        <v>42566</v>
      </c>
      <c r="M14" s="7">
        <f t="shared" si="4"/>
        <v>42931</v>
      </c>
      <c r="N14" s="8">
        <v>55500</v>
      </c>
      <c r="O14" s="16">
        <f t="shared" si="5"/>
        <v>4995</v>
      </c>
    </row>
    <row r="15" spans="1:16" x14ac:dyDescent="0.25">
      <c r="A15" s="3" t="s">
        <v>71</v>
      </c>
      <c r="B15" t="s">
        <v>143</v>
      </c>
      <c r="C15" s="2" t="s">
        <v>16</v>
      </c>
      <c r="D15" s="19" t="s">
        <v>166</v>
      </c>
      <c r="E15" t="str">
        <f t="shared" si="0"/>
        <v>elizabeth.chu@pushpin.com</v>
      </c>
      <c r="F15" s="7">
        <v>40220</v>
      </c>
      <c r="G15" s="4">
        <f t="shared" ca="1" si="1"/>
        <v>12.416666666666666</v>
      </c>
      <c r="H15" s="1" t="s">
        <v>59</v>
      </c>
      <c r="I15" s="5" t="s">
        <v>104</v>
      </c>
      <c r="J15" s="6" t="str">
        <f t="shared" si="2"/>
        <v>01</v>
      </c>
      <c r="K15" s="6" t="str">
        <f t="shared" si="3"/>
        <v>2425</v>
      </c>
      <c r="L15" s="7">
        <v>42761</v>
      </c>
      <c r="M15" s="7">
        <f t="shared" si="4"/>
        <v>43126</v>
      </c>
      <c r="N15" s="8">
        <v>48400</v>
      </c>
      <c r="O15" s="16">
        <f t="shared" si="5"/>
        <v>4356</v>
      </c>
    </row>
    <row r="16" spans="1:16" x14ac:dyDescent="0.25">
      <c r="A16" s="3" t="s">
        <v>72</v>
      </c>
      <c r="B16" t="s">
        <v>31</v>
      </c>
      <c r="C16" s="2" t="s">
        <v>30</v>
      </c>
      <c r="D16" s="19" t="s">
        <v>166</v>
      </c>
      <c r="E16" t="str">
        <f t="shared" si="0"/>
        <v>samantha.chairs@pushpin.com</v>
      </c>
      <c r="F16" s="7">
        <v>40595</v>
      </c>
      <c r="G16" s="4">
        <f t="shared" ca="1" si="1"/>
        <v>11.388888888888889</v>
      </c>
      <c r="H16" s="1" t="s">
        <v>55</v>
      </c>
      <c r="I16" s="5" t="s">
        <v>103</v>
      </c>
      <c r="J16" s="6" t="str">
        <f t="shared" si="2"/>
        <v>02</v>
      </c>
      <c r="K16" s="6" t="str">
        <f t="shared" si="3"/>
        <v>2962</v>
      </c>
      <c r="L16" s="7">
        <v>42801</v>
      </c>
      <c r="M16" s="7">
        <f t="shared" si="4"/>
        <v>43166</v>
      </c>
      <c r="N16" s="8">
        <v>59300</v>
      </c>
      <c r="O16" s="16">
        <f t="shared" si="5"/>
        <v>5337</v>
      </c>
    </row>
    <row r="17" spans="1:15" x14ac:dyDescent="0.25">
      <c r="A17" s="3" t="s">
        <v>73</v>
      </c>
      <c r="B17" t="s">
        <v>39</v>
      </c>
      <c r="C17" s="2" t="s">
        <v>38</v>
      </c>
      <c r="D17" s="19" t="s">
        <v>166</v>
      </c>
      <c r="E17" t="str">
        <f t="shared" si="0"/>
        <v>natasha.song@pushpin.com</v>
      </c>
      <c r="F17" s="7">
        <v>40713</v>
      </c>
      <c r="G17" s="4">
        <f t="shared" ca="1" si="1"/>
        <v>11.061111111111112</v>
      </c>
      <c r="H17" s="1" t="s">
        <v>55</v>
      </c>
      <c r="I17" s="5" t="s">
        <v>129</v>
      </c>
      <c r="J17" s="6" t="str">
        <f t="shared" si="2"/>
        <v>02</v>
      </c>
      <c r="K17" s="6" t="str">
        <f t="shared" si="3"/>
        <v>2578</v>
      </c>
      <c r="L17" s="7">
        <v>42552</v>
      </c>
      <c r="M17" s="7">
        <f t="shared" si="4"/>
        <v>42917</v>
      </c>
      <c r="N17" s="8">
        <v>56000</v>
      </c>
      <c r="O17" s="16">
        <f t="shared" si="5"/>
        <v>5040</v>
      </c>
    </row>
    <row r="18" spans="1:15" x14ac:dyDescent="0.25">
      <c r="A18" s="3" t="s">
        <v>74</v>
      </c>
      <c r="B18" t="s">
        <v>142</v>
      </c>
      <c r="C18" s="2" t="s">
        <v>61</v>
      </c>
      <c r="D18" s="19" t="s">
        <v>166</v>
      </c>
      <c r="E18" t="str">
        <f t="shared" si="0"/>
        <v>uma.chaudri@pushpin.com</v>
      </c>
      <c r="F18" s="7">
        <v>40994</v>
      </c>
      <c r="G18" s="4">
        <f t="shared" ca="1" si="1"/>
        <v>10.291666666666666</v>
      </c>
      <c r="H18" s="1" t="s">
        <v>17</v>
      </c>
      <c r="I18" s="5" t="s">
        <v>119</v>
      </c>
      <c r="J18" s="6" t="str">
        <f t="shared" si="2"/>
        <v>03</v>
      </c>
      <c r="K18" s="6" t="str">
        <f t="shared" si="3"/>
        <v>2134</v>
      </c>
      <c r="L18" s="7">
        <v>42776</v>
      </c>
      <c r="M18" s="7">
        <f t="shared" si="4"/>
        <v>43141</v>
      </c>
      <c r="N18" s="8">
        <v>63200</v>
      </c>
      <c r="O18" s="16">
        <f t="shared" si="5"/>
        <v>5688</v>
      </c>
    </row>
    <row r="19" spans="1:15" x14ac:dyDescent="0.25">
      <c r="A19" s="3" t="s">
        <v>75</v>
      </c>
      <c r="B19" t="s">
        <v>150</v>
      </c>
      <c r="C19" s="2" t="s">
        <v>28</v>
      </c>
      <c r="D19" s="19" t="s">
        <v>166</v>
      </c>
      <c r="E19" t="str">
        <f t="shared" si="0"/>
        <v>tina.desiato@pushpin.com</v>
      </c>
      <c r="F19" s="7">
        <v>41175</v>
      </c>
      <c r="G19" s="4">
        <f t="shared" ca="1" si="1"/>
        <v>9.8000000000000007</v>
      </c>
      <c r="H19" t="s">
        <v>59</v>
      </c>
      <c r="I19" s="5" t="s">
        <v>121</v>
      </c>
      <c r="J19" s="6" t="str">
        <f t="shared" si="2"/>
        <v>01</v>
      </c>
      <c r="K19" s="6" t="str">
        <f t="shared" si="3"/>
        <v>2358</v>
      </c>
      <c r="L19" s="7">
        <v>42652</v>
      </c>
      <c r="M19" s="7">
        <f t="shared" si="4"/>
        <v>43017</v>
      </c>
      <c r="N19" s="8">
        <v>51700</v>
      </c>
      <c r="O19" s="16">
        <f t="shared" si="5"/>
        <v>4653</v>
      </c>
    </row>
    <row r="20" spans="1:15" x14ac:dyDescent="0.25">
      <c r="A20" s="3" t="s">
        <v>76</v>
      </c>
      <c r="B20" t="s">
        <v>149</v>
      </c>
      <c r="C20" s="2" t="s">
        <v>19</v>
      </c>
      <c r="D20" s="19" t="s">
        <v>165</v>
      </c>
      <c r="E20" t="str">
        <f t="shared" si="0"/>
        <v>bob.decker@pushpin.com</v>
      </c>
      <c r="F20" s="7">
        <v>41210</v>
      </c>
      <c r="G20" s="4">
        <f t="shared" ca="1" si="1"/>
        <v>9.7027777777777775</v>
      </c>
      <c r="H20" s="1" t="s">
        <v>59</v>
      </c>
      <c r="I20" s="5" t="s">
        <v>120</v>
      </c>
      <c r="J20" s="6" t="str">
        <f t="shared" si="2"/>
        <v>01</v>
      </c>
      <c r="K20" s="6" t="str">
        <f t="shared" si="3"/>
        <v>2086</v>
      </c>
      <c r="L20" s="7">
        <v>42656</v>
      </c>
      <c r="M20" s="7">
        <f t="shared" si="4"/>
        <v>43021</v>
      </c>
      <c r="N20" s="8">
        <v>49600</v>
      </c>
      <c r="O20" s="16">
        <f t="shared" si="5"/>
        <v>4464</v>
      </c>
    </row>
    <row r="21" spans="1:15" x14ac:dyDescent="0.25">
      <c r="A21" s="3" t="s">
        <v>77</v>
      </c>
      <c r="B21" t="s">
        <v>147</v>
      </c>
      <c r="C21" s="2" t="s">
        <v>20</v>
      </c>
      <c r="D21" s="19" t="s">
        <v>166</v>
      </c>
      <c r="E21" t="str">
        <f t="shared" si="0"/>
        <v>sabrina.cole@pushpin.com</v>
      </c>
      <c r="F21" s="7">
        <v>41401</v>
      </c>
      <c r="G21" s="4">
        <f t="shared" ca="1" si="1"/>
        <v>9.1777777777777771</v>
      </c>
      <c r="H21" s="1" t="s">
        <v>24</v>
      </c>
      <c r="I21" s="5" t="s">
        <v>108</v>
      </c>
      <c r="J21" s="6" t="str">
        <f t="shared" si="2"/>
        <v>02</v>
      </c>
      <c r="K21" s="6" t="str">
        <f t="shared" si="3"/>
        <v>2537</v>
      </c>
      <c r="L21" s="7">
        <v>42710</v>
      </c>
      <c r="M21" s="7">
        <f t="shared" si="4"/>
        <v>43075</v>
      </c>
      <c r="N21" s="8">
        <v>45100</v>
      </c>
      <c r="O21" s="16">
        <f t="shared" si="5"/>
        <v>4059</v>
      </c>
    </row>
    <row r="22" spans="1:15" x14ac:dyDescent="0.25">
      <c r="A22" s="3" t="s">
        <v>78</v>
      </c>
      <c r="B22" t="s">
        <v>141</v>
      </c>
      <c r="C22" s="2" t="s">
        <v>27</v>
      </c>
      <c r="D22" s="19" t="s">
        <v>165</v>
      </c>
      <c r="E22" t="str">
        <f t="shared" si="0"/>
        <v>jim.chaffee@pushpin.com</v>
      </c>
      <c r="F22" s="7">
        <v>41787</v>
      </c>
      <c r="G22" s="4">
        <f t="shared" ca="1" si="1"/>
        <v>8.1194444444444436</v>
      </c>
      <c r="H22" s="1" t="s">
        <v>13</v>
      </c>
      <c r="I22" s="5" t="s">
        <v>102</v>
      </c>
      <c r="J22" s="6" t="str">
        <f t="shared" si="2"/>
        <v>03</v>
      </c>
      <c r="K22" s="6" t="str">
        <f t="shared" si="3"/>
        <v>2432</v>
      </c>
      <c r="L22" s="7">
        <v>42804</v>
      </c>
      <c r="M22" s="7">
        <f t="shared" si="4"/>
        <v>43169</v>
      </c>
      <c r="N22" s="8">
        <v>42100</v>
      </c>
      <c r="O22" s="16">
        <f t="shared" si="5"/>
        <v>3789</v>
      </c>
    </row>
    <row r="23" spans="1:15" x14ac:dyDescent="0.25">
      <c r="A23" s="3" t="s">
        <v>79</v>
      </c>
      <c r="B23" t="s">
        <v>139</v>
      </c>
      <c r="C23" s="2" t="s">
        <v>27</v>
      </c>
      <c r="D23" s="19" t="s">
        <v>165</v>
      </c>
      <c r="E23" t="str">
        <f t="shared" si="0"/>
        <v>jim.boller@pushpin.com</v>
      </c>
      <c r="F23" s="7">
        <v>41893</v>
      </c>
      <c r="G23" s="4">
        <f t="shared" ca="1" si="1"/>
        <v>7.833333333333333</v>
      </c>
      <c r="H23" s="1" t="s">
        <v>15</v>
      </c>
      <c r="I23" s="5" t="s">
        <v>116</v>
      </c>
      <c r="J23" s="6" t="str">
        <f t="shared" si="2"/>
        <v>03</v>
      </c>
      <c r="K23" s="6" t="str">
        <f t="shared" si="3"/>
        <v>2318</v>
      </c>
      <c r="L23" s="7">
        <v>42835</v>
      </c>
      <c r="M23" s="7">
        <f t="shared" si="4"/>
        <v>43200</v>
      </c>
      <c r="N23" s="8">
        <v>62800</v>
      </c>
      <c r="O23" s="16">
        <f t="shared" si="5"/>
        <v>5652</v>
      </c>
    </row>
    <row r="24" spans="1:15" x14ac:dyDescent="0.25">
      <c r="A24" s="3" t="s">
        <v>80</v>
      </c>
      <c r="B24" t="s">
        <v>47</v>
      </c>
      <c r="C24" s="2" t="s">
        <v>46</v>
      </c>
      <c r="D24" s="19" t="s">
        <v>165</v>
      </c>
      <c r="E24" t="str">
        <f t="shared" si="0"/>
        <v>charlie.bui@pushpin.com</v>
      </c>
      <c r="F24" s="7">
        <v>41903</v>
      </c>
      <c r="G24" s="4">
        <f t="shared" ca="1" si="1"/>
        <v>7.8055555555555554</v>
      </c>
      <c r="H24" s="1" t="s">
        <v>55</v>
      </c>
      <c r="I24" s="5" t="s">
        <v>117</v>
      </c>
      <c r="J24" s="6" t="str">
        <f t="shared" si="2"/>
        <v>02</v>
      </c>
      <c r="K24" s="6" t="str">
        <f t="shared" si="3"/>
        <v>2694</v>
      </c>
      <c r="L24" s="7">
        <v>42828</v>
      </c>
      <c r="M24" s="7">
        <f t="shared" si="4"/>
        <v>43193</v>
      </c>
      <c r="N24" s="8">
        <v>54700</v>
      </c>
      <c r="O24" s="16">
        <f t="shared" si="5"/>
        <v>4923</v>
      </c>
    </row>
    <row r="25" spans="1:15" x14ac:dyDescent="0.25">
      <c r="A25" s="3" t="s">
        <v>81</v>
      </c>
      <c r="B25" t="s">
        <v>43</v>
      </c>
      <c r="C25" s="2" t="s">
        <v>42</v>
      </c>
      <c r="D25" s="19" t="s">
        <v>165</v>
      </c>
      <c r="E25" t="str">
        <f t="shared" si="0"/>
        <v>connor.betts@pushpin.com</v>
      </c>
      <c r="F25" s="7">
        <v>41956</v>
      </c>
      <c r="G25" s="4">
        <f t="shared" ca="1" si="1"/>
        <v>7.6611111111111114</v>
      </c>
      <c r="H25" s="1" t="s">
        <v>55</v>
      </c>
      <c r="I25" s="5" t="s">
        <v>98</v>
      </c>
      <c r="J25" s="6" t="str">
        <f t="shared" si="2"/>
        <v>02</v>
      </c>
      <c r="K25" s="6" t="str">
        <f t="shared" si="3"/>
        <v>2347</v>
      </c>
      <c r="L25" s="7">
        <v>42848</v>
      </c>
      <c r="M25" s="7">
        <f t="shared" si="4"/>
        <v>43213</v>
      </c>
      <c r="N25" s="8">
        <v>52600</v>
      </c>
      <c r="O25" s="16">
        <f t="shared" si="5"/>
        <v>4734</v>
      </c>
    </row>
    <row r="26" spans="1:15" x14ac:dyDescent="0.25">
      <c r="A26" s="3" t="s">
        <v>82</v>
      </c>
      <c r="B26" t="s">
        <v>145</v>
      </c>
      <c r="C26" s="2" t="s">
        <v>146</v>
      </c>
      <c r="D26" s="19" t="s">
        <v>166</v>
      </c>
      <c r="E26" t="str">
        <f t="shared" si="0"/>
        <v>anna.clark@pushpin.com</v>
      </c>
      <c r="F26" s="7">
        <v>41989</v>
      </c>
      <c r="G26" s="4">
        <f t="shared" ca="1" si="1"/>
        <v>7.5694444444444446</v>
      </c>
      <c r="H26" s="1" t="s">
        <v>15</v>
      </c>
      <c r="I26" s="5" t="s">
        <v>106</v>
      </c>
      <c r="J26" s="6" t="str">
        <f t="shared" si="2"/>
        <v>03</v>
      </c>
      <c r="K26" s="6" t="str">
        <f t="shared" si="3"/>
        <v>2601</v>
      </c>
      <c r="L26" s="7">
        <v>42731</v>
      </c>
      <c r="M26" s="7">
        <f t="shared" si="4"/>
        <v>43096</v>
      </c>
      <c r="N26" s="8">
        <v>58500</v>
      </c>
      <c r="O26" s="16">
        <f t="shared" si="5"/>
        <v>5265</v>
      </c>
    </row>
    <row r="27" spans="1:15" x14ac:dyDescent="0.25">
      <c r="A27" s="3" t="s">
        <v>83</v>
      </c>
      <c r="B27" t="s">
        <v>41</v>
      </c>
      <c r="C27" s="2" t="s">
        <v>40</v>
      </c>
      <c r="D27" s="19" t="s">
        <v>166</v>
      </c>
      <c r="E27" t="str">
        <f t="shared" si="0"/>
        <v>aanya.zhang@pushpin.com</v>
      </c>
      <c r="F27" s="7">
        <v>42002</v>
      </c>
      <c r="G27" s="4">
        <f t="shared" ca="1" si="1"/>
        <v>7.5333333333333332</v>
      </c>
      <c r="H27" s="1" t="s">
        <v>55</v>
      </c>
      <c r="I27" s="5" t="s">
        <v>131</v>
      </c>
      <c r="J27" s="6" t="str">
        <f t="shared" si="2"/>
        <v>02</v>
      </c>
      <c r="K27" s="6" t="str">
        <f t="shared" si="3"/>
        <v>2793</v>
      </c>
      <c r="L27" s="7">
        <v>42540</v>
      </c>
      <c r="M27" s="7">
        <f t="shared" si="4"/>
        <v>42905</v>
      </c>
      <c r="N27" s="8">
        <v>46500</v>
      </c>
      <c r="O27" s="16">
        <f t="shared" si="5"/>
        <v>4185</v>
      </c>
    </row>
    <row r="28" spans="1:15" x14ac:dyDescent="0.25">
      <c r="A28" s="3" t="s">
        <v>84</v>
      </c>
      <c r="B28" t="s">
        <v>37</v>
      </c>
      <c r="C28" s="2" t="s">
        <v>36</v>
      </c>
      <c r="D28" s="19" t="s">
        <v>165</v>
      </c>
      <c r="E28" t="str">
        <f t="shared" si="0"/>
        <v>leighton.forrest@pushpin.com</v>
      </c>
      <c r="F28" s="7">
        <v>42120</v>
      </c>
      <c r="G28" s="4">
        <f t="shared" ca="1" si="1"/>
        <v>7.208333333333333</v>
      </c>
      <c r="H28" s="1" t="s">
        <v>55</v>
      </c>
      <c r="I28" s="5" t="s">
        <v>125</v>
      </c>
      <c r="J28" s="6" t="str">
        <f t="shared" si="2"/>
        <v>02</v>
      </c>
      <c r="K28" s="6" t="str">
        <f t="shared" si="3"/>
        <v>2284</v>
      </c>
      <c r="L28" s="7">
        <v>42586</v>
      </c>
      <c r="M28" s="7">
        <f t="shared" si="4"/>
        <v>42951</v>
      </c>
      <c r="N28" s="8">
        <v>56200</v>
      </c>
      <c r="O28" s="16">
        <f t="shared" si="5"/>
        <v>5058</v>
      </c>
    </row>
    <row r="29" spans="1:15" x14ac:dyDescent="0.25">
      <c r="A29" s="3" t="s">
        <v>85</v>
      </c>
      <c r="B29" t="s">
        <v>151</v>
      </c>
      <c r="C29" s="2" t="s">
        <v>26</v>
      </c>
      <c r="D29" s="19" t="s">
        <v>166</v>
      </c>
      <c r="E29" t="str">
        <f t="shared" si="0"/>
        <v>alexandra.donnell@pushpin.com</v>
      </c>
      <c r="F29" s="7">
        <v>42228</v>
      </c>
      <c r="G29" s="4">
        <f t="shared" ca="1" si="1"/>
        <v>6.9138888888888888</v>
      </c>
      <c r="H29" s="1" t="s">
        <v>15</v>
      </c>
      <c r="I29" s="5" t="s">
        <v>110</v>
      </c>
      <c r="J29" s="6" t="str">
        <f t="shared" si="2"/>
        <v>03</v>
      </c>
      <c r="K29" s="6" t="str">
        <f t="shared" si="3"/>
        <v>2082</v>
      </c>
      <c r="L29" s="7">
        <v>42629</v>
      </c>
      <c r="M29" s="7">
        <f t="shared" si="4"/>
        <v>42994</v>
      </c>
      <c r="N29" s="8">
        <v>54900</v>
      </c>
      <c r="O29" s="16">
        <f t="shared" si="5"/>
        <v>4941</v>
      </c>
    </row>
    <row r="30" spans="1:15" x14ac:dyDescent="0.25">
      <c r="A30" s="3" t="s">
        <v>86</v>
      </c>
      <c r="B30" t="s">
        <v>156</v>
      </c>
      <c r="C30" s="2" t="s">
        <v>157</v>
      </c>
      <c r="D30" s="19" t="s">
        <v>165</v>
      </c>
      <c r="E30" t="str">
        <f t="shared" si="0"/>
        <v>carlos.martinez@pushpin.com</v>
      </c>
      <c r="F30" s="7">
        <v>42229</v>
      </c>
      <c r="G30" s="4">
        <f t="shared" ca="1" si="1"/>
        <v>6.9111111111111114</v>
      </c>
      <c r="H30" s="1" t="s">
        <v>17</v>
      </c>
      <c r="I30" s="5" t="s">
        <v>99</v>
      </c>
      <c r="J30" s="6" t="str">
        <f t="shared" si="2"/>
        <v>03</v>
      </c>
      <c r="K30" s="6" t="str">
        <f t="shared" si="3"/>
        <v>2764</v>
      </c>
      <c r="L30" s="7">
        <v>42845</v>
      </c>
      <c r="M30" s="7">
        <f t="shared" si="4"/>
        <v>43210</v>
      </c>
      <c r="N30" s="8">
        <v>47900</v>
      </c>
      <c r="O30" s="16">
        <f t="shared" si="5"/>
        <v>4311</v>
      </c>
    </row>
    <row r="31" spans="1:15" x14ac:dyDescent="0.25">
      <c r="A31" s="3" t="s">
        <v>87</v>
      </c>
      <c r="B31" t="s">
        <v>53</v>
      </c>
      <c r="C31" s="2" t="s">
        <v>115</v>
      </c>
      <c r="D31" s="19" t="s">
        <v>165</v>
      </c>
      <c r="E31" t="str">
        <f t="shared" si="0"/>
        <v>peter.staples@pushpin.com</v>
      </c>
      <c r="F31" s="7">
        <v>42321</v>
      </c>
      <c r="G31" s="4">
        <f t="shared" ca="1" si="1"/>
        <v>6.6611111111111114</v>
      </c>
      <c r="H31" s="1" t="s">
        <v>55</v>
      </c>
      <c r="I31" s="5" t="s">
        <v>130</v>
      </c>
      <c r="J31" s="6" t="str">
        <f t="shared" si="2"/>
        <v>02</v>
      </c>
      <c r="K31" s="6" t="str">
        <f t="shared" si="3"/>
        <v>2654</v>
      </c>
      <c r="L31" s="7">
        <v>42551</v>
      </c>
      <c r="M31" s="7">
        <f t="shared" si="4"/>
        <v>42916</v>
      </c>
      <c r="N31" s="8">
        <v>49600</v>
      </c>
      <c r="O31" s="16">
        <f t="shared" si="5"/>
        <v>4464</v>
      </c>
    </row>
    <row r="32" spans="1:15" x14ac:dyDescent="0.25">
      <c r="A32" s="3" t="s">
        <v>88</v>
      </c>
      <c r="B32" t="s">
        <v>54</v>
      </c>
      <c r="C32" s="2" t="s">
        <v>52</v>
      </c>
      <c r="D32" s="19" t="s">
        <v>166</v>
      </c>
      <c r="E32" t="str">
        <f t="shared" si="0"/>
        <v>radhya.senome@pushpin.com</v>
      </c>
      <c r="F32" s="7">
        <v>42324</v>
      </c>
      <c r="G32" s="4">
        <f t="shared" ca="1" si="1"/>
        <v>6.6527777777777777</v>
      </c>
      <c r="H32" s="1" t="s">
        <v>55</v>
      </c>
      <c r="I32" s="5" t="s">
        <v>128</v>
      </c>
      <c r="J32" s="6" t="str">
        <f t="shared" si="2"/>
        <v>02</v>
      </c>
      <c r="K32" s="6" t="str">
        <f t="shared" si="3"/>
        <v>2260</v>
      </c>
      <c r="L32" s="7">
        <v>42563</v>
      </c>
      <c r="M32" s="7">
        <f t="shared" si="4"/>
        <v>42928</v>
      </c>
      <c r="N32" s="8">
        <v>35600</v>
      </c>
      <c r="O32" s="16">
        <f t="shared" si="5"/>
        <v>3204</v>
      </c>
    </row>
    <row r="33" spans="1:15" x14ac:dyDescent="0.25">
      <c r="A33" s="3" t="s">
        <v>89</v>
      </c>
      <c r="B33" t="s">
        <v>152</v>
      </c>
      <c r="C33" s="2" t="s">
        <v>25</v>
      </c>
      <c r="D33" s="19" t="s">
        <v>165</v>
      </c>
      <c r="E33" t="str">
        <f t="shared" si="0"/>
        <v>mark.ellis@pushpin.com</v>
      </c>
      <c r="F33" s="7">
        <v>42371</v>
      </c>
      <c r="G33" s="4">
        <f t="shared" ca="1" si="1"/>
        <v>6.5250000000000004</v>
      </c>
      <c r="H33" s="1" t="s">
        <v>59</v>
      </c>
      <c r="I33" s="5" t="s">
        <v>111</v>
      </c>
      <c r="J33" s="6" t="str">
        <f t="shared" si="2"/>
        <v>03</v>
      </c>
      <c r="K33" s="6" t="str">
        <f t="shared" si="3"/>
        <v>2482</v>
      </c>
      <c r="L33" s="7">
        <v>42619</v>
      </c>
      <c r="M33" s="7">
        <f t="shared" si="4"/>
        <v>42984</v>
      </c>
      <c r="N33" s="8">
        <v>58500</v>
      </c>
      <c r="O33" s="16">
        <f t="shared" si="5"/>
        <v>5265</v>
      </c>
    </row>
    <row r="34" spans="1:15" x14ac:dyDescent="0.25">
      <c r="A34" s="3" t="s">
        <v>90</v>
      </c>
      <c r="B34" t="s">
        <v>45</v>
      </c>
      <c r="C34" s="2" t="s">
        <v>44</v>
      </c>
      <c r="D34" s="19" t="s">
        <v>166</v>
      </c>
      <c r="E34" t="str">
        <f t="shared" si="0"/>
        <v>yvette.biti@pushpin.com</v>
      </c>
      <c r="F34" s="7">
        <v>42384</v>
      </c>
      <c r="G34" s="4">
        <f t="shared" ca="1" si="1"/>
        <v>6.4888888888888889</v>
      </c>
      <c r="H34" s="1" t="s">
        <v>55</v>
      </c>
      <c r="I34" s="5" t="s">
        <v>100</v>
      </c>
      <c r="J34" s="6" t="str">
        <f t="shared" si="2"/>
        <v>02</v>
      </c>
      <c r="K34" s="6" t="str">
        <f t="shared" si="3"/>
        <v>2589</v>
      </c>
      <c r="L34" s="7">
        <v>42839</v>
      </c>
      <c r="M34" s="7">
        <f t="shared" si="4"/>
        <v>43204</v>
      </c>
      <c r="N34" s="8">
        <v>51400</v>
      </c>
      <c r="O34" s="16">
        <f t="shared" si="5"/>
        <v>4626</v>
      </c>
    </row>
    <row r="35" spans="1:15" x14ac:dyDescent="0.25">
      <c r="A35" s="3" t="s">
        <v>91</v>
      </c>
      <c r="B35" t="s">
        <v>158</v>
      </c>
      <c r="C35" s="2" t="s">
        <v>58</v>
      </c>
      <c r="D35" s="19" t="s">
        <v>165</v>
      </c>
      <c r="E35" t="str">
        <f t="shared" si="0"/>
        <v>sean.sanders@pushpin.com</v>
      </c>
      <c r="F35" s="7">
        <v>42691</v>
      </c>
      <c r="G35" s="4">
        <f t="shared" ca="1" si="1"/>
        <v>5.65</v>
      </c>
      <c r="H35" s="1" t="s">
        <v>17</v>
      </c>
      <c r="I35" s="5" t="s">
        <v>113</v>
      </c>
      <c r="J35" s="6" t="str">
        <f t="shared" si="2"/>
        <v>03</v>
      </c>
      <c r="K35" s="6" t="str">
        <f t="shared" si="3"/>
        <v>2765</v>
      </c>
      <c r="L35" s="7">
        <v>42566</v>
      </c>
      <c r="M35" s="7">
        <f t="shared" si="4"/>
        <v>42931</v>
      </c>
      <c r="N35" s="8">
        <v>38600</v>
      </c>
      <c r="O35" s="16">
        <f t="shared" si="5"/>
        <v>3474</v>
      </c>
    </row>
    <row r="36" spans="1:15" x14ac:dyDescent="0.25">
      <c r="A36" s="3" t="s">
        <v>92</v>
      </c>
      <c r="B36" t="s">
        <v>35</v>
      </c>
      <c r="C36" s="2" t="s">
        <v>34</v>
      </c>
      <c r="D36" s="19" t="s">
        <v>166</v>
      </c>
      <c r="E36" t="str">
        <f t="shared" si="0"/>
        <v>phoebe.gour@pushpin.com</v>
      </c>
      <c r="F36" s="7">
        <v>42721</v>
      </c>
      <c r="G36" s="4">
        <f t="shared" ca="1" si="1"/>
        <v>5.5666666666666664</v>
      </c>
      <c r="H36" s="1" t="s">
        <v>55</v>
      </c>
      <c r="I36" s="5" t="s">
        <v>126</v>
      </c>
      <c r="J36" s="6" t="str">
        <f t="shared" si="2"/>
        <v>02</v>
      </c>
      <c r="K36" s="6" t="str">
        <f t="shared" si="3"/>
        <v>2910</v>
      </c>
      <c r="L36" s="7">
        <v>42539</v>
      </c>
      <c r="M36" s="7">
        <f t="shared" si="4"/>
        <v>42904</v>
      </c>
      <c r="N36" s="8">
        <v>40500</v>
      </c>
      <c r="O36" s="16">
        <f t="shared" si="5"/>
        <v>3645</v>
      </c>
    </row>
    <row r="37" spans="1:15" x14ac:dyDescent="0.25">
      <c r="A37" s="3" t="s">
        <v>93</v>
      </c>
      <c r="B37" t="s">
        <v>159</v>
      </c>
      <c r="C37" s="2" t="s">
        <v>57</v>
      </c>
      <c r="D37" s="19" t="s">
        <v>166</v>
      </c>
      <c r="E37" t="str">
        <f t="shared" si="0"/>
        <v>mei.wang@pushpin.com</v>
      </c>
      <c r="F37" s="7">
        <v>40188</v>
      </c>
      <c r="G37" s="4">
        <f t="shared" ca="1" si="1"/>
        <v>12.502777777777778</v>
      </c>
      <c r="H37" s="1" t="s">
        <v>22</v>
      </c>
      <c r="I37" s="5" t="s">
        <v>114</v>
      </c>
      <c r="J37" s="6" t="str">
        <f t="shared" si="2"/>
        <v>01</v>
      </c>
      <c r="K37" s="6" t="str">
        <f t="shared" si="3"/>
        <v>2783</v>
      </c>
      <c r="L37" s="7">
        <v>42544</v>
      </c>
      <c r="M37" s="7">
        <f t="shared" si="4"/>
        <v>42909</v>
      </c>
      <c r="N37" s="8">
        <v>96400</v>
      </c>
      <c r="O37" s="16">
        <f t="shared" si="5"/>
        <v>8676</v>
      </c>
    </row>
    <row r="38" spans="1:15" x14ac:dyDescent="0.25">
      <c r="A38" s="3" t="s">
        <v>94</v>
      </c>
      <c r="B38" t="s">
        <v>145</v>
      </c>
      <c r="C38" s="2" t="s">
        <v>16</v>
      </c>
      <c r="D38" s="19" t="s">
        <v>166</v>
      </c>
      <c r="E38" t="str">
        <f t="shared" si="0"/>
        <v>elizabeth.clark@pushpin.com</v>
      </c>
      <c r="F38" s="7">
        <v>42874</v>
      </c>
      <c r="G38" s="4">
        <f t="shared" ca="1" si="1"/>
        <v>5.1444444444444448</v>
      </c>
      <c r="H38" s="1" t="s">
        <v>24</v>
      </c>
      <c r="I38" s="5" t="s">
        <v>107</v>
      </c>
      <c r="J38" s="6" t="str">
        <f t="shared" si="2"/>
        <v>02</v>
      </c>
      <c r="K38" s="6" t="str">
        <f t="shared" si="3"/>
        <v>2414</v>
      </c>
      <c r="L38" s="7">
        <v>42720</v>
      </c>
      <c r="M38" s="7">
        <f t="shared" si="4"/>
        <v>43085</v>
      </c>
      <c r="N38" s="8">
        <v>37000</v>
      </c>
      <c r="O38" s="16">
        <f t="shared" si="5"/>
        <v>3330</v>
      </c>
    </row>
    <row r="39" spans="1:15" x14ac:dyDescent="0.25">
      <c r="A39" s="3">
        <f>SUBTOTAL(103,Table1[Emp ID])</f>
        <v>35</v>
      </c>
      <c r="C39" s="2"/>
      <c r="D39" s="19"/>
      <c r="G39" s="4">
        <f ca="1">SUBTOTAL(101,Table1[Years Service])</f>
        <v>10.959761904761903</v>
      </c>
      <c r="H39" s="21"/>
      <c r="I39" s="22"/>
      <c r="J39" s="3"/>
      <c r="K39" s="3"/>
      <c r="L39" s="3"/>
      <c r="M39" s="3"/>
      <c r="N39" s="8">
        <f>SUBTOTAL(109,Table1[Annual Salary])</f>
        <v>1958400</v>
      </c>
      <c r="O39" s="16">
        <f>SUBTOTAL(109,Table1[Pension])</f>
        <v>176256</v>
      </c>
    </row>
    <row r="41" spans="1:15" ht="15.75" x14ac:dyDescent="0.25">
      <c r="E41" s="13"/>
    </row>
    <row r="42" spans="1:15" ht="15.75" x14ac:dyDescent="0.25">
      <c r="E42" s="13"/>
    </row>
    <row r="43" spans="1:15" ht="15.75" x14ac:dyDescent="0.25">
      <c r="E43" s="13"/>
    </row>
  </sheetData>
  <sortState ref="A4:N38">
    <sortCondition ref="A7"/>
  </sortState>
  <conditionalFormatting sqref="M4:M38">
    <cfRule type="cellIs" dxfId="1" priority="1" operator="equal">
      <formula>0</formula>
    </cfRule>
    <cfRule type="expression" dxfId="0" priority="2">
      <formula>M4&lt;TODAY()</formula>
    </cfRule>
  </conditionalFormatting>
  <pageMargins left="0.7" right="0.7" top="0.75" bottom="0.75" header="0.3" footer="0.3"/>
  <pageSetup paperSize="9" orientation="portrait" horizontalDpi="75" verticalDpi="7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showGridLines="0" zoomScale="70" zoomScaleNormal="70" workbookViewId="0">
      <selection activeCell="A3" sqref="A3:B7"/>
    </sheetView>
  </sheetViews>
  <sheetFormatPr defaultRowHeight="15" x14ac:dyDescent="0.25"/>
  <cols>
    <col min="1" max="1" width="29.7109375" customWidth="1"/>
    <col min="2" max="2" width="21.28515625" customWidth="1"/>
    <col min="3" max="4" width="17.140625" customWidth="1"/>
    <col min="12" max="12" width="17.85546875" bestFit="1" customWidth="1"/>
    <col min="13" max="13" width="28.140625" customWidth="1"/>
    <col min="14" max="14" width="22" customWidth="1"/>
  </cols>
  <sheetData>
    <row r="1" spans="1:14" ht="28.5" x14ac:dyDescent="0.45">
      <c r="A1" s="18" t="s">
        <v>95</v>
      </c>
      <c r="L1" s="23" t="s">
        <v>171</v>
      </c>
      <c r="M1" s="24" t="s">
        <v>173</v>
      </c>
      <c r="N1" s="24" t="s">
        <v>174</v>
      </c>
    </row>
    <row r="2" spans="1:14" x14ac:dyDescent="0.25">
      <c r="A2" s="3"/>
      <c r="L2" s="25" t="s">
        <v>166</v>
      </c>
      <c r="M2" s="26">
        <v>54488.888888888891</v>
      </c>
      <c r="N2" s="26">
        <v>4904</v>
      </c>
    </row>
    <row r="3" spans="1:14" ht="23.25" customHeight="1" x14ac:dyDescent="0.25">
      <c r="A3" s="9" t="s">
        <v>162</v>
      </c>
      <c r="B3" s="17">
        <f>COUNTA(Emp_ID)</f>
        <v>35</v>
      </c>
      <c r="L3" s="25" t="s">
        <v>165</v>
      </c>
      <c r="M3" s="26">
        <v>57505.882352941175</v>
      </c>
      <c r="N3" s="26">
        <v>5175.5294117647063</v>
      </c>
    </row>
    <row r="4" spans="1:14" ht="23.25" customHeight="1" x14ac:dyDescent="0.25">
      <c r="A4" s="9" t="s">
        <v>134</v>
      </c>
      <c r="B4" s="10">
        <f>SUM(Annual_Salary)</f>
        <v>1958400</v>
      </c>
      <c r="L4" s="27" t="s">
        <v>172</v>
      </c>
      <c r="M4" s="28">
        <v>55954.285714285717</v>
      </c>
      <c r="N4" s="28">
        <v>5035.8857142857141</v>
      </c>
    </row>
    <row r="5" spans="1:14" ht="23.25" customHeight="1" x14ac:dyDescent="0.25">
      <c r="A5" s="9" t="s">
        <v>135</v>
      </c>
      <c r="B5" s="10">
        <f>AVERAGE(Annual_Salary)</f>
        <v>55954.285714285717</v>
      </c>
    </row>
    <row r="6" spans="1:14" ht="23.25" customHeight="1" x14ac:dyDescent="0.25">
      <c r="A6" s="9" t="s">
        <v>136</v>
      </c>
      <c r="B6" s="11">
        <f ca="1">MAX(Years_Service)</f>
        <v>21.444444444444443</v>
      </c>
    </row>
    <row r="7" spans="1:14" ht="23.25" customHeight="1" x14ac:dyDescent="0.25">
      <c r="A7" s="9" t="s">
        <v>137</v>
      </c>
      <c r="B7" s="12">
        <f>MAX(Date_of_Hire)</f>
        <v>42874</v>
      </c>
    </row>
    <row r="10" spans="1:14" x14ac:dyDescent="0.25">
      <c r="A10" s="9" t="s">
        <v>164</v>
      </c>
      <c r="B10" s="20" t="s">
        <v>167</v>
      </c>
    </row>
    <row r="11" spans="1:14" x14ac:dyDescent="0.25">
      <c r="A11" s="1" t="s">
        <v>168</v>
      </c>
      <c r="B11" s="6">
        <f>COUNTIFS(Gender,"M")</f>
        <v>17</v>
      </c>
    </row>
    <row r="12" spans="1:14" x14ac:dyDescent="0.25">
      <c r="A12" s="1" t="s">
        <v>169</v>
      </c>
      <c r="B12" s="6">
        <f>COUNTIFS(Gender,"F")</f>
        <v>18</v>
      </c>
    </row>
    <row r="15" spans="1:14" x14ac:dyDescent="0.25">
      <c r="A15" t="s">
        <v>5</v>
      </c>
      <c r="B15" t="s">
        <v>163</v>
      </c>
      <c r="C15" t="s">
        <v>165</v>
      </c>
      <c r="D15" t="s">
        <v>166</v>
      </c>
    </row>
    <row r="16" spans="1:14" x14ac:dyDescent="0.25">
      <c r="A16" s="1" t="s">
        <v>22</v>
      </c>
      <c r="B16" s="16">
        <f t="shared" ref="B16:B21" si="0">SUMIFS(Annual_Salary,Department,A16)</f>
        <v>197800</v>
      </c>
      <c r="C16" s="16">
        <f t="shared" ref="C16:C21" si="1">SUMIFS(Annual_Salary,Department,A16,Gender,$C$15)</f>
        <v>101400</v>
      </c>
      <c r="D16" s="16">
        <f t="shared" ref="D16:D21" si="2">SUMIFS(Annual_Salary,Department,A16,Gender,$D$15)</f>
        <v>96400</v>
      </c>
    </row>
    <row r="17" spans="1:4" x14ac:dyDescent="0.25">
      <c r="A17" s="1" t="s">
        <v>59</v>
      </c>
      <c r="B17" s="16">
        <f t="shared" si="0"/>
        <v>278500</v>
      </c>
      <c r="C17" s="16">
        <f t="shared" si="1"/>
        <v>178400</v>
      </c>
      <c r="D17" s="16">
        <f t="shared" si="2"/>
        <v>100100</v>
      </c>
    </row>
    <row r="18" spans="1:4" x14ac:dyDescent="0.25">
      <c r="A18" s="1" t="s">
        <v>55</v>
      </c>
      <c r="B18" s="16">
        <f t="shared" si="0"/>
        <v>807000</v>
      </c>
      <c r="C18" s="16">
        <f t="shared" si="1"/>
        <v>395600</v>
      </c>
      <c r="D18" s="16">
        <f t="shared" si="2"/>
        <v>411400</v>
      </c>
    </row>
    <row r="19" spans="1:4" x14ac:dyDescent="0.25">
      <c r="A19" s="1" t="s">
        <v>24</v>
      </c>
      <c r="B19" s="16">
        <f t="shared" si="0"/>
        <v>255500</v>
      </c>
      <c r="C19" s="16">
        <f t="shared" si="1"/>
        <v>59200</v>
      </c>
      <c r="D19" s="16">
        <f t="shared" si="2"/>
        <v>196300</v>
      </c>
    </row>
    <row r="20" spans="1:4" x14ac:dyDescent="0.25">
      <c r="A20" s="1" t="s">
        <v>15</v>
      </c>
      <c r="B20" s="16">
        <f t="shared" si="0"/>
        <v>227800</v>
      </c>
      <c r="C20" s="16">
        <f t="shared" si="1"/>
        <v>114400</v>
      </c>
      <c r="D20" s="16">
        <f t="shared" si="2"/>
        <v>113400</v>
      </c>
    </row>
    <row r="21" spans="1:4" x14ac:dyDescent="0.25">
      <c r="A21" s="1" t="s">
        <v>17</v>
      </c>
      <c r="B21" s="16">
        <f t="shared" si="0"/>
        <v>149700</v>
      </c>
      <c r="C21" s="16">
        <f t="shared" si="1"/>
        <v>86500</v>
      </c>
      <c r="D21" s="16">
        <f t="shared" si="2"/>
        <v>63200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abSelected="1" zoomScale="71" zoomScaleNormal="71" workbookViewId="0">
      <selection sqref="A1:B3"/>
    </sheetView>
  </sheetViews>
  <sheetFormatPr defaultRowHeight="15" x14ac:dyDescent="0.25"/>
  <cols>
    <col min="1" max="1" width="16.42578125" customWidth="1"/>
    <col min="2" max="2" width="27.28515625" style="30" customWidth="1"/>
    <col min="3" max="18" width="9.140625" style="31"/>
  </cols>
  <sheetData>
    <row r="1" spans="1:18" s="30" customFormat="1" ht="45.75" customHeight="1" x14ac:dyDescent="0.25"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18" s="30" customFormat="1" x14ac:dyDescent="0.25"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</row>
    <row r="3" spans="1:18" s="30" customFormat="1" x14ac:dyDescent="0.25">
      <c r="A3" s="33" t="s">
        <v>162</v>
      </c>
      <c r="B3" s="34">
        <f>COUNTA(Emp_ID)</f>
        <v>35</v>
      </c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18" s="30" customFormat="1" x14ac:dyDescent="0.25">
      <c r="A4" s="33" t="s">
        <v>134</v>
      </c>
      <c r="B4" s="35">
        <f>SUM(Annual_Salary)</f>
        <v>1958400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</row>
    <row r="5" spans="1:18" s="30" customFormat="1" x14ac:dyDescent="0.25">
      <c r="A5" s="33" t="s">
        <v>135</v>
      </c>
      <c r="B5" s="35">
        <f>AVERAGE(Annual_Salary)</f>
        <v>55954.285714285717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</row>
    <row r="6" spans="1:18" s="30" customFormat="1" x14ac:dyDescent="0.25">
      <c r="A6" s="33" t="s">
        <v>136</v>
      </c>
      <c r="B6" s="36">
        <f ca="1">MAX(Years_Service)</f>
        <v>21.444444444444443</v>
      </c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</row>
    <row r="7" spans="1:18" s="30" customFormat="1" ht="37.5" customHeight="1" x14ac:dyDescent="0.25">
      <c r="A7" s="33" t="s">
        <v>137</v>
      </c>
      <c r="B7" s="37">
        <f>MAX(Date_of_Hire)</f>
        <v>42874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</row>
    <row r="8" spans="1:18" s="30" customFormat="1" x14ac:dyDescent="0.25">
      <c r="A8" s="31"/>
      <c r="B8" s="32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</row>
    <row r="9" spans="1:18" s="30" customFormat="1" x14ac:dyDescent="0.25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</row>
    <row r="10" spans="1:18" s="30" customFormat="1" x14ac:dyDescent="0.25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</row>
    <row r="11" spans="1:18" s="30" customFormat="1" x14ac:dyDescent="0.25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</row>
    <row r="12" spans="1:18" s="30" customFormat="1" x14ac:dyDescent="0.25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</row>
    <row r="13" spans="1:18" s="30" customFormat="1" x14ac:dyDescent="0.25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</row>
    <row r="14" spans="1:18" s="30" customFormat="1" x14ac:dyDescent="0.25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</row>
    <row r="15" spans="1:18" s="30" customFormat="1" x14ac:dyDescent="0.25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</row>
    <row r="16" spans="1:18" s="30" customFormat="1" x14ac:dyDescent="0.25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</row>
    <row r="17" spans="1:18" s="30" customFormat="1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</row>
    <row r="18" spans="1:18" s="30" customFormat="1" x14ac:dyDescent="0.25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</row>
    <row r="19" spans="1:18" s="30" customFormat="1" x14ac:dyDescent="0.25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</row>
    <row r="20" spans="1:18" s="30" customFormat="1" x14ac:dyDescent="0.25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</row>
    <row r="21" spans="1:18" s="30" customFormat="1" x14ac:dyDescent="0.25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</row>
    <row r="22" spans="1:18" s="30" customFormat="1" x14ac:dyDescent="0.25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</row>
    <row r="23" spans="1:18" s="30" customFormat="1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</row>
    <row r="24" spans="1:18" s="30" customFormat="1" x14ac:dyDescent="0.25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  <row r="25" spans="1:18" s="30" customFormat="1" x14ac:dyDescent="0.25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</row>
    <row r="26" spans="1:18" s="30" customFormat="1" x14ac:dyDescent="0.2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</row>
    <row r="27" spans="1:18" s="30" customFormat="1" x14ac:dyDescent="0.2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</row>
    <row r="28" spans="1:18" s="30" customFormat="1" x14ac:dyDescent="0.2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</row>
    <row r="29" spans="1:18" s="30" customFormat="1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</row>
    <row r="30" spans="1:18" s="30" customFormat="1" x14ac:dyDescent="0.25"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</row>
    <row r="31" spans="1:18" s="30" customFormat="1" x14ac:dyDescent="0.25"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</row>
    <row r="32" spans="1:18" s="29" customFormat="1" x14ac:dyDescent="0.25">
      <c r="B32" s="30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</row>
  </sheetData>
  <mergeCells count="3">
    <mergeCell ref="C1:R1048576"/>
    <mergeCell ref="B8:B30"/>
    <mergeCell ref="A8:A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Staff</vt:lpstr>
      <vt:lpstr>Stats</vt:lpstr>
      <vt:lpstr>Dashboard</vt:lpstr>
      <vt:lpstr>Annual_Salary</vt:lpstr>
      <vt:lpstr>Date_of_Hire</vt:lpstr>
      <vt:lpstr>Department</vt:lpstr>
      <vt:lpstr>Email</vt:lpstr>
      <vt:lpstr>Emp_ID</vt:lpstr>
      <vt:lpstr>Extension</vt:lpstr>
      <vt:lpstr>First</vt:lpstr>
      <vt:lpstr>Floor</vt:lpstr>
      <vt:lpstr>Gender</vt:lpstr>
      <vt:lpstr>Last</vt:lpstr>
      <vt:lpstr>Last_Review</vt:lpstr>
      <vt:lpstr>Location</vt:lpstr>
      <vt:lpstr>Next_Review</vt:lpstr>
      <vt:lpstr>Pension</vt:lpstr>
      <vt:lpstr>Pension_Rate</vt:lpstr>
      <vt:lpstr>Years_Service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USER</cp:lastModifiedBy>
  <dcterms:created xsi:type="dcterms:W3CDTF">2017-06-15T06:51:11Z</dcterms:created>
  <dcterms:modified xsi:type="dcterms:W3CDTF">2022-07-11T11:41:24Z</dcterms:modified>
</cp:coreProperties>
</file>