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TCC\TUDOBOM\Dataset-formulas\"/>
    </mc:Choice>
  </mc:AlternateContent>
  <xr:revisionPtr revIDLastSave="0" documentId="13_ncr:1_{205A28BE-7051-40BB-AAE9-4C4A7F3E3327}" xr6:coauthVersionLast="43" xr6:coauthVersionMax="43" xr10:uidLastSave="{00000000-0000-0000-0000-000000000000}"/>
  <bookViews>
    <workbookView minimized="1" xWindow="9555" yWindow="6990" windowWidth="7500" windowHeight="6000" tabRatio="500" activeTab="1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12" i="3" l="1"/>
  <c r="N11" i="3"/>
  <c r="AH10" i="3"/>
  <c r="R10" i="3"/>
  <c r="V9" i="3"/>
  <c r="V5" i="3"/>
  <c r="F5" i="3"/>
  <c r="Z4" i="3"/>
  <c r="J4" i="3"/>
  <c r="P15" i="2"/>
  <c r="O15" i="2"/>
  <c r="N15" i="2"/>
  <c r="M15" i="2"/>
  <c r="L15" i="2"/>
  <c r="K15" i="2"/>
  <c r="H15" i="2"/>
  <c r="G15" i="2"/>
  <c r="AD4" i="3" s="1"/>
  <c r="F15" i="2"/>
  <c r="E15" i="2"/>
  <c r="D15" i="2"/>
  <c r="C15" i="2"/>
  <c r="P14" i="2"/>
  <c r="O14" i="2"/>
  <c r="N14" i="2"/>
  <c r="M14" i="2"/>
  <c r="L14" i="2"/>
  <c r="K14" i="2"/>
  <c r="H14" i="2"/>
  <c r="AH4" i="3" s="1"/>
  <c r="G14" i="2"/>
  <c r="F14" i="2"/>
  <c r="E14" i="2"/>
  <c r="D14" i="2"/>
  <c r="C14" i="2"/>
  <c r="P13" i="2"/>
  <c r="O13" i="2"/>
  <c r="N13" i="2"/>
  <c r="M13" i="2"/>
  <c r="L13" i="2"/>
  <c r="K13" i="2"/>
  <c r="H13" i="2"/>
  <c r="G13" i="2"/>
  <c r="F13" i="2"/>
  <c r="E13" i="2"/>
  <c r="D13" i="2"/>
  <c r="C13" i="2"/>
  <c r="P22" i="2"/>
  <c r="O22" i="2"/>
  <c r="N22" i="2"/>
  <c r="M22" i="2"/>
  <c r="L22" i="2"/>
  <c r="K22" i="2"/>
  <c r="H22" i="2"/>
  <c r="G22" i="2"/>
  <c r="F22" i="2"/>
  <c r="E22" i="2"/>
  <c r="D22" i="2"/>
  <c r="C22" i="2"/>
  <c r="P21" i="2"/>
  <c r="O21" i="2"/>
  <c r="N21" i="2"/>
  <c r="V10" i="3" s="1"/>
  <c r="M21" i="2"/>
  <c r="L21" i="2"/>
  <c r="K21" i="2"/>
  <c r="H21" i="2"/>
  <c r="G21" i="2"/>
  <c r="F21" i="2"/>
  <c r="E21" i="2"/>
  <c r="D21" i="2"/>
  <c r="J5" i="3" s="1"/>
  <c r="C21" i="2"/>
  <c r="P20" i="2"/>
  <c r="O20" i="2"/>
  <c r="N20" i="2"/>
  <c r="M20" i="2"/>
  <c r="L20" i="2"/>
  <c r="K20" i="2"/>
  <c r="H20" i="2"/>
  <c r="G20" i="2"/>
  <c r="Z5" i="3" s="1"/>
  <c r="F20" i="2"/>
  <c r="E20" i="2"/>
  <c r="D20" i="2"/>
  <c r="C20" i="2"/>
  <c r="P29" i="2"/>
  <c r="O29" i="2"/>
  <c r="N29" i="2"/>
  <c r="M29" i="2"/>
  <c r="R11" i="3" s="1"/>
  <c r="L29" i="2"/>
  <c r="K29" i="2"/>
  <c r="H29" i="2"/>
  <c r="G29" i="2"/>
  <c r="F29" i="2"/>
  <c r="E29" i="2"/>
  <c r="D29" i="2"/>
  <c r="C29" i="2"/>
  <c r="F6" i="3" s="1"/>
  <c r="P28" i="2"/>
  <c r="O28" i="2"/>
  <c r="N28" i="2"/>
  <c r="V11" i="3" s="1"/>
  <c r="M28" i="2"/>
  <c r="L28" i="2"/>
  <c r="K28" i="2"/>
  <c r="H28" i="2"/>
  <c r="AH6" i="3" s="1"/>
  <c r="G28" i="2"/>
  <c r="F28" i="2"/>
  <c r="E28" i="2"/>
  <c r="D28" i="2"/>
  <c r="J6" i="3" s="1"/>
  <c r="C28" i="2"/>
  <c r="P27" i="2"/>
  <c r="O27" i="2"/>
  <c r="N27" i="2"/>
  <c r="M27" i="2"/>
  <c r="L27" i="2"/>
  <c r="K27" i="2"/>
  <c r="B11" i="3" s="1"/>
  <c r="H27" i="2"/>
  <c r="G27" i="2"/>
  <c r="F27" i="2"/>
  <c r="E27" i="2"/>
  <c r="D27" i="2"/>
  <c r="C27" i="2"/>
  <c r="B6" i="3" s="1"/>
  <c r="P8" i="2"/>
  <c r="O8" i="2"/>
  <c r="N8" i="2"/>
  <c r="M8" i="2"/>
  <c r="L8" i="2"/>
  <c r="K8" i="2"/>
  <c r="H8" i="2"/>
  <c r="G8" i="2"/>
  <c r="AD3" i="3" s="1"/>
  <c r="F8" i="2"/>
  <c r="E8" i="2"/>
  <c r="D8" i="2"/>
  <c r="C8" i="2"/>
  <c r="P7" i="2"/>
  <c r="O7" i="2"/>
  <c r="N7" i="2"/>
  <c r="M7" i="2"/>
  <c r="L7" i="2"/>
  <c r="J8" i="3" s="1"/>
  <c r="K7" i="2"/>
  <c r="H7" i="2"/>
  <c r="AH3" i="3" s="1"/>
  <c r="G7" i="2"/>
  <c r="F7" i="2"/>
  <c r="E7" i="2"/>
  <c r="D7" i="2"/>
  <c r="C7" i="2"/>
  <c r="P6" i="2"/>
  <c r="O6" i="2"/>
  <c r="N6" i="2"/>
  <c r="M6" i="2"/>
  <c r="N8" i="3" s="1"/>
  <c r="L6" i="2"/>
  <c r="K6" i="2"/>
  <c r="B8" i="3" s="1"/>
  <c r="H6" i="2"/>
  <c r="G6" i="2"/>
  <c r="F6" i="2"/>
  <c r="E6" i="2"/>
  <c r="D6" i="2"/>
  <c r="C6" i="2"/>
  <c r="O36" i="2"/>
  <c r="N36" i="2"/>
  <c r="M36" i="2"/>
  <c r="R12" i="3" s="1"/>
  <c r="L36" i="2"/>
  <c r="K36" i="2"/>
  <c r="H36" i="2"/>
  <c r="G36" i="2"/>
  <c r="AD7" i="3" s="1"/>
  <c r="F36" i="2"/>
  <c r="E36" i="2"/>
  <c r="D36" i="2"/>
  <c r="C36" i="2"/>
  <c r="F7" i="3" s="1"/>
  <c r="P35" i="2"/>
  <c r="O35" i="2"/>
  <c r="N35" i="2"/>
  <c r="M35" i="2"/>
  <c r="L35" i="2"/>
  <c r="J12" i="3" s="1"/>
  <c r="K35" i="2"/>
  <c r="H35" i="2"/>
  <c r="AH7" i="3" s="1"/>
  <c r="G35" i="2"/>
  <c r="F35" i="2"/>
  <c r="E35" i="2"/>
  <c r="D35" i="2"/>
  <c r="C35" i="2"/>
  <c r="P34" i="2"/>
  <c r="O34" i="2"/>
  <c r="Z12" i="3" s="1"/>
  <c r="N34" i="2"/>
  <c r="M34" i="2"/>
  <c r="N12" i="3" s="1"/>
  <c r="L34" i="2"/>
  <c r="K34" i="2"/>
  <c r="H34" i="2"/>
  <c r="G34" i="2"/>
  <c r="F34" i="2"/>
  <c r="E34" i="2"/>
  <c r="N7" i="3" s="1"/>
  <c r="D34" i="2"/>
  <c r="C34" i="2"/>
  <c r="B7" i="3" s="1"/>
  <c r="K23" i="2"/>
  <c r="AF7" i="3" l="1"/>
  <c r="AB8" i="3"/>
  <c r="AB11" i="3"/>
  <c r="P5" i="3"/>
  <c r="D10" i="3"/>
  <c r="AB10" i="3"/>
  <c r="P4" i="3"/>
  <c r="D9" i="3"/>
  <c r="AB9" i="3"/>
  <c r="B3" i="3"/>
  <c r="F3" i="3"/>
  <c r="J3" i="3"/>
  <c r="N3" i="3"/>
  <c r="R3" i="3"/>
  <c r="V3" i="3"/>
  <c r="R6" i="3"/>
  <c r="AL6" i="3" s="1"/>
  <c r="Z8" i="3"/>
  <c r="F9" i="3"/>
  <c r="B10" i="3"/>
  <c r="AD11" i="3"/>
  <c r="AJ7" i="3"/>
  <c r="X12" i="3"/>
  <c r="D8" i="3"/>
  <c r="P6" i="3"/>
  <c r="K9" i="2"/>
  <c r="D12" i="3"/>
  <c r="AB12" i="3"/>
  <c r="H8" i="3"/>
  <c r="AF8" i="3"/>
  <c r="X3" i="3"/>
  <c r="L8" i="3"/>
  <c r="AJ8" i="3"/>
  <c r="T6" i="3"/>
  <c r="H11" i="3"/>
  <c r="AF11" i="3"/>
  <c r="X6" i="3"/>
  <c r="L11" i="3"/>
  <c r="AJ11" i="3"/>
  <c r="T5" i="3"/>
  <c r="H10" i="3"/>
  <c r="AF10" i="3"/>
  <c r="X5" i="3"/>
  <c r="L10" i="3"/>
  <c r="AJ10" i="3"/>
  <c r="T4" i="3"/>
  <c r="H9" i="3"/>
  <c r="AF9" i="3"/>
  <c r="X4" i="3"/>
  <c r="L9" i="3"/>
  <c r="AJ9" i="3"/>
  <c r="N4" i="3"/>
  <c r="V6" i="3"/>
  <c r="R7" i="3"/>
  <c r="AD8" i="3"/>
  <c r="J9" i="3"/>
  <c r="Z9" i="3"/>
  <c r="F10" i="3"/>
  <c r="AH11" i="3"/>
  <c r="AD12" i="3"/>
  <c r="T12" i="3"/>
  <c r="L7" i="3"/>
  <c r="D11" i="3"/>
  <c r="AL11" i="3" s="1"/>
  <c r="P7" i="3"/>
  <c r="T7" i="3"/>
  <c r="K37" i="2"/>
  <c r="H12" i="3"/>
  <c r="AF12" i="3"/>
  <c r="X7" i="3"/>
  <c r="L12" i="3"/>
  <c r="C9" i="2"/>
  <c r="AK12" i="3" s="1"/>
  <c r="AB3" i="3"/>
  <c r="Q8" i="3"/>
  <c r="P8" i="3"/>
  <c r="C30" i="2"/>
  <c r="K30" i="2"/>
  <c r="O11" i="3"/>
  <c r="D6" i="3"/>
  <c r="AB6" i="3"/>
  <c r="P11" i="3"/>
  <c r="AE6" i="3"/>
  <c r="C23" i="2"/>
  <c r="AA5" i="3"/>
  <c r="D5" i="3"/>
  <c r="AC5" i="3"/>
  <c r="AB5" i="3"/>
  <c r="P10" i="3"/>
  <c r="G5" i="3"/>
  <c r="C16" i="2"/>
  <c r="C4" i="3"/>
  <c r="K16" i="2"/>
  <c r="E4" i="3"/>
  <c r="D4" i="3"/>
  <c r="AB4" i="3"/>
  <c r="Q9" i="3"/>
  <c r="P9" i="3"/>
  <c r="S9" i="3"/>
  <c r="D3" i="3"/>
  <c r="H3" i="3"/>
  <c r="L3" i="3"/>
  <c r="P3" i="3"/>
  <c r="T3" i="3"/>
  <c r="Z3" i="3"/>
  <c r="B4" i="3"/>
  <c r="R4" i="3"/>
  <c r="N5" i="3"/>
  <c r="AD5" i="3"/>
  <c r="Z6" i="3"/>
  <c r="V7" i="3"/>
  <c r="R8" i="3"/>
  <c r="AH8" i="3"/>
  <c r="N9" i="3"/>
  <c r="AD9" i="3"/>
  <c r="J10" i="3"/>
  <c r="Z10" i="3"/>
  <c r="F11" i="3"/>
  <c r="B12" i="3"/>
  <c r="AL12" i="3" s="1"/>
  <c r="AH12" i="3"/>
  <c r="H7" i="3"/>
  <c r="AI7" i="3"/>
  <c r="C37" i="2"/>
  <c r="AA7" i="3"/>
  <c r="D7" i="3"/>
  <c r="AC7" i="3"/>
  <c r="AB7" i="3"/>
  <c r="P12" i="3"/>
  <c r="G7" i="3"/>
  <c r="AF3" i="3"/>
  <c r="T8" i="3"/>
  <c r="W8" i="3"/>
  <c r="AJ3" i="3"/>
  <c r="X8" i="3"/>
  <c r="H6" i="3"/>
  <c r="AF6" i="3"/>
  <c r="T11" i="3"/>
  <c r="AI6" i="3"/>
  <c r="L6" i="3"/>
  <c r="AK6" i="3"/>
  <c r="AJ6" i="3"/>
  <c r="X11" i="3"/>
  <c r="I5" i="3"/>
  <c r="H5" i="3"/>
  <c r="AF5" i="3"/>
  <c r="U10" i="3"/>
  <c r="T10" i="3"/>
  <c r="W10" i="3"/>
  <c r="L5" i="3"/>
  <c r="AJ5" i="3"/>
  <c r="X10" i="3"/>
  <c r="H4" i="3"/>
  <c r="AF4" i="3"/>
  <c r="T9" i="3"/>
  <c r="M4" i="3"/>
  <c r="L4" i="3"/>
  <c r="AJ4" i="3"/>
  <c r="Y9" i="3"/>
  <c r="X9" i="3"/>
  <c r="F4" i="3"/>
  <c r="V4" i="3"/>
  <c r="B5" i="3"/>
  <c r="AL5" i="3" s="1"/>
  <c r="R5" i="3"/>
  <c r="AH5" i="3"/>
  <c r="N6" i="3"/>
  <c r="AD6" i="3"/>
  <c r="J7" i="3"/>
  <c r="Z7" i="3"/>
  <c r="F8" i="3"/>
  <c r="V8" i="3"/>
  <c r="B9" i="3"/>
  <c r="R9" i="3"/>
  <c r="AH9" i="3"/>
  <c r="N10" i="3"/>
  <c r="AD10" i="3"/>
  <c r="J11" i="3"/>
  <c r="Z11" i="3"/>
  <c r="F12" i="3"/>
  <c r="V12" i="3"/>
  <c r="AL8" i="3" l="1"/>
  <c r="AL7" i="3"/>
  <c r="Y7" i="3"/>
  <c r="Q7" i="3"/>
  <c r="Y4" i="3"/>
  <c r="AG10" i="3"/>
  <c r="M11" i="3"/>
  <c r="AE12" i="3"/>
  <c r="AC12" i="3"/>
  <c r="O6" i="3"/>
  <c r="Y12" i="3"/>
  <c r="G9" i="3"/>
  <c r="G10" i="3"/>
  <c r="AA10" i="3"/>
  <c r="C3" i="3"/>
  <c r="W3" i="3"/>
  <c r="W9" i="3"/>
  <c r="I4" i="3"/>
  <c r="AM4" i="3" s="1"/>
  <c r="AK5" i="3"/>
  <c r="AG6" i="3"/>
  <c r="AL4" i="3"/>
  <c r="AE4" i="3"/>
  <c r="C5" i="3"/>
  <c r="AM5" i="3" s="1"/>
  <c r="AI12" i="3"/>
  <c r="G8" i="3"/>
  <c r="AG9" i="3"/>
  <c r="M10" i="3"/>
  <c r="K10" i="3"/>
  <c r="W6" i="3"/>
  <c r="AK8" i="3"/>
  <c r="Y3" i="3"/>
  <c r="AG8" i="3"/>
  <c r="G12" i="3"/>
  <c r="AL10" i="3"/>
  <c r="S4" i="3"/>
  <c r="E9" i="3"/>
  <c r="C9" i="3"/>
  <c r="S5" i="3"/>
  <c r="E10" i="3"/>
  <c r="C10" i="3"/>
  <c r="S6" i="3"/>
  <c r="AE8" i="3"/>
  <c r="W12" i="3"/>
  <c r="G3" i="3"/>
  <c r="S3" i="3"/>
  <c r="U3" i="3"/>
  <c r="AK4" i="3"/>
  <c r="AI4" i="3"/>
  <c r="K5" i="3"/>
  <c r="AG5" i="3"/>
  <c r="Y11" i="3"/>
  <c r="M6" i="3"/>
  <c r="S12" i="3"/>
  <c r="Q12" i="3"/>
  <c r="E7" i="3"/>
  <c r="I7" i="3"/>
  <c r="G4" i="3"/>
  <c r="AC4" i="3"/>
  <c r="S10" i="3"/>
  <c r="Q10" i="3"/>
  <c r="E5" i="3"/>
  <c r="AA6" i="3"/>
  <c r="AE3" i="3"/>
  <c r="AC3" i="3"/>
  <c r="M12" i="3"/>
  <c r="K12" i="3"/>
  <c r="U7" i="3"/>
  <c r="M9" i="3"/>
  <c r="K9" i="3"/>
  <c r="W5" i="3"/>
  <c r="I10" i="3"/>
  <c r="AK11" i="3"/>
  <c r="Y6" i="3"/>
  <c r="AI8" i="3"/>
  <c r="S7" i="3"/>
  <c r="E12" i="3"/>
  <c r="E8" i="3"/>
  <c r="AK7" i="3"/>
  <c r="AL3" i="3"/>
  <c r="O4" i="3"/>
  <c r="O5" i="3"/>
  <c r="E3" i="3"/>
  <c r="Q3" i="3"/>
  <c r="I3" i="3"/>
  <c r="C11" i="3"/>
  <c r="AK9" i="3"/>
  <c r="AI10" i="3"/>
  <c r="U5" i="3"/>
  <c r="K11" i="3"/>
  <c r="C12" i="3"/>
  <c r="AA9" i="3"/>
  <c r="G11" i="3"/>
  <c r="AA11" i="3"/>
  <c r="AA8" i="3"/>
  <c r="O3" i="3"/>
  <c r="U9" i="3"/>
  <c r="AI5" i="3"/>
  <c r="K6" i="3"/>
  <c r="Y8" i="3"/>
  <c r="AI3" i="3"/>
  <c r="AG3" i="3"/>
  <c r="C7" i="3"/>
  <c r="O9" i="3"/>
  <c r="G6" i="3"/>
  <c r="AC6" i="3"/>
  <c r="S8" i="3"/>
  <c r="AG12" i="3"/>
  <c r="O7" i="3"/>
  <c r="U12" i="3"/>
  <c r="AI9" i="3"/>
  <c r="U4" i="3"/>
  <c r="I11" i="3"/>
  <c r="M3" i="3"/>
  <c r="AL9" i="3"/>
  <c r="K4" i="3"/>
  <c r="AG4" i="3"/>
  <c r="Y10" i="3"/>
  <c r="M5" i="3"/>
  <c r="W11" i="3"/>
  <c r="U11" i="3"/>
  <c r="I6" i="3"/>
  <c r="AK3" i="3"/>
  <c r="U8" i="3"/>
  <c r="AE7" i="3"/>
  <c r="O12" i="3"/>
  <c r="C8" i="3"/>
  <c r="AA4" i="3"/>
  <c r="AE5" i="3"/>
  <c r="O10" i="3"/>
  <c r="S11" i="3"/>
  <c r="Q11" i="3"/>
  <c r="E6" i="3"/>
  <c r="C6" i="3"/>
  <c r="O8" i="3"/>
  <c r="W7" i="3"/>
  <c r="I12" i="3"/>
  <c r="E11" i="3"/>
  <c r="M7" i="3"/>
  <c r="W4" i="3"/>
  <c r="I9" i="3"/>
  <c r="AK10" i="3"/>
  <c r="Y5" i="3"/>
  <c r="AI11" i="3"/>
  <c r="AG11" i="3"/>
  <c r="U6" i="3"/>
  <c r="M8" i="3"/>
  <c r="K8" i="3"/>
  <c r="I8" i="3"/>
  <c r="AA12" i="3"/>
  <c r="Q6" i="3"/>
  <c r="K7" i="3"/>
  <c r="AE9" i="3"/>
  <c r="AC9" i="3"/>
  <c r="Q4" i="3"/>
  <c r="AE10" i="3"/>
  <c r="AC10" i="3"/>
  <c r="Q5" i="3"/>
  <c r="AE11" i="3"/>
  <c r="AC11" i="3"/>
  <c r="AC8" i="3"/>
  <c r="AG7" i="3"/>
  <c r="AA3" i="3"/>
  <c r="K3" i="3"/>
  <c r="AM7" i="3" l="1"/>
  <c r="AM11" i="3"/>
  <c r="AM3" i="3"/>
  <c r="AM8" i="3"/>
  <c r="AM12" i="3"/>
  <c r="AM6" i="3"/>
  <c r="AM9" i="3"/>
  <c r="AM10" i="3"/>
</calcChain>
</file>

<file path=xl/sharedStrings.xml><?xml version="1.0" encoding="utf-8"?>
<sst xmlns="http://schemas.openxmlformats.org/spreadsheetml/2006/main" count="865" uniqueCount="389">
  <si>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</si>
  <si>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</si>
  <si>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</si>
  <si>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</si>
  <si>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</si>
  <si>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</si>
  <si>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</si>
  <si>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</si>
  <si>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</si>
  <si>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</si>
  <si>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</si>
  <si>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</si>
  <si>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org.antlr.analysis.ActionLabel</t>
  </si>
  <si>
    <t>LSCC</t>
  </si>
  <si>
    <t>org.antlr.analysis.AnalysisRecursionOverflowException</t>
  </si>
  <si>
    <t>Disconnected</t>
  </si>
  <si>
    <t>org.antlr.analysis.AnalysisTimeoutException</t>
  </si>
  <si>
    <t>org.antlr.analysis.DecisionProbe</t>
  </si>
  <si>
    <t>org.antlr.analysis.DFA</t>
  </si>
  <si>
    <t>org.antlr.analysis.DFAOptimizer</t>
  </si>
  <si>
    <t>org.antlr.analysis.DFAState</t>
  </si>
  <si>
    <t>org.antlr.analysis.Label</t>
  </si>
  <si>
    <t>org.antlr.analysis.LL1Analyzer</t>
  </si>
  <si>
    <t>org.antlr.analysis.LL1DFA</t>
  </si>
  <si>
    <t>org.antlr.analysis.LookaheadSet</t>
  </si>
  <si>
    <t>org.antlr.analysis.MachineProbe</t>
  </si>
  <si>
    <t>IN</t>
  </si>
  <si>
    <t>org.antlr.analysis.NFA</t>
  </si>
  <si>
    <t>org.antlr.analysis.NFAConfiguration</t>
  </si>
  <si>
    <t>org.antlr.analysis.NFAContext</t>
  </si>
  <si>
    <t>org.antlr.analysis.NFAConversionThread</t>
  </si>
  <si>
    <t>org.antlr.analysis.NFAState</t>
  </si>
  <si>
    <t>org.antlr.analysis.NFAToDFAConverter</t>
  </si>
  <si>
    <t>org.antlr.analysis.NFAToDFAConverter$1</t>
  </si>
  <si>
    <t>org.antlr.analysis.NonLLStarDecisionException</t>
  </si>
  <si>
    <t>OUT</t>
  </si>
  <si>
    <t>org.antlr.analysis.PredicateLabel</t>
  </si>
  <si>
    <t>org.antlr.analysis.RuleClosureTransition</t>
  </si>
  <si>
    <t>org.antlr.analysis.SemanticContext</t>
  </si>
  <si>
    <t>org.antlr.analysis.SemanticContext$AND</t>
  </si>
  <si>
    <t>org.antlr.analysis.SemanticContext$CommutativePredicate</t>
  </si>
  <si>
    <t>org.antlr.analysis.SemanticContext$FalsePredicate</t>
  </si>
  <si>
    <t>org.antlr.analysis.SemanticContext$NOT</t>
  </si>
  <si>
    <t>org.antlr.analysis.SemanticContext$OR</t>
  </si>
  <si>
    <t>org.antlr.analysis.SemanticContext$Predicate</t>
  </si>
  <si>
    <t>org.antlr.analysis.SemanticContext$TruePredicate</t>
  </si>
  <si>
    <t>org.antlr.analysis.State</t>
  </si>
  <si>
    <t>org.antlr.analysis.StateCluster</t>
  </si>
  <si>
    <t>org.antlr.analysis.Transition</t>
  </si>
  <si>
    <t>org.antlr.codegen.ActionScriptTarget</t>
  </si>
  <si>
    <t>org.antlr.codegen.ACyclicDFACodeGenerator</t>
  </si>
  <si>
    <t>org.antlr.codegen.CodeGenerator</t>
  </si>
  <si>
    <t>org.antlr.codegen.CPPTarget</t>
  </si>
  <si>
    <t>org.antlr.codegen.CSharp2Target</t>
  </si>
  <si>
    <t>org.antlr.codegen.CSharp3Target</t>
  </si>
  <si>
    <t>org.antlr.codegen.CSharp3Target$1</t>
  </si>
  <si>
    <t>TENDRILS</t>
  </si>
  <si>
    <t>org.antlr.codegen.CSharp3Target$StringRenderer</t>
  </si>
  <si>
    <t>org.antlr.codegen.CTarget</t>
  </si>
  <si>
    <t>org.antlr.codegen.DelphiTarget</t>
  </si>
  <si>
    <t>org.antlr.codegen.JavaScriptTarget</t>
  </si>
  <si>
    <t>org.antlr.codegen.JavaTarget</t>
  </si>
  <si>
    <t>org.antlr.codegen.ObjCTarget</t>
  </si>
  <si>
    <t>org.antlr.codegen.Perl5Target</t>
  </si>
  <si>
    <t>org.antlr.codegen.PythonTarget</t>
  </si>
  <si>
    <t>org.antlr.codegen.RubyTarget</t>
  </si>
  <si>
    <t>org.antlr.codegen.RubyTarget$1</t>
  </si>
  <si>
    <t>org.antlr.codegen.RubyTarget$RubyRenderer</t>
  </si>
  <si>
    <t>org.antlr.codegen.Target</t>
  </si>
  <si>
    <t>org.antlr.grammar.v3.ActionAnalysis</t>
  </si>
  <si>
    <t>org.antlr.grammar.v3.ActionTranslator</t>
  </si>
  <si>
    <t>org.antlr.grammar.v3.ActionTranslator$DFA22</t>
  </si>
  <si>
    <t>org.antlr.grammar.v3.ActionTranslator$DFA28</t>
  </si>
  <si>
    <t>org.antlr.grammar.v3.ANTLRLexer</t>
  </si>
  <si>
    <t>org.antlr.grammar.v3.ANTLRLexer$1</t>
  </si>
  <si>
    <t>org.antlr.grammar.v3.ANTLRLexer$2</t>
  </si>
  <si>
    <t>org.antlr.grammar.v3.ANTLRLexer$DFA25</t>
  </si>
  <si>
    <t>org.antlr.grammar.v3.ANTLRLexer$DFA9</t>
  </si>
  <si>
    <t>org.antlr.grammar.v3.ANTLRParser</t>
  </si>
  <si>
    <t>org.antlr.grammar.v3.ANTLRParser$action_return</t>
  </si>
  <si>
    <t>org.antlr.grammar.v3.ANTLRParser$actions_return</t>
  </si>
  <si>
    <t>org.antlr.grammar.v3.ANTLRParser$actionScopeName_return</t>
  </si>
  <si>
    <t>org.antlr.grammar.v3.ANTLRParser$alternative_return</t>
  </si>
  <si>
    <t>org.antlr.grammar.v3.ANTLRParser$atom_return</t>
  </si>
  <si>
    <t>org.antlr.grammar.v3.ANTLRParser$attrScope_return</t>
  </si>
  <si>
    <t>org.antlr.grammar.v3.ANTLRParser$attrScopes_return</t>
  </si>
  <si>
    <t>org.antlr.grammar.v3.ANTLRParser$block_return</t>
  </si>
  <si>
    <t>org.antlr.grammar.v3.ANTLRParser$defaultNodeOption_return</t>
  </si>
  <si>
    <t>org.antlr.grammar.v3.ANTLRParser$delegateGrammar_return</t>
  </si>
  <si>
    <t>org.antlr.grammar.v3.ANTLRParser$delegateGrammars_return</t>
  </si>
  <si>
    <t>org.antlr.grammar.v3.ANTLRParser$DFA50</t>
  </si>
  <si>
    <t>org.antlr.grammar.v3.ANTLRParser$DFA53</t>
  </si>
  <si>
    <t>org.antlr.grammar.v3.ANTLRParser$DFA84</t>
  </si>
  <si>
    <t>org.antlr.grammar.v3.ANTLRParser$ebnf_return</t>
  </si>
  <si>
    <t>org.antlr.grammar.v3.ANTLRParser$ebnfSuffix_return</t>
  </si>
  <si>
    <t>org.antlr.grammar.v3.ANTLRParser$element_return</t>
  </si>
  <si>
    <t>org.antlr.grammar.v3.ANTLRParser$elementNoOptionSpec_return</t>
  </si>
  <si>
    <t>org.antlr.grammar.v3.ANTLRParser$elementOption_return</t>
  </si>
  <si>
    <t>org.antlr.grammar.v3.ANTLRParser$elementOptionId_return</t>
  </si>
  <si>
    <t>org.antlr.grammar.v3.ANTLRParser$elementOptions_return</t>
  </si>
  <si>
    <t>org.antlr.grammar.v3.ANTLRParser$exceptionGroup_return</t>
  </si>
  <si>
    <t>org.antlr.grammar.v3.ANTLRParser$exceptionHandler_return</t>
  </si>
  <si>
    <t>org.antlr.grammar.v3.ANTLRParser$finallyClause_return</t>
  </si>
  <si>
    <t>org.antlr.grammar.v3.ANTLRParser$grammar__return</t>
  </si>
  <si>
    <t>org.antlr.grammar.v3.ANTLRParser$grammar_Adaptor</t>
  </si>
  <si>
    <t>org.antlr.grammar.v3.ANTLRParser$GrammarASTErrorNode</t>
  </si>
  <si>
    <t>org.antlr.grammar.v3.ANTLRParser$grammarType_return</t>
  </si>
  <si>
    <t>org.antlr.grammar.v3.ANTLRParser$id_return</t>
  </si>
  <si>
    <t>org.antlr.grammar.v3.ANTLRParser$idList_return</t>
  </si>
  <si>
    <t>org.antlr.grammar.v3.ANTLRParser$label_return</t>
  </si>
  <si>
    <t>org.antlr.grammar.v3.ANTLRParser$notSet_return</t>
  </si>
  <si>
    <t>org.antlr.grammar.v3.ANTLRParser$notTerminal_return</t>
  </si>
  <si>
    <t>org.antlr.grammar.v3.ANTLRParser$option_return</t>
  </si>
  <si>
    <t>org.antlr.grammar.v3.ANTLRParser$optionsSpec_return</t>
  </si>
  <si>
    <t>org.antlr.grammar.v3.ANTLRParser$optionValue_return</t>
  </si>
  <si>
    <t>org.antlr.grammar.v3.ANTLRParser$range_return</t>
  </si>
  <si>
    <t>org.antlr.grammar.v3.ANTLRParser$rewrite_alternative_return</t>
  </si>
  <si>
    <t>org.antlr.grammar.v3.ANTLRParser$rewrite_atom_return</t>
  </si>
  <si>
    <t>org.antlr.grammar.v3.ANTLRParser$rewrite_block_return</t>
  </si>
  <si>
    <t>org.antlr.grammar.v3.ANTLRParser$rewrite_ebnf_return</t>
  </si>
  <si>
    <t>org.antlr.grammar.v3.ANTLRParser$rewrite_element_return</t>
  </si>
  <si>
    <t>org.antlr.grammar.v3.ANTLRParser$rewrite_indirect_template_head_return</t>
  </si>
  <si>
    <t>org.antlr.grammar.v3.ANTLRParser$rewrite_return</t>
  </si>
  <si>
    <t>org.antlr.grammar.v3.ANTLRParser$rewrite_template_arg_return</t>
  </si>
  <si>
    <t>org.antlr.grammar.v3.ANTLRParser$rewrite_template_args_return</t>
  </si>
  <si>
    <t>org.antlr.grammar.v3.ANTLRParser$rewrite_template_head_return</t>
  </si>
  <si>
    <t>org.antlr.grammar.v3.ANTLRParser$rewrite_template_return</t>
  </si>
  <si>
    <t>org.antlr.grammar.v3.ANTLRParser$rewrite_tree_return</t>
  </si>
  <si>
    <t>org.antlr.grammar.v3.ANTLRParser$rewrite_with_sempred_return</t>
  </si>
  <si>
    <t>org.antlr.grammar.v3.ANTLRParser$rule_return</t>
  </si>
  <si>
    <t>org.antlr.grammar.v3.ANTLRParser$ruleAction_return</t>
  </si>
  <si>
    <t>org.antlr.grammar.v3.ANTLRParser$ruleActions_return</t>
  </si>
  <si>
    <t>org.antlr.grammar.v3.ANTLRParser$ruleAltList_return</t>
  </si>
  <si>
    <t>org.antlr.grammar.v3.ANTLRParser$ruleref_return</t>
  </si>
  <si>
    <t>org.antlr.grammar.v3.ANTLRParser$rules_return</t>
  </si>
  <si>
    <t>org.antlr.grammar.v3.ANTLRParser$ruleScopeSpec_return</t>
  </si>
  <si>
    <t>org.antlr.grammar.v3.ANTLRParser$terminal_return</t>
  </si>
  <si>
    <t>org.antlr.grammar.v3.ANTLRParser$throwsSpec_return</t>
  </si>
  <si>
    <t>org.antlr.grammar.v3.ANTLRParser$tokenSpec_return</t>
  </si>
  <si>
    <t>org.antlr.grammar.v3.ANTLRParser$tokensSpec_return</t>
  </si>
  <si>
    <t>org.antlr.grammar.v3.ANTLRParser$tree__return</t>
  </si>
  <si>
    <t>org.antlr.grammar.v3.ANTLRParser$treeRoot_return</t>
  </si>
  <si>
    <t>org.antlr.grammar.v3.ANTLRTreePrinter</t>
  </si>
  <si>
    <t>org.antlr.grammar.v3.ANTLRTreePrinter$atom_return</t>
  </si>
  <si>
    <t>org.antlr.grammar.v3.ANTLRTreePrinter$block_return</t>
  </si>
  <si>
    <t>org.antlr.grammar.v3.ANTLRTreePrinter$modifier_return</t>
  </si>
  <si>
    <t>org.antlr.grammar.v3.ANTLRv3Lexer</t>
  </si>
  <si>
    <t>org.antlr.grammar.v3.ANTLRv3Lexer$DFA13</t>
  </si>
  <si>
    <t>org.antlr.grammar.v3.ANTLRv3Lexer$DFA2</t>
  </si>
  <si>
    <t>org.antlr.grammar.v3.ANTLRv3Lexer$DFA22</t>
  </si>
  <si>
    <t>org.antlr.grammar.v3.ANTLRv3Lexer$DFA9</t>
  </si>
  <si>
    <t>org.antlr.grammar.v3.ANTLRv3Parser</t>
  </si>
  <si>
    <t>org.antlr.grammar.v3.ANTLRv3Parser$action_return</t>
  </si>
  <si>
    <t>org.antlr.grammar.v3.ANTLRv3Parser$actionScopeName_return</t>
  </si>
  <si>
    <t>org.antlr.grammar.v3.ANTLRv3Parser$alternative_return</t>
  </si>
  <si>
    <t>org.antlr.grammar.v3.ANTLRv3Parser$altList_return</t>
  </si>
  <si>
    <t>org.antlr.grammar.v3.ANTLRv3Parser$altpair_return</t>
  </si>
  <si>
    <t>org.antlr.grammar.v3.ANTLRv3Parser$atom_return</t>
  </si>
  <si>
    <t>org.antlr.grammar.v3.ANTLRv3Parser$attrScope_return</t>
  </si>
  <si>
    <t>org.antlr.grammar.v3.ANTLRv3Parser$block_return</t>
  </si>
  <si>
    <t>org.antlr.grammar.v3.ANTLRv3Parser$DFA46</t>
  </si>
  <si>
    <t>org.antlr.grammar.v3.ANTLRv3Parser$DFA73</t>
  </si>
  <si>
    <t>org.antlr.grammar.v3.ANTLRv3Parser$DFA76</t>
  </si>
  <si>
    <t>org.antlr.grammar.v3.ANTLRv3Parser$DFA81</t>
  </si>
  <si>
    <t>org.antlr.grammar.v3.ANTLRv3Parser$ebnf_return</t>
  </si>
  <si>
    <t>org.antlr.grammar.v3.ANTLRv3Parser$ebnfSuffix_return</t>
  </si>
  <si>
    <t>org.antlr.grammar.v3.ANTLRv3Parser$element_return</t>
  </si>
  <si>
    <t>org.antlr.grammar.v3.ANTLRv3Parser$elementOption_return</t>
  </si>
  <si>
    <t>org.antlr.grammar.v3.ANTLRv3Parser$elementOptions_return</t>
  </si>
  <si>
    <t>org.antlr.grammar.v3.ANTLRv3Parser$exceptionGroup_return</t>
  </si>
  <si>
    <t>org.antlr.grammar.v3.ANTLRv3Parser$exceptionHandler_return</t>
  </si>
  <si>
    <t>org.antlr.grammar.v3.ANTLRv3Parser$finallyClause_return</t>
  </si>
  <si>
    <t>org.antlr.grammar.v3.ANTLRv3Parser$grammarDef_return</t>
  </si>
  <si>
    <t>org.antlr.grammar.v3.ANTLRv3Parser$id_return</t>
  </si>
  <si>
    <t>org.antlr.grammar.v3.ANTLRv3Parser$notSet_return</t>
  </si>
  <si>
    <t>org.antlr.grammar.v3.ANTLRv3Parser$notTerminal_return</t>
  </si>
  <si>
    <t>org.antlr.grammar.v3.ANTLRv3Parser$option_return</t>
  </si>
  <si>
    <t>org.antlr.grammar.v3.ANTLRv3Parser$optionsSpec_return</t>
  </si>
  <si>
    <t>org.antlr.grammar.v3.ANTLRv3Parser$optionValue_return</t>
  </si>
  <si>
    <t>org.antlr.grammar.v3.ANTLRv3Parser$qid_return</t>
  </si>
  <si>
    <t>org.antlr.grammar.v3.ANTLRv3Parser$range_return</t>
  </si>
  <si>
    <t>org.antlr.grammar.v3.ANTLRv3Parser$rewrite_alternative_return</t>
  </si>
  <si>
    <t>org.antlr.grammar.v3.ANTLRv3Parser$rewrite_indirect_template_head_return</t>
  </si>
  <si>
    <t>org.antlr.grammar.v3.ANTLRv3Parser$rewrite_return</t>
  </si>
  <si>
    <t>org.antlr.grammar.v3.ANTLRv3Parser$rewrite_template_arg_return</t>
  </si>
  <si>
    <t>org.antlr.grammar.v3.ANTLRv3Parser$rewrite_template_args_return</t>
  </si>
  <si>
    <t>org.antlr.grammar.v3.ANTLRv3Parser$rewrite_template_ref_return</t>
  </si>
  <si>
    <t>org.antlr.grammar.v3.ANTLRv3Parser$rewrite_template_return</t>
  </si>
  <si>
    <t>org.antlr.grammar.v3.ANTLRv3Parser$rewrite_tree_alternative_return</t>
  </si>
  <si>
    <t>org.antlr.grammar.v3.ANTLRv3Parser$rewrite_tree_atom_return</t>
  </si>
  <si>
    <t>org.antlr.grammar.v3.ANTLRv3Parser$rewrite_tree_block_return</t>
  </si>
  <si>
    <t>org.antlr.grammar.v3.ANTLRv3Parser$rewrite_tree_ebnf_return</t>
  </si>
  <si>
    <t>org.antlr.grammar.v3.ANTLRv3Parser$rewrite_tree_element_return</t>
  </si>
  <si>
    <t>org.antlr.grammar.v3.ANTLRv3Parser$rewrite_tree_return</t>
  </si>
  <si>
    <t>org.antlr.grammar.v3.ANTLRv3Parser$rule_return</t>
  </si>
  <si>
    <t>org.antlr.grammar.v3.ANTLRv3Parser$rule_scope</t>
  </si>
  <si>
    <t>org.antlr.grammar.v3.ANTLRv3Parser$ruleAction_return</t>
  </si>
  <si>
    <t>org.antlr.grammar.v3.ANTLRv3Parser$ruleScopeSpec_return</t>
  </si>
  <si>
    <t>org.antlr.grammar.v3.ANTLRv3Parser$terminal_return</t>
  </si>
  <si>
    <t>org.antlr.grammar.v3.ANTLRv3Parser$throwsSpec_return</t>
  </si>
  <si>
    <t>org.antlr.grammar.v3.ANTLRv3Parser$tokenSpec_return</t>
  </si>
  <si>
    <t>org.antlr.grammar.v3.ANTLRv3Parser$tokensSpec_return</t>
  </si>
  <si>
    <t>org.antlr.grammar.v3.ANTLRv3Parser$treeSpec_return</t>
  </si>
  <si>
    <t>org.antlr.grammar.v3.ANTLRv3Tree</t>
  </si>
  <si>
    <t>org.antlr.grammar.v3.ANTLRv3Tree$DFA33</t>
  </si>
  <si>
    <t>org.antlr.grammar.v3.ANTLRv3Tree$DFA38</t>
  </si>
  <si>
    <t>org.antlr.grammar.v3.ANTLRv3Tree$DFA48</t>
  </si>
  <si>
    <t>org.antlr.grammar.v3.AssignTokenTypesWalker</t>
  </si>
  <si>
    <t>org.antlr.grammar.v3.AssignTokenTypesWalker$block_return</t>
  </si>
  <si>
    <t>org.antlr.grammar.v3.AssignTokenTypesWalker$modifier_return</t>
  </si>
  <si>
    <t>org.antlr.grammar.v3.AssignTokenTypesWalker$optionValue_return</t>
  </si>
  <si>
    <t>org.antlr.grammar.v3.CodeGenTreeWalker</t>
  </si>
  <si>
    <t>org.antlr.grammar.v3.CodeGenTreeWalker$alternative_return</t>
  </si>
  <si>
    <t>org.antlr.grammar.v3.CodeGenTreeWalker$atom_return</t>
  </si>
  <si>
    <t>org.antlr.grammar.v3.CodeGenTreeWalker$block_return</t>
  </si>
  <si>
    <t>org.antlr.grammar.v3.CodeGenTreeWalker$DFA46</t>
  </si>
  <si>
    <t>org.antlr.grammar.v3.CodeGenTreeWalker$ebnf_return</t>
  </si>
  <si>
    <t>org.antlr.grammar.v3.CodeGenTreeWalker$element_action_return</t>
  </si>
  <si>
    <t>org.antlr.grammar.v3.CodeGenTreeWalker$element_return</t>
  </si>
  <si>
    <t>org.antlr.grammar.v3.CodeGenTreeWalker$modifier_return</t>
  </si>
  <si>
    <t>org.antlr.grammar.v3.CodeGenTreeWalker$rewrite_atom_return</t>
  </si>
  <si>
    <t>org.antlr.grammar.v3.CodeGenTreeWalker$rewrite_ebnf_return</t>
  </si>
  <si>
    <t>org.antlr.grammar.v3.CodeGenTreeWalker$rewrite_element_return</t>
  </si>
  <si>
    <t>org.antlr.grammar.v3.CodeGenTreeWalker$rewrite_return</t>
  </si>
  <si>
    <t>org.antlr.grammar.v3.CodeGenTreeWalker$rewrite_tree_return</t>
  </si>
  <si>
    <t>org.antlr.grammar.v3.CodeGenTreeWalker$rule_return</t>
  </si>
  <si>
    <t>org.antlr.grammar.v3.CodeGenTreeWalker$setBlock_return</t>
  </si>
  <si>
    <t>org.antlr.grammar.v3.CodeGenTreeWalker$tree__return</t>
  </si>
  <si>
    <t>org.antlr.grammar.v3.DefineGrammarItemsWalker</t>
  </si>
  <si>
    <t>org.antlr.grammar.v3.DefineGrammarItemsWalker$AttributeScopeActions_scope</t>
  </si>
  <si>
    <t>org.antlr.grammar.v3.DefineGrammarItemsWalker$block_return</t>
  </si>
  <si>
    <t>org.antlr.grammar.v3.DefineGrammarItemsWalker$DFA37</t>
  </si>
  <si>
    <t>org.antlr.grammar.v3.DefineGrammarItemsWalker$DFA38</t>
  </si>
  <si>
    <t>org.antlr.grammar.v3.DefineGrammarItemsWalker$dotLoop_return</t>
  </si>
  <si>
    <t>org.antlr.grammar.v3.DefineGrammarItemsWalker$element_return</t>
  </si>
  <si>
    <t>org.antlr.grammar.v3.DefineGrammarItemsWalker$grammar__return</t>
  </si>
  <si>
    <t>org.antlr.grammar.v3.DefineGrammarItemsWalker$modifier_return</t>
  </si>
  <si>
    <t>org.antlr.grammar.v3.DefineGrammarItemsWalker$rewrite_atom_return</t>
  </si>
  <si>
    <t>org.antlr.grammar.v3.DefineGrammarItemsWalker$rewrite_block_return</t>
  </si>
  <si>
    <t>org.antlr.grammar.v3.DefineGrammarItemsWalker$rewrite_return</t>
  </si>
  <si>
    <t>org.antlr.grammar.v3.DefineGrammarItemsWalker$rule_return</t>
  </si>
  <si>
    <t>org.antlr.grammar.v3.LeftRecursiveRuleWalker</t>
  </si>
  <si>
    <t>org.antlr.grammar.v3.LeftRecursiveRuleWalker$DFA31</t>
  </si>
  <si>
    <t>org.antlr.grammar.v3.LeftRecursiveRuleWalker$outerAlternative_return</t>
  </si>
  <si>
    <t>org.antlr.grammar.v3.LeftRecursiveRuleWalker$ruleBlock_return</t>
  </si>
  <si>
    <t>org.antlr.grammar.v3.TreeToNFAConverter</t>
  </si>
  <si>
    <t>org.antlr.grammar.v3.TreeToNFAConverter$atom_return</t>
  </si>
  <si>
    <t>org.antlr.grammar.v3.TreeToNFAConverter$block_return</t>
  </si>
  <si>
    <t>org.antlr.grammar.v3.TreeToNFAConverter$DFA43</t>
  </si>
  <si>
    <t>org.antlr.grammar.v3.TreeToNFAConverter$ebnf_return</t>
  </si>
  <si>
    <t>org.antlr.grammar.v3.TreeToNFAConverter$element_return</t>
  </si>
  <si>
    <t>org.antlr.grammar.v3.TreeToNFAConverter$rewrite_return</t>
  </si>
  <si>
    <t>org.antlr.grammar.v3.TreeToNFAConverter$rule_return</t>
  </si>
  <si>
    <t>org.antlr.grammar.v3.TreeToNFAConverter$set_return</t>
  </si>
  <si>
    <t>org.antlr.grammar.v3.TreeToNFAConverter$tree__return</t>
  </si>
  <si>
    <t>org.antlr.misc.Barrier</t>
  </si>
  <si>
    <t>org.antlr.misc.BitSet</t>
  </si>
  <si>
    <t>org.antlr.misc.Graph</t>
  </si>
  <si>
    <t>org.antlr.misc.Graph$Node</t>
  </si>
  <si>
    <t>org.antlr.misc.IntArrayList</t>
  </si>
  <si>
    <t>org.antlr.misc.Interval</t>
  </si>
  <si>
    <t>org.antlr.misc.IntervalSet</t>
  </si>
  <si>
    <t>org.antlr.misc.IntSet</t>
  </si>
  <si>
    <t>org.antlr.misc.MultiMap</t>
  </si>
  <si>
    <t>org.antlr.misc.MutableInteger</t>
  </si>
  <si>
    <t>org.antlr.misc.OrderedHashSet</t>
  </si>
  <si>
    <t>org.antlr.misc.Utils</t>
  </si>
  <si>
    <t>org.antlr.Tool</t>
  </si>
  <si>
    <t>org.antlr.tool.ANTLRErrorListener</t>
  </si>
  <si>
    <t>org.antlr.tool.AssignTokenTypesBehavior</t>
  </si>
  <si>
    <t>org.antlr.tool.Attribute</t>
  </si>
  <si>
    <t>org.antlr.tool.AttributeScope</t>
  </si>
  <si>
    <t>org.antlr.tool.BuildDependencyGenerator</t>
  </si>
  <si>
    <t>org.antlr.tool.CompositeGrammar</t>
  </si>
  <si>
    <t>org.antlr.tool.CompositeGrammarTree</t>
  </si>
  <si>
    <t>org.antlr.tool.DOTGenerator</t>
  </si>
  <si>
    <t>org.antlr.tool.ErrorManager</t>
  </si>
  <si>
    <t>org.antlr.tool.ErrorManager$1</t>
  </si>
  <si>
    <t>org.antlr.tool.ErrorManager$2</t>
  </si>
  <si>
    <t>org.antlr.tool.ErrorManager$3</t>
  </si>
  <si>
    <t>org.antlr.tool.ErrorManager$4</t>
  </si>
  <si>
    <t>org.antlr.tool.ErrorManager$5</t>
  </si>
  <si>
    <t>org.antlr.tool.ErrorManager$6</t>
  </si>
  <si>
    <t>org.antlr.tool.ErrorManager$7</t>
  </si>
  <si>
    <t>org.antlr.tool.ErrorManager$ErrorState</t>
  </si>
  <si>
    <t>org.antlr.tool.FASerializer</t>
  </si>
  <si>
    <t>org.antlr.tool.Grammar</t>
  </si>
  <si>
    <t>org.antlr.tool.Grammar$1</t>
  </si>
  <si>
    <t>org.antlr.tool.Grammar$10</t>
  </si>
  <si>
    <t>org.antlr.tool.Grammar$2</t>
  </si>
  <si>
    <t>org.antlr.tool.Grammar$3</t>
  </si>
  <si>
    <t>org.antlr.tool.Grammar$4</t>
  </si>
  <si>
    <t>org.antlr.tool.Grammar$5</t>
  </si>
  <si>
    <t>org.antlr.tool.Grammar$6</t>
  </si>
  <si>
    <t>org.antlr.tool.Grammar$7</t>
  </si>
  <si>
    <t>org.antlr.tool.Grammar$8</t>
  </si>
  <si>
    <t>org.antlr.tool.Grammar$9</t>
  </si>
  <si>
    <t>org.antlr.tool.Grammar$Decision</t>
  </si>
  <si>
    <t>org.antlr.tool.Grammar$LabelElementPair</t>
  </si>
  <si>
    <t>org.antlr.tool.GrammarAnalysisAbortedMessage</t>
  </si>
  <si>
    <t>org.antlr.tool.GrammarAST</t>
  </si>
  <si>
    <t>org.antlr.tool.GrammarDanglingStateMessage</t>
  </si>
  <si>
    <t>org.antlr.tool.GrammarInsufficientPredicatesMessage</t>
  </si>
  <si>
    <t>org.antlr.tool.GrammarNonDeterminismMessage</t>
  </si>
  <si>
    <t>org.antlr.tool.GrammarReport</t>
  </si>
  <si>
    <t>org.antlr.tool.GrammarReport$ReportData</t>
  </si>
  <si>
    <t>org.antlr.tool.GrammarReport2</t>
  </si>
  <si>
    <t>org.antlr.tool.GrammarSanity</t>
  </si>
  <si>
    <t>org.antlr.tool.GrammarSemanticsMessage</t>
  </si>
  <si>
    <t>org.antlr.tool.GrammarSerializerFoo</t>
  </si>
  <si>
    <t>org.antlr.tool.GrammarSpelunker</t>
  </si>
  <si>
    <t>org.antlr.tool.GrammarSpelunker$Scanner</t>
  </si>
  <si>
    <t>org.antlr.tool.GrammarSyntaxMessage</t>
  </si>
  <si>
    <t>org.antlr.tool.GrammarUnreachableAltsMessage</t>
  </si>
  <si>
    <t>org.antlr.tool.Interp</t>
  </si>
  <si>
    <t>org.antlr.tool.Interp$FilteringTokenStream</t>
  </si>
  <si>
    <t>org.antlr.tool.Interpreter</t>
  </si>
  <si>
    <t>org.antlr.tool.Interpreter$LexerActionGetTokenType</t>
  </si>
  <si>
    <t>org.antlr.tool.LeftRecursionCyclesMessage</t>
  </si>
  <si>
    <t>org.antlr.tool.LeftRecursiveRuleAnalyzer</t>
  </si>
  <si>
    <t>org.antlr.tool.LeftRecursiveRuleAnalyzer$ASSOC</t>
  </si>
  <si>
    <t>org.antlr.tool.Message</t>
  </si>
  <si>
    <t>org.antlr.tool.NameSpaceChecker</t>
  </si>
  <si>
    <t>org.antlr.tool.NFAFactory</t>
  </si>
  <si>
    <t>org.antlr.tool.NonRegularDecisionMessage</t>
  </si>
  <si>
    <t>org.antlr.tool.RandomPhrase</t>
  </si>
  <si>
    <t>org.antlr.tool.RecursionOverflowMessage</t>
  </si>
  <si>
    <t>org.antlr.tool.Rule</t>
  </si>
  <si>
    <t>org.antlr.tool.Rule$1</t>
  </si>
  <si>
    <t>org.antlr.tool.RuleLabelScope</t>
  </si>
  <si>
    <t>org.antlr.tool.RuleLabelScope$1</t>
  </si>
  <si>
    <t>org.antlr.tool.RuleLabelScope$2</t>
  </si>
  <si>
    <t>org.antlr.tool.RuleLabelScope$3</t>
  </si>
  <si>
    <t>org.antlr.tool.Strip</t>
  </si>
  <si>
    <t>org.antlr.tool.Strip$1</t>
  </si>
  <si>
    <t>org.antlr.tool.Strip$10</t>
  </si>
  <si>
    <t>org.antlr.tool.Strip$11</t>
  </si>
  <si>
    <t>org.antlr.tool.Strip$12</t>
  </si>
  <si>
    <t>org.antlr.tool.Strip$13</t>
  </si>
  <si>
    <t>org.antlr.tool.Strip$2</t>
  </si>
  <si>
    <t>org.antlr.tool.Strip$3</t>
  </si>
  <si>
    <t>org.antlr.tool.Strip$4</t>
  </si>
  <si>
    <t>org.antlr.tool.Strip$5</t>
  </si>
  <si>
    <t>org.antlr.tool.Strip$6</t>
  </si>
  <si>
    <t>org.antlr.tool.Strip$7</t>
  </si>
  <si>
    <t>org.antlr.tool.Strip$8</t>
  </si>
  <si>
    <t>org.antlr.tool.Strip$9</t>
  </si>
  <si>
    <t>org.antlr.tool.ToolMessage</t>
  </si>
  <si>
    <t>Métrica</t>
  </si>
  <si>
    <t>BOM</t>
  </si>
  <si>
    <t>REGULAR</t>
  </si>
  <si>
    <t>RUIM</t>
  </si>
  <si>
    <t>Referência</t>
  </si>
  <si>
    <t>TUBES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</si>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</sst>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4" borderId="0" xfId="0" applyFill="1"/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4" borderId="0" xfId="0" applyFont="1" applyFill="1"/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0" fillId="8" borderId="1" xfId="0" applyFont="1" applyFill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32"/>
  <sheetViews>
    <sheetView zoomScaleNormal="100" workbookViewId="0">
      <selection activeCell="F1" sqref="F1"/>
    </sheetView>
  </sheetViews>
  <sheetFormatPr defaultRowHeight="15" x14ac:dyDescent="0.25"/>
  <cols>
    <col min="1" max="1" width="9.140625" style="1" customWidth="1"/>
    <col min="2" max="1023" width="9.140625" style="2" customWidth="1"/>
    <col min="1024" max="1025" width="11.5703125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 t="s">
        <v>12</v>
      </c>
      <c r="B2" s="2" t="s">
        <v>13</v>
      </c>
      <c r="C2" s="2">
        <v>1</v>
      </c>
      <c r="D2" s="2">
        <v>5</v>
      </c>
      <c r="E2" s="2">
        <v>6</v>
      </c>
      <c r="F2" s="2">
        <v>0</v>
      </c>
      <c r="G2" s="2">
        <v>0.33300000000000002</v>
      </c>
      <c r="H2" s="2">
        <v>3</v>
      </c>
      <c r="I2" s="2">
        <v>10</v>
      </c>
      <c r="J2" s="2">
        <v>1</v>
      </c>
      <c r="K2" s="2">
        <v>5</v>
      </c>
      <c r="L2" s="2">
        <v>0</v>
      </c>
    </row>
    <row r="3" spans="1:12" x14ac:dyDescent="0.25">
      <c r="A3" s="1" t="s">
        <v>14</v>
      </c>
      <c r="B3" s="2" t="s">
        <v>15</v>
      </c>
      <c r="C3" s="2">
        <v>2</v>
      </c>
      <c r="D3" s="2">
        <v>1</v>
      </c>
      <c r="E3" s="2">
        <v>0</v>
      </c>
      <c r="F3" s="2">
        <v>4</v>
      </c>
      <c r="G3" s="2">
        <v>1</v>
      </c>
      <c r="H3" s="2">
        <v>2</v>
      </c>
      <c r="I3" s="2">
        <v>2</v>
      </c>
      <c r="J3" s="2">
        <v>0</v>
      </c>
      <c r="K3" s="2">
        <v>1</v>
      </c>
      <c r="L3" s="2">
        <v>0</v>
      </c>
    </row>
    <row r="4" spans="1:12" x14ac:dyDescent="0.25">
      <c r="A4" s="1" t="s">
        <v>16</v>
      </c>
      <c r="B4" s="2" t="s">
        <v>15</v>
      </c>
      <c r="C4" s="2">
        <v>1</v>
      </c>
      <c r="D4" s="2">
        <v>1</v>
      </c>
      <c r="E4" s="2">
        <v>0</v>
      </c>
      <c r="F4" s="2">
        <v>4</v>
      </c>
      <c r="G4" s="2">
        <v>1</v>
      </c>
      <c r="H4" s="2">
        <v>1</v>
      </c>
      <c r="I4" s="2">
        <v>2</v>
      </c>
      <c r="J4" s="2">
        <v>0</v>
      </c>
      <c r="K4" s="2">
        <v>1</v>
      </c>
      <c r="L4" s="2">
        <v>0</v>
      </c>
    </row>
    <row r="5" spans="1:12" x14ac:dyDescent="0.25">
      <c r="A5" s="1" t="s">
        <v>17</v>
      </c>
      <c r="B5" s="2" t="s">
        <v>13</v>
      </c>
      <c r="C5" s="2">
        <v>6</v>
      </c>
      <c r="D5" s="2">
        <v>33</v>
      </c>
      <c r="E5" s="2">
        <v>499</v>
      </c>
      <c r="F5" s="2">
        <v>1</v>
      </c>
      <c r="G5" s="2">
        <v>0.25</v>
      </c>
      <c r="H5" s="2">
        <v>19</v>
      </c>
      <c r="I5" s="2">
        <v>126</v>
      </c>
      <c r="J5" s="2">
        <v>13</v>
      </c>
      <c r="K5" s="2">
        <v>43</v>
      </c>
      <c r="L5" s="2">
        <v>0</v>
      </c>
    </row>
    <row r="6" spans="1:12" x14ac:dyDescent="0.25">
      <c r="A6" s="1" t="s">
        <v>18</v>
      </c>
      <c r="B6" s="2" t="s">
        <v>13</v>
      </c>
      <c r="C6" s="2">
        <v>29</v>
      </c>
      <c r="D6" s="2">
        <v>46</v>
      </c>
      <c r="E6" s="2">
        <v>1363</v>
      </c>
      <c r="F6" s="2">
        <v>1</v>
      </c>
      <c r="G6" s="2">
        <v>1</v>
      </c>
      <c r="H6" s="2">
        <v>23</v>
      </c>
      <c r="I6" s="2">
        <v>146</v>
      </c>
      <c r="J6" s="2">
        <v>36</v>
      </c>
      <c r="K6" s="2">
        <v>59</v>
      </c>
      <c r="L6" s="2">
        <v>1</v>
      </c>
    </row>
    <row r="7" spans="1:12" x14ac:dyDescent="0.25">
      <c r="A7" s="1" t="s">
        <v>19</v>
      </c>
      <c r="B7" s="2" t="s">
        <v>13</v>
      </c>
      <c r="C7" s="2">
        <v>4</v>
      </c>
      <c r="D7" s="2">
        <v>2</v>
      </c>
      <c r="E7" s="2">
        <v>0</v>
      </c>
      <c r="F7" s="2">
        <v>1</v>
      </c>
      <c r="G7" s="2">
        <v>1</v>
      </c>
      <c r="H7" s="2">
        <v>9</v>
      </c>
      <c r="I7" s="2">
        <v>28</v>
      </c>
      <c r="J7" s="2">
        <v>3</v>
      </c>
      <c r="K7" s="2">
        <v>6</v>
      </c>
      <c r="L7" s="2">
        <v>0</v>
      </c>
    </row>
    <row r="8" spans="1:12" x14ac:dyDescent="0.25">
      <c r="A8" s="1" t="s">
        <v>20</v>
      </c>
      <c r="B8" s="2" t="s">
        <v>13</v>
      </c>
      <c r="C8" s="2">
        <v>8</v>
      </c>
      <c r="D8" s="2">
        <v>26</v>
      </c>
      <c r="E8" s="2">
        <v>181</v>
      </c>
      <c r="F8" s="2">
        <v>0</v>
      </c>
      <c r="G8" s="2">
        <v>0.14299999999999999</v>
      </c>
      <c r="H8" s="2">
        <v>16</v>
      </c>
      <c r="I8" s="2">
        <v>78</v>
      </c>
      <c r="J8" s="2">
        <v>19</v>
      </c>
      <c r="K8" s="2">
        <v>29</v>
      </c>
      <c r="L8" s="2">
        <v>0</v>
      </c>
    </row>
    <row r="9" spans="1:12" x14ac:dyDescent="0.25">
      <c r="A9" s="1" t="s">
        <v>21</v>
      </c>
      <c r="B9" s="2" t="s">
        <v>13</v>
      </c>
      <c r="C9" s="2">
        <v>16</v>
      </c>
      <c r="D9" s="2">
        <v>22</v>
      </c>
      <c r="E9" s="2">
        <v>0</v>
      </c>
      <c r="F9" s="2">
        <v>1</v>
      </c>
      <c r="G9" s="2">
        <v>0.25</v>
      </c>
      <c r="H9" s="2">
        <v>4</v>
      </c>
      <c r="I9" s="2">
        <v>44</v>
      </c>
      <c r="J9" s="2">
        <v>21</v>
      </c>
      <c r="K9" s="2">
        <v>22</v>
      </c>
      <c r="L9" s="2">
        <v>2</v>
      </c>
    </row>
    <row r="10" spans="1:12" x14ac:dyDescent="0.25">
      <c r="A10" s="1" t="s">
        <v>22</v>
      </c>
      <c r="B10" s="2" t="s">
        <v>13</v>
      </c>
      <c r="C10" s="2">
        <v>6</v>
      </c>
      <c r="D10" s="2">
        <v>6</v>
      </c>
      <c r="E10" s="2">
        <v>0</v>
      </c>
      <c r="F10" s="2">
        <v>1</v>
      </c>
      <c r="G10" s="2">
        <v>1</v>
      </c>
      <c r="H10" s="2">
        <v>14</v>
      </c>
      <c r="I10" s="2">
        <v>41</v>
      </c>
      <c r="J10" s="2">
        <v>1</v>
      </c>
      <c r="K10" s="2">
        <v>9</v>
      </c>
      <c r="L10" s="2">
        <v>0</v>
      </c>
    </row>
    <row r="11" spans="1:12" x14ac:dyDescent="0.25">
      <c r="A11" s="1" t="s">
        <v>23</v>
      </c>
      <c r="B11" s="2" t="s">
        <v>13</v>
      </c>
      <c r="C11" s="2">
        <v>0</v>
      </c>
      <c r="D11" s="2">
        <v>2</v>
      </c>
      <c r="E11" s="2">
        <v>1</v>
      </c>
      <c r="F11" s="2">
        <v>0</v>
      </c>
      <c r="G11" s="2">
        <v>0.5</v>
      </c>
      <c r="H11" s="2">
        <v>17</v>
      </c>
      <c r="I11" s="2">
        <v>32</v>
      </c>
      <c r="J11" s="2">
        <v>1</v>
      </c>
      <c r="K11" s="2">
        <v>4</v>
      </c>
      <c r="L11" s="2">
        <v>0</v>
      </c>
    </row>
    <row r="12" spans="1:12" x14ac:dyDescent="0.25">
      <c r="A12" s="1" t="s">
        <v>24</v>
      </c>
      <c r="B12" s="2" t="s">
        <v>13</v>
      </c>
      <c r="C12" s="2">
        <v>1</v>
      </c>
      <c r="D12" s="2">
        <v>15</v>
      </c>
      <c r="E12" s="2">
        <v>0</v>
      </c>
      <c r="F12" s="2">
        <v>1</v>
      </c>
      <c r="G12" s="2">
        <v>0.5</v>
      </c>
      <c r="H12" s="2">
        <v>3</v>
      </c>
      <c r="I12" s="2">
        <v>27</v>
      </c>
      <c r="J12" s="2">
        <v>5</v>
      </c>
      <c r="K12" s="2">
        <v>15</v>
      </c>
      <c r="L12" s="2">
        <v>0</v>
      </c>
    </row>
    <row r="13" spans="1:12" x14ac:dyDescent="0.25">
      <c r="A13" s="1" t="s">
        <v>25</v>
      </c>
      <c r="B13" s="2" t="s">
        <v>26</v>
      </c>
      <c r="C13" s="2">
        <v>0</v>
      </c>
      <c r="D13" s="2">
        <v>5</v>
      </c>
      <c r="E13" s="2">
        <v>10</v>
      </c>
      <c r="F13" s="2">
        <v>1</v>
      </c>
      <c r="G13" s="2">
        <v>0.33300000000000002</v>
      </c>
      <c r="H13" s="2">
        <v>11</v>
      </c>
      <c r="I13" s="2">
        <v>37</v>
      </c>
      <c r="J13" s="2">
        <v>0</v>
      </c>
      <c r="K13" s="2">
        <v>6</v>
      </c>
      <c r="L13" s="2">
        <v>0</v>
      </c>
    </row>
    <row r="14" spans="1:12" x14ac:dyDescent="0.25">
      <c r="A14" s="1" t="s">
        <v>27</v>
      </c>
      <c r="B14" s="2" t="s">
        <v>13</v>
      </c>
      <c r="C14" s="2">
        <v>3</v>
      </c>
      <c r="D14" s="2">
        <v>6</v>
      </c>
      <c r="E14" s="2">
        <v>0</v>
      </c>
      <c r="F14" s="2">
        <v>1</v>
      </c>
      <c r="G14" s="2">
        <v>0.5</v>
      </c>
      <c r="H14" s="2">
        <v>4</v>
      </c>
      <c r="I14" s="2">
        <v>10</v>
      </c>
      <c r="J14" s="2">
        <v>17</v>
      </c>
      <c r="K14" s="2">
        <v>6</v>
      </c>
      <c r="L14" s="2">
        <v>0</v>
      </c>
    </row>
    <row r="15" spans="1:12" x14ac:dyDescent="0.25">
      <c r="A15" s="1" t="s">
        <v>28</v>
      </c>
      <c r="B15" s="2" t="s">
        <v>13</v>
      </c>
      <c r="C15" s="2">
        <v>4</v>
      </c>
      <c r="D15" s="2">
        <v>5</v>
      </c>
      <c r="E15" s="2">
        <v>0</v>
      </c>
      <c r="F15" s="2">
        <v>1</v>
      </c>
      <c r="G15" s="2">
        <v>1</v>
      </c>
      <c r="H15" s="2">
        <v>3</v>
      </c>
      <c r="I15" s="2">
        <v>16</v>
      </c>
      <c r="J15" s="2">
        <v>6</v>
      </c>
      <c r="K15" s="2">
        <v>5</v>
      </c>
      <c r="L15" s="2">
        <v>0</v>
      </c>
    </row>
    <row r="16" spans="1:12" x14ac:dyDescent="0.25">
      <c r="A16" s="1" t="s">
        <v>29</v>
      </c>
      <c r="B16" s="2" t="s">
        <v>13</v>
      </c>
      <c r="C16" s="2">
        <v>3</v>
      </c>
      <c r="D16" s="2">
        <v>7</v>
      </c>
      <c r="E16" s="2">
        <v>2</v>
      </c>
      <c r="F16" s="2">
        <v>1</v>
      </c>
      <c r="G16" s="2">
        <v>1</v>
      </c>
      <c r="H16" s="2">
        <v>1</v>
      </c>
      <c r="I16" s="2">
        <v>14</v>
      </c>
      <c r="J16" s="2">
        <v>4</v>
      </c>
      <c r="K16" s="2">
        <v>9</v>
      </c>
      <c r="L16" s="2">
        <v>0</v>
      </c>
    </row>
    <row r="17" spans="1:12" x14ac:dyDescent="0.25">
      <c r="A17" s="1" t="s">
        <v>30</v>
      </c>
      <c r="B17" s="2" t="s">
        <v>13</v>
      </c>
      <c r="C17" s="2">
        <v>0</v>
      </c>
      <c r="D17" s="2">
        <v>2</v>
      </c>
      <c r="E17" s="2">
        <v>0</v>
      </c>
      <c r="F17" s="2">
        <v>1</v>
      </c>
      <c r="G17" s="2">
        <v>1</v>
      </c>
      <c r="H17" s="2">
        <v>5</v>
      </c>
      <c r="I17" s="2">
        <v>8</v>
      </c>
      <c r="J17" s="2">
        <v>1</v>
      </c>
      <c r="K17" s="2">
        <v>2</v>
      </c>
      <c r="L17" s="2">
        <v>0</v>
      </c>
    </row>
    <row r="18" spans="1:12" x14ac:dyDescent="0.25">
      <c r="A18" s="1" t="s">
        <v>31</v>
      </c>
      <c r="B18" s="2" t="s">
        <v>13</v>
      </c>
      <c r="C18" s="2">
        <v>13</v>
      </c>
      <c r="D18" s="2">
        <v>15</v>
      </c>
      <c r="E18" s="2">
        <v>65</v>
      </c>
      <c r="F18" s="2">
        <v>0</v>
      </c>
      <c r="G18" s="2">
        <v>0.16700000000000001</v>
      </c>
      <c r="H18" s="2">
        <v>8</v>
      </c>
      <c r="I18" s="2">
        <v>27</v>
      </c>
      <c r="J18" s="2">
        <v>35</v>
      </c>
      <c r="K18" s="2">
        <v>15</v>
      </c>
      <c r="L18" s="2">
        <v>0</v>
      </c>
    </row>
    <row r="19" spans="1:12" x14ac:dyDescent="0.25">
      <c r="A19" s="1" t="s">
        <v>32</v>
      </c>
      <c r="B19" s="2" t="s">
        <v>13</v>
      </c>
      <c r="C19" s="2">
        <v>2</v>
      </c>
      <c r="D19" s="2">
        <v>8</v>
      </c>
      <c r="E19" s="2">
        <v>58</v>
      </c>
      <c r="F19" s="2">
        <v>1</v>
      </c>
      <c r="G19" s="2">
        <v>1</v>
      </c>
      <c r="H19" s="2">
        <v>27</v>
      </c>
      <c r="I19" s="2">
        <v>135</v>
      </c>
      <c r="J19" s="2">
        <v>5</v>
      </c>
      <c r="K19" s="2">
        <v>25</v>
      </c>
      <c r="L19" s="2">
        <v>0</v>
      </c>
    </row>
    <row r="20" spans="1:12" x14ac:dyDescent="0.25">
      <c r="A20" s="1" t="s">
        <v>33</v>
      </c>
      <c r="B20" s="2" t="s">
        <v>13</v>
      </c>
      <c r="C20" s="2">
        <v>0</v>
      </c>
      <c r="D20" s="2">
        <v>1</v>
      </c>
      <c r="E20" s="2">
        <v>1</v>
      </c>
      <c r="F20" s="2">
        <v>1</v>
      </c>
      <c r="G20" s="2">
        <v>1</v>
      </c>
      <c r="H20" s="2">
        <v>2</v>
      </c>
      <c r="I20" s="2">
        <v>3</v>
      </c>
      <c r="J20" s="2">
        <v>1</v>
      </c>
      <c r="K20" s="2">
        <v>2</v>
      </c>
      <c r="L20" s="2">
        <v>0</v>
      </c>
    </row>
    <row r="21" spans="1:12" x14ac:dyDescent="0.25">
      <c r="A21" s="1" t="s">
        <v>34</v>
      </c>
      <c r="B21" s="2" t="s">
        <v>35</v>
      </c>
      <c r="C21" s="2">
        <v>1</v>
      </c>
      <c r="D21" s="2">
        <v>1</v>
      </c>
      <c r="E21" s="2">
        <v>0</v>
      </c>
      <c r="F21" s="2">
        <v>4</v>
      </c>
      <c r="G21" s="2">
        <v>1</v>
      </c>
      <c r="H21" s="2">
        <v>1</v>
      </c>
      <c r="I21" s="2">
        <v>2</v>
      </c>
      <c r="J21" s="2">
        <v>2</v>
      </c>
      <c r="K21" s="2">
        <v>1</v>
      </c>
      <c r="L21" s="2">
        <v>0</v>
      </c>
    </row>
    <row r="22" spans="1:12" x14ac:dyDescent="0.25">
      <c r="A22" s="1" t="s">
        <v>36</v>
      </c>
      <c r="B22" s="2" t="s">
        <v>13</v>
      </c>
      <c r="C22" s="2">
        <v>0</v>
      </c>
      <c r="D22" s="2">
        <v>8</v>
      </c>
      <c r="E22" s="2">
        <v>3</v>
      </c>
      <c r="F22" s="2">
        <v>0</v>
      </c>
      <c r="G22" s="2">
        <v>0.33300000000000002</v>
      </c>
      <c r="H22" s="2">
        <v>5</v>
      </c>
      <c r="I22" s="2">
        <v>16</v>
      </c>
      <c r="J22" s="2">
        <v>3</v>
      </c>
      <c r="K22" s="2">
        <v>8</v>
      </c>
      <c r="L22" s="2">
        <v>0</v>
      </c>
    </row>
    <row r="23" spans="1:12" x14ac:dyDescent="0.25">
      <c r="A23" s="1" t="s">
        <v>37</v>
      </c>
      <c r="B23" s="2" t="s">
        <v>13</v>
      </c>
      <c r="C23" s="2">
        <v>2</v>
      </c>
      <c r="D23" s="2">
        <v>1</v>
      </c>
      <c r="E23" s="2">
        <v>0</v>
      </c>
      <c r="F23" s="2">
        <v>0</v>
      </c>
      <c r="G23" s="2">
        <v>1</v>
      </c>
      <c r="H23" s="2">
        <v>4</v>
      </c>
      <c r="I23" s="2">
        <v>2</v>
      </c>
      <c r="J23" s="2">
        <v>10</v>
      </c>
      <c r="K23" s="2">
        <v>1</v>
      </c>
      <c r="L23" s="2">
        <v>0</v>
      </c>
    </row>
    <row r="24" spans="1:12" x14ac:dyDescent="0.25">
      <c r="A24" s="1" t="s">
        <v>38</v>
      </c>
      <c r="B24" s="2" t="s">
        <v>13</v>
      </c>
      <c r="C24" s="2">
        <v>1</v>
      </c>
      <c r="D24" s="2">
        <v>13</v>
      </c>
      <c r="E24" s="2">
        <v>25</v>
      </c>
      <c r="F24" s="2">
        <v>1</v>
      </c>
      <c r="G24" s="2">
        <v>0.5</v>
      </c>
      <c r="H24" s="2">
        <v>11</v>
      </c>
      <c r="I24" s="2">
        <v>39</v>
      </c>
      <c r="J24" s="2">
        <v>20</v>
      </c>
      <c r="K24" s="2">
        <v>14</v>
      </c>
      <c r="L24" s="2">
        <v>3</v>
      </c>
    </row>
    <row r="25" spans="1:12" x14ac:dyDescent="0.25">
      <c r="A25" s="1" t="s">
        <v>39</v>
      </c>
      <c r="B25" s="2" t="s">
        <v>13</v>
      </c>
      <c r="C25" s="2">
        <v>0</v>
      </c>
      <c r="D25" s="2">
        <v>6</v>
      </c>
      <c r="E25" s="2">
        <v>8</v>
      </c>
      <c r="F25" s="2">
        <v>0</v>
      </c>
      <c r="G25" s="2">
        <v>0.33300000000000002</v>
      </c>
      <c r="H25" s="2">
        <v>6</v>
      </c>
      <c r="I25" s="2">
        <v>17</v>
      </c>
      <c r="J25" s="2">
        <v>1</v>
      </c>
      <c r="K25" s="2">
        <v>6</v>
      </c>
      <c r="L25" s="2">
        <v>0</v>
      </c>
    </row>
    <row r="26" spans="1:12" x14ac:dyDescent="0.25">
      <c r="A26" s="1" t="s">
        <v>40</v>
      </c>
      <c r="B26" s="2" t="s">
        <v>13</v>
      </c>
      <c r="C26" s="2">
        <v>0</v>
      </c>
      <c r="D26" s="2">
        <v>12</v>
      </c>
      <c r="E26" s="2">
        <v>0</v>
      </c>
      <c r="F26" s="2">
        <v>0</v>
      </c>
      <c r="G26" s="2">
        <v>0.5</v>
      </c>
      <c r="H26" s="2">
        <v>3</v>
      </c>
      <c r="I26" s="2">
        <v>34</v>
      </c>
      <c r="J26" s="2">
        <v>2</v>
      </c>
      <c r="K26" s="2">
        <v>12</v>
      </c>
      <c r="L26" s="2">
        <v>2</v>
      </c>
    </row>
    <row r="27" spans="1:12" x14ac:dyDescent="0.25">
      <c r="A27" s="1" t="s">
        <v>41</v>
      </c>
      <c r="B27" s="2" t="s">
        <v>13</v>
      </c>
      <c r="C27" s="2">
        <v>0</v>
      </c>
      <c r="D27" s="2">
        <v>4</v>
      </c>
      <c r="E27" s="2">
        <v>6</v>
      </c>
      <c r="F27" s="2">
        <v>0</v>
      </c>
      <c r="G27" s="2">
        <v>0.33300000000000002</v>
      </c>
      <c r="H27" s="2">
        <v>5</v>
      </c>
      <c r="I27" s="2">
        <v>7</v>
      </c>
      <c r="J27" s="2">
        <v>1</v>
      </c>
      <c r="K27" s="2">
        <v>4</v>
      </c>
      <c r="L27" s="2">
        <v>0</v>
      </c>
    </row>
    <row r="28" spans="1:12" x14ac:dyDescent="0.25">
      <c r="A28" s="1" t="s">
        <v>42</v>
      </c>
      <c r="B28" s="2" t="s">
        <v>13</v>
      </c>
      <c r="C28" s="2">
        <v>0</v>
      </c>
      <c r="D28" s="2">
        <v>9</v>
      </c>
      <c r="E28" s="2">
        <v>0</v>
      </c>
      <c r="F28" s="2">
        <v>0</v>
      </c>
      <c r="G28" s="2">
        <v>1</v>
      </c>
      <c r="H28" s="2">
        <v>6</v>
      </c>
      <c r="I28" s="2">
        <v>24</v>
      </c>
      <c r="J28" s="2">
        <v>2</v>
      </c>
      <c r="K28" s="2">
        <v>9</v>
      </c>
      <c r="L28" s="2">
        <v>0</v>
      </c>
    </row>
    <row r="29" spans="1:12" x14ac:dyDescent="0.25">
      <c r="A29" s="1" t="s">
        <v>43</v>
      </c>
      <c r="B29" s="2" t="s">
        <v>13</v>
      </c>
      <c r="C29" s="2">
        <v>0</v>
      </c>
      <c r="D29" s="2">
        <v>6</v>
      </c>
      <c r="E29" s="2">
        <v>8</v>
      </c>
      <c r="F29" s="2">
        <v>0</v>
      </c>
      <c r="G29" s="2">
        <v>0.33300000000000002</v>
      </c>
      <c r="H29" s="2">
        <v>6</v>
      </c>
      <c r="I29" s="2">
        <v>17</v>
      </c>
      <c r="J29" s="2">
        <v>1</v>
      </c>
      <c r="K29" s="2">
        <v>6</v>
      </c>
      <c r="L29" s="2">
        <v>0</v>
      </c>
    </row>
    <row r="30" spans="1:12" x14ac:dyDescent="0.25">
      <c r="A30" s="1" t="s">
        <v>44</v>
      </c>
      <c r="B30" s="2" t="s">
        <v>13</v>
      </c>
      <c r="C30" s="2">
        <v>4</v>
      </c>
      <c r="D30" s="2">
        <v>11</v>
      </c>
      <c r="E30" s="2">
        <v>0</v>
      </c>
      <c r="F30" s="2">
        <v>0</v>
      </c>
      <c r="G30" s="2">
        <v>0.5</v>
      </c>
      <c r="H30" s="2">
        <v>8</v>
      </c>
      <c r="I30" s="2">
        <v>23</v>
      </c>
      <c r="J30" s="2">
        <v>6</v>
      </c>
      <c r="K30" s="2">
        <v>11</v>
      </c>
      <c r="L30" s="2">
        <v>2</v>
      </c>
    </row>
    <row r="31" spans="1:12" x14ac:dyDescent="0.25">
      <c r="A31" s="1" t="s">
        <v>45</v>
      </c>
      <c r="B31" s="2" t="s">
        <v>13</v>
      </c>
      <c r="C31" s="2">
        <v>0</v>
      </c>
      <c r="D31" s="2">
        <v>4</v>
      </c>
      <c r="E31" s="2">
        <v>6</v>
      </c>
      <c r="F31" s="2">
        <v>0</v>
      </c>
      <c r="G31" s="2">
        <v>0.33300000000000002</v>
      </c>
      <c r="H31" s="2">
        <v>5</v>
      </c>
      <c r="I31" s="2">
        <v>7</v>
      </c>
      <c r="J31" s="2">
        <v>4</v>
      </c>
      <c r="K31" s="2">
        <v>4</v>
      </c>
      <c r="L31" s="2">
        <v>0</v>
      </c>
    </row>
    <row r="32" spans="1:12" x14ac:dyDescent="0.25">
      <c r="A32" s="1" t="s">
        <v>46</v>
      </c>
      <c r="B32" s="2" t="s">
        <v>35</v>
      </c>
      <c r="C32" s="2">
        <v>2</v>
      </c>
      <c r="D32" s="2">
        <v>6</v>
      </c>
      <c r="E32" s="2">
        <v>0</v>
      </c>
      <c r="F32" s="2">
        <v>1</v>
      </c>
      <c r="G32" s="2">
        <v>1</v>
      </c>
      <c r="H32" s="2">
        <v>1</v>
      </c>
      <c r="I32" s="2">
        <v>7</v>
      </c>
      <c r="J32" s="2">
        <v>23</v>
      </c>
      <c r="K32" s="2">
        <v>6</v>
      </c>
      <c r="L32" s="2">
        <v>2</v>
      </c>
    </row>
    <row r="33" spans="1:12" x14ac:dyDescent="0.25">
      <c r="A33" s="1" t="s">
        <v>47</v>
      </c>
      <c r="B33" s="2" t="s">
        <v>35</v>
      </c>
      <c r="C33" s="2">
        <v>2</v>
      </c>
      <c r="D33" s="2">
        <v>1</v>
      </c>
      <c r="E33" s="2">
        <v>0</v>
      </c>
      <c r="F33" s="2">
        <v>1</v>
      </c>
      <c r="G33" s="2">
        <v>1</v>
      </c>
      <c r="H33" s="2">
        <v>1</v>
      </c>
      <c r="I33" s="2">
        <v>2</v>
      </c>
      <c r="J33" s="2">
        <v>8</v>
      </c>
      <c r="K33" s="2">
        <v>1</v>
      </c>
      <c r="L33" s="2">
        <v>0</v>
      </c>
    </row>
    <row r="34" spans="1:12" x14ac:dyDescent="0.25">
      <c r="A34" s="1" t="s">
        <v>48</v>
      </c>
      <c r="B34" s="2" t="s">
        <v>13</v>
      </c>
      <c r="C34" s="2">
        <v>2</v>
      </c>
      <c r="D34" s="2">
        <v>9</v>
      </c>
      <c r="E34" s="2">
        <v>0</v>
      </c>
      <c r="F34" s="2">
        <v>1</v>
      </c>
      <c r="G34" s="2">
        <v>1</v>
      </c>
      <c r="H34" s="2">
        <v>2</v>
      </c>
      <c r="I34" s="2">
        <v>23</v>
      </c>
      <c r="J34" s="2">
        <v>22</v>
      </c>
      <c r="K34" s="2">
        <v>9</v>
      </c>
      <c r="L34" s="2">
        <v>1</v>
      </c>
    </row>
    <row r="35" spans="1:12" x14ac:dyDescent="0.25">
      <c r="A35" s="1" t="s">
        <v>49</v>
      </c>
      <c r="B35" s="2" t="s">
        <v>26</v>
      </c>
      <c r="C35" s="2">
        <v>0</v>
      </c>
      <c r="D35" s="2">
        <v>5</v>
      </c>
      <c r="E35" s="2">
        <v>21</v>
      </c>
      <c r="F35" s="2">
        <v>0</v>
      </c>
      <c r="G35" s="2">
        <v>0.2</v>
      </c>
      <c r="H35" s="2">
        <v>5</v>
      </c>
      <c r="I35" s="2">
        <v>24</v>
      </c>
      <c r="J35" s="2">
        <v>0</v>
      </c>
      <c r="K35" s="2">
        <v>7</v>
      </c>
      <c r="L35" s="2">
        <v>0</v>
      </c>
    </row>
    <row r="36" spans="1:12" x14ac:dyDescent="0.25">
      <c r="A36" s="1" t="s">
        <v>50</v>
      </c>
      <c r="B36" s="2" t="s">
        <v>13</v>
      </c>
      <c r="C36" s="2">
        <v>0</v>
      </c>
      <c r="D36" s="2">
        <v>2</v>
      </c>
      <c r="E36" s="2">
        <v>1</v>
      </c>
      <c r="F36" s="2">
        <v>1</v>
      </c>
      <c r="G36" s="2">
        <v>1</v>
      </c>
      <c r="H36" s="2">
        <v>13</v>
      </c>
      <c r="I36" s="2">
        <v>30</v>
      </c>
      <c r="J36" s="2">
        <v>1</v>
      </c>
      <c r="K36" s="2">
        <v>3</v>
      </c>
      <c r="L36" s="2">
        <v>0</v>
      </c>
    </row>
    <row r="37" spans="1:12" x14ac:dyDescent="0.25">
      <c r="A37" s="1" t="s">
        <v>51</v>
      </c>
      <c r="B37" s="2" t="s">
        <v>13</v>
      </c>
      <c r="C37" s="2">
        <v>13</v>
      </c>
      <c r="D37" s="2">
        <v>28</v>
      </c>
      <c r="E37" s="2">
        <v>289</v>
      </c>
      <c r="F37" s="2">
        <v>1</v>
      </c>
      <c r="G37" s="2">
        <v>0.16700000000000001</v>
      </c>
      <c r="H37" s="2">
        <v>47</v>
      </c>
      <c r="I37" s="2">
        <v>184</v>
      </c>
      <c r="J37" s="2">
        <v>31</v>
      </c>
      <c r="K37" s="2">
        <v>37</v>
      </c>
      <c r="L37" s="2">
        <v>0</v>
      </c>
    </row>
    <row r="38" spans="1:12" x14ac:dyDescent="0.25">
      <c r="A38" s="1" t="s">
        <v>52</v>
      </c>
      <c r="B38" s="2" t="s">
        <v>26</v>
      </c>
      <c r="C38" s="2">
        <v>0</v>
      </c>
      <c r="D38" s="2">
        <v>6</v>
      </c>
      <c r="E38" s="2">
        <v>21</v>
      </c>
      <c r="F38" s="2">
        <v>0</v>
      </c>
      <c r="G38" s="2">
        <v>0.33300000000000002</v>
      </c>
      <c r="H38" s="2">
        <v>5</v>
      </c>
      <c r="I38" s="2">
        <v>21</v>
      </c>
      <c r="J38" s="2">
        <v>0</v>
      </c>
      <c r="K38" s="2">
        <v>7</v>
      </c>
      <c r="L38" s="2">
        <v>0</v>
      </c>
    </row>
    <row r="39" spans="1:12" x14ac:dyDescent="0.25">
      <c r="A39" s="1" t="s">
        <v>53</v>
      </c>
      <c r="B39" s="2" t="s">
        <v>26</v>
      </c>
      <c r="C39" s="2">
        <v>0</v>
      </c>
      <c r="D39" s="2">
        <v>1</v>
      </c>
      <c r="E39" s="2">
        <v>0</v>
      </c>
      <c r="F39" s="2">
        <v>0</v>
      </c>
      <c r="G39" s="2">
        <v>1</v>
      </c>
      <c r="H39" s="2">
        <v>1</v>
      </c>
      <c r="I39" s="2">
        <v>2</v>
      </c>
      <c r="J39" s="2">
        <v>0</v>
      </c>
      <c r="K39" s="2">
        <v>1</v>
      </c>
      <c r="L39" s="2">
        <v>0</v>
      </c>
    </row>
    <row r="40" spans="1:12" x14ac:dyDescent="0.25">
      <c r="A40" s="1" t="s">
        <v>54</v>
      </c>
      <c r="B40" s="2" t="s">
        <v>26</v>
      </c>
      <c r="C40" s="2">
        <v>0</v>
      </c>
      <c r="D40" s="2">
        <v>3</v>
      </c>
      <c r="E40" s="2">
        <v>15</v>
      </c>
      <c r="F40" s="2">
        <v>0</v>
      </c>
      <c r="G40" s="2">
        <v>0.33300000000000002</v>
      </c>
      <c r="H40" s="2">
        <v>10</v>
      </c>
      <c r="I40" s="2">
        <v>29</v>
      </c>
      <c r="J40" s="2">
        <v>2</v>
      </c>
      <c r="K40" s="2">
        <v>7</v>
      </c>
      <c r="L40" s="2">
        <v>1</v>
      </c>
    </row>
    <row r="41" spans="1:12" x14ac:dyDescent="0.25">
      <c r="A41" s="1" t="s">
        <v>55</v>
      </c>
      <c r="B41" s="2" t="s">
        <v>56</v>
      </c>
      <c r="C41" s="2">
        <v>0</v>
      </c>
      <c r="D41" s="2">
        <v>0</v>
      </c>
      <c r="E41" s="2">
        <v>0</v>
      </c>
      <c r="F41" s="2">
        <v>4</v>
      </c>
      <c r="G41" s="2">
        <v>1</v>
      </c>
      <c r="H41" s="2">
        <v>0</v>
      </c>
      <c r="I41" s="2">
        <v>3</v>
      </c>
      <c r="J41" s="2">
        <v>1</v>
      </c>
      <c r="K41" s="2">
        <v>1</v>
      </c>
      <c r="L41" s="2">
        <v>0</v>
      </c>
    </row>
    <row r="42" spans="1:12" x14ac:dyDescent="0.25">
      <c r="A42" s="1" t="s">
        <v>57</v>
      </c>
      <c r="B42" s="2" t="s">
        <v>26</v>
      </c>
      <c r="C42" s="2">
        <v>0</v>
      </c>
      <c r="D42" s="2">
        <v>2</v>
      </c>
      <c r="E42" s="2">
        <v>0</v>
      </c>
      <c r="F42" s="2">
        <v>1</v>
      </c>
      <c r="G42" s="2">
        <v>1</v>
      </c>
      <c r="H42" s="2">
        <v>3</v>
      </c>
      <c r="I42" s="2">
        <v>15</v>
      </c>
      <c r="J42" s="2">
        <v>1</v>
      </c>
      <c r="K42" s="2">
        <v>2</v>
      </c>
      <c r="L42" s="2">
        <v>0</v>
      </c>
    </row>
    <row r="43" spans="1:12" x14ac:dyDescent="0.25">
      <c r="A43" s="1" t="s">
        <v>58</v>
      </c>
      <c r="B43" s="2" t="s">
        <v>26</v>
      </c>
      <c r="C43" s="2">
        <v>0</v>
      </c>
      <c r="D43" s="2">
        <v>4</v>
      </c>
      <c r="E43" s="2">
        <v>22</v>
      </c>
      <c r="F43" s="2">
        <v>0</v>
      </c>
      <c r="G43" s="2">
        <v>0.16700000000000001</v>
      </c>
      <c r="H43" s="2">
        <v>5</v>
      </c>
      <c r="I43" s="2">
        <v>27</v>
      </c>
      <c r="J43" s="2">
        <v>0</v>
      </c>
      <c r="K43" s="2">
        <v>8</v>
      </c>
      <c r="L43" s="2">
        <v>0</v>
      </c>
    </row>
    <row r="44" spans="1:12" x14ac:dyDescent="0.25">
      <c r="A44" s="1" t="s">
        <v>59</v>
      </c>
      <c r="B44" s="2" t="s">
        <v>26</v>
      </c>
      <c r="C44" s="2">
        <v>0</v>
      </c>
      <c r="D44" s="2">
        <v>6</v>
      </c>
      <c r="E44" s="2">
        <v>19</v>
      </c>
      <c r="F44" s="2">
        <v>0</v>
      </c>
      <c r="G44" s="2">
        <v>0.16700000000000001</v>
      </c>
      <c r="H44" s="2">
        <v>6</v>
      </c>
      <c r="I44" s="2">
        <v>24</v>
      </c>
      <c r="J44" s="2">
        <v>0</v>
      </c>
      <c r="K44" s="2">
        <v>7</v>
      </c>
      <c r="L44" s="2">
        <v>0</v>
      </c>
    </row>
    <row r="45" spans="1:12" x14ac:dyDescent="0.25">
      <c r="A45" s="1" t="s">
        <v>60</v>
      </c>
      <c r="B45" s="2" t="s">
        <v>26</v>
      </c>
      <c r="C45" s="2">
        <v>0</v>
      </c>
      <c r="D45" s="2">
        <v>3</v>
      </c>
      <c r="E45" s="2">
        <v>6</v>
      </c>
      <c r="F45" s="2">
        <v>0</v>
      </c>
      <c r="G45" s="2">
        <v>0.5</v>
      </c>
      <c r="H45" s="2">
        <v>1</v>
      </c>
      <c r="I45" s="2">
        <v>14</v>
      </c>
      <c r="J45" s="2">
        <v>0</v>
      </c>
      <c r="K45" s="2">
        <v>4</v>
      </c>
      <c r="L45" s="2">
        <v>0</v>
      </c>
    </row>
    <row r="46" spans="1:12" x14ac:dyDescent="0.25">
      <c r="A46" s="1" t="s">
        <v>61</v>
      </c>
      <c r="B46" s="2" t="s">
        <v>26</v>
      </c>
      <c r="C46" s="2">
        <v>0</v>
      </c>
      <c r="D46" s="2">
        <v>1</v>
      </c>
      <c r="E46" s="2">
        <v>3</v>
      </c>
      <c r="F46" s="2">
        <v>0</v>
      </c>
      <c r="G46" s="2">
        <v>0.5</v>
      </c>
      <c r="H46" s="2">
        <v>6</v>
      </c>
      <c r="I46" s="2">
        <v>12</v>
      </c>
      <c r="J46" s="2">
        <v>0</v>
      </c>
      <c r="K46" s="2">
        <v>3</v>
      </c>
      <c r="L46" s="2">
        <v>0</v>
      </c>
    </row>
    <row r="47" spans="1:12" x14ac:dyDescent="0.25">
      <c r="A47" s="1" t="s">
        <v>62</v>
      </c>
      <c r="B47" s="2" t="s">
        <v>26</v>
      </c>
      <c r="C47" s="2">
        <v>0</v>
      </c>
      <c r="D47" s="2">
        <v>5</v>
      </c>
      <c r="E47" s="2">
        <v>15</v>
      </c>
      <c r="F47" s="2">
        <v>0</v>
      </c>
      <c r="G47" s="2">
        <v>0.2</v>
      </c>
      <c r="H47" s="2">
        <v>6</v>
      </c>
      <c r="I47" s="2">
        <v>22</v>
      </c>
      <c r="J47" s="2">
        <v>0</v>
      </c>
      <c r="K47" s="2">
        <v>6</v>
      </c>
      <c r="L47" s="2">
        <v>0</v>
      </c>
    </row>
    <row r="48" spans="1:12" x14ac:dyDescent="0.25">
      <c r="A48" s="1" t="s">
        <v>63</v>
      </c>
      <c r="B48" s="2" t="s">
        <v>26</v>
      </c>
      <c r="C48" s="2">
        <v>0</v>
      </c>
      <c r="D48" s="2">
        <v>3</v>
      </c>
      <c r="E48" s="2">
        <v>1</v>
      </c>
      <c r="F48" s="2">
        <v>0</v>
      </c>
      <c r="G48" s="2">
        <v>0.5</v>
      </c>
      <c r="H48" s="2">
        <v>5</v>
      </c>
      <c r="I48" s="2">
        <v>18</v>
      </c>
      <c r="J48" s="2">
        <v>0</v>
      </c>
      <c r="K48" s="2">
        <v>3</v>
      </c>
      <c r="L48" s="2">
        <v>0</v>
      </c>
    </row>
    <row r="49" spans="1:12" x14ac:dyDescent="0.25">
      <c r="A49" s="1" t="s">
        <v>64</v>
      </c>
      <c r="B49" s="2" t="s">
        <v>26</v>
      </c>
      <c r="C49" s="2">
        <v>0</v>
      </c>
      <c r="D49" s="2">
        <v>4</v>
      </c>
      <c r="E49" s="2">
        <v>10</v>
      </c>
      <c r="F49" s="2">
        <v>0</v>
      </c>
      <c r="G49" s="2">
        <v>0.33300000000000002</v>
      </c>
      <c r="H49" s="2">
        <v>4</v>
      </c>
      <c r="I49" s="2">
        <v>30</v>
      </c>
      <c r="J49" s="2">
        <v>0</v>
      </c>
      <c r="K49" s="2">
        <v>5</v>
      </c>
      <c r="L49" s="2">
        <v>0</v>
      </c>
    </row>
    <row r="50" spans="1:12" x14ac:dyDescent="0.25">
      <c r="A50" s="1" t="s">
        <v>65</v>
      </c>
      <c r="B50" s="2" t="s">
        <v>26</v>
      </c>
      <c r="C50" s="2">
        <v>2</v>
      </c>
      <c r="D50" s="2">
        <v>6</v>
      </c>
      <c r="E50" s="2">
        <v>26</v>
      </c>
      <c r="F50" s="2">
        <v>0</v>
      </c>
      <c r="G50" s="2">
        <v>0.16700000000000001</v>
      </c>
      <c r="H50" s="2">
        <v>9</v>
      </c>
      <c r="I50" s="2">
        <v>38</v>
      </c>
      <c r="J50" s="2">
        <v>1</v>
      </c>
      <c r="K50" s="2">
        <v>8</v>
      </c>
      <c r="L50" s="2">
        <v>0</v>
      </c>
    </row>
    <row r="51" spans="1:12" x14ac:dyDescent="0.25">
      <c r="A51" s="1" t="s">
        <v>66</v>
      </c>
      <c r="B51" s="2" t="s">
        <v>56</v>
      </c>
      <c r="C51" s="2">
        <v>0</v>
      </c>
      <c r="D51" s="2">
        <v>0</v>
      </c>
      <c r="E51" s="2">
        <v>0</v>
      </c>
      <c r="F51" s="2">
        <v>4</v>
      </c>
      <c r="G51" s="2">
        <v>1</v>
      </c>
      <c r="H51" s="2">
        <v>0</v>
      </c>
      <c r="I51" s="2">
        <v>3</v>
      </c>
      <c r="J51" s="2">
        <v>1</v>
      </c>
      <c r="K51" s="2">
        <v>1</v>
      </c>
      <c r="L51" s="2">
        <v>0</v>
      </c>
    </row>
    <row r="52" spans="1:12" x14ac:dyDescent="0.25">
      <c r="A52" s="1" t="s">
        <v>67</v>
      </c>
      <c r="B52" s="2" t="s">
        <v>26</v>
      </c>
      <c r="C52" s="2">
        <v>0</v>
      </c>
      <c r="D52" s="2">
        <v>2</v>
      </c>
      <c r="E52" s="2">
        <v>64</v>
      </c>
      <c r="F52" s="2">
        <v>1</v>
      </c>
      <c r="G52" s="2">
        <v>1</v>
      </c>
      <c r="H52" s="2">
        <v>2</v>
      </c>
      <c r="I52" s="2">
        <v>44</v>
      </c>
      <c r="J52" s="2">
        <v>1</v>
      </c>
      <c r="K52" s="2">
        <v>12</v>
      </c>
      <c r="L52" s="2">
        <v>0</v>
      </c>
    </row>
    <row r="53" spans="1:12" x14ac:dyDescent="0.25">
      <c r="A53" s="1" t="s">
        <v>68</v>
      </c>
      <c r="B53" s="2" t="s">
        <v>13</v>
      </c>
      <c r="C53" s="2">
        <v>0</v>
      </c>
      <c r="D53" s="2">
        <v>11</v>
      </c>
      <c r="E53" s="2">
        <v>76</v>
      </c>
      <c r="F53" s="2">
        <v>1</v>
      </c>
      <c r="G53" s="2">
        <v>8.3000000000000004E-2</v>
      </c>
      <c r="H53" s="2">
        <v>5</v>
      </c>
      <c r="I53" s="2">
        <v>43</v>
      </c>
      <c r="J53" s="2">
        <v>16</v>
      </c>
      <c r="K53" s="2">
        <v>14</v>
      </c>
      <c r="L53" s="2">
        <v>11</v>
      </c>
    </row>
    <row r="54" spans="1:12" x14ac:dyDescent="0.25">
      <c r="A54" s="1" t="s">
        <v>69</v>
      </c>
      <c r="B54" s="2" t="s">
        <v>13</v>
      </c>
      <c r="C54" s="2">
        <v>5</v>
      </c>
      <c r="D54" s="2">
        <v>18</v>
      </c>
      <c r="E54" s="2">
        <v>0</v>
      </c>
      <c r="F54" s="2">
        <v>0</v>
      </c>
      <c r="G54" s="2">
        <v>0.5</v>
      </c>
      <c r="H54" s="2">
        <v>17</v>
      </c>
      <c r="I54" s="2">
        <v>61</v>
      </c>
      <c r="J54" s="2">
        <v>1</v>
      </c>
      <c r="K54" s="2">
        <v>18</v>
      </c>
      <c r="L54" s="2">
        <v>0</v>
      </c>
    </row>
    <row r="55" spans="1:12" x14ac:dyDescent="0.25">
      <c r="A55" s="1" t="s">
        <v>70</v>
      </c>
      <c r="B55" s="2" t="s">
        <v>13</v>
      </c>
      <c r="C55" s="2">
        <v>36</v>
      </c>
      <c r="D55" s="2">
        <v>102</v>
      </c>
      <c r="E55" s="2">
        <v>0</v>
      </c>
      <c r="F55" s="2">
        <v>0</v>
      </c>
      <c r="G55" s="2">
        <v>0.5</v>
      </c>
      <c r="H55" s="2">
        <v>27</v>
      </c>
      <c r="I55" s="2">
        <v>184</v>
      </c>
      <c r="J55" s="2">
        <v>3</v>
      </c>
      <c r="K55" s="2">
        <v>107</v>
      </c>
      <c r="L55" s="2">
        <v>0</v>
      </c>
    </row>
    <row r="56" spans="1:12" x14ac:dyDescent="0.25">
      <c r="A56" s="1" t="s">
        <v>71</v>
      </c>
      <c r="B56" s="2" t="s">
        <v>13</v>
      </c>
      <c r="C56" s="2">
        <v>0</v>
      </c>
      <c r="D56" s="2">
        <v>2</v>
      </c>
      <c r="E56" s="2">
        <v>1</v>
      </c>
      <c r="F56" s="2">
        <v>0</v>
      </c>
      <c r="G56" s="2">
        <v>1</v>
      </c>
      <c r="H56" s="2">
        <v>3</v>
      </c>
      <c r="I56" s="2">
        <v>3</v>
      </c>
      <c r="J56" s="2">
        <v>1</v>
      </c>
      <c r="K56" s="2">
        <v>2</v>
      </c>
      <c r="L56" s="2">
        <v>0</v>
      </c>
    </row>
    <row r="57" spans="1:12" x14ac:dyDescent="0.25">
      <c r="A57" s="1" t="s">
        <v>72</v>
      </c>
      <c r="B57" s="2" t="s">
        <v>13</v>
      </c>
      <c r="C57" s="2">
        <v>0</v>
      </c>
      <c r="D57" s="2">
        <v>3</v>
      </c>
      <c r="E57" s="2">
        <v>1</v>
      </c>
      <c r="F57" s="2">
        <v>0</v>
      </c>
      <c r="G57" s="2">
        <v>1</v>
      </c>
      <c r="H57" s="2">
        <v>6</v>
      </c>
      <c r="I57" s="2">
        <v>37</v>
      </c>
      <c r="J57" s="2">
        <v>1</v>
      </c>
      <c r="K57" s="2">
        <v>3</v>
      </c>
      <c r="L57" s="2">
        <v>0</v>
      </c>
    </row>
    <row r="58" spans="1:12" x14ac:dyDescent="0.25">
      <c r="A58" s="1" t="s">
        <v>73</v>
      </c>
      <c r="B58" s="2" t="s">
        <v>13</v>
      </c>
      <c r="C58" s="2">
        <v>101</v>
      </c>
      <c r="D58" s="2">
        <v>84</v>
      </c>
      <c r="E58" s="2">
        <v>0</v>
      </c>
      <c r="F58" s="2">
        <v>0</v>
      </c>
      <c r="G58" s="2">
        <v>0.16700000000000001</v>
      </c>
      <c r="H58" s="2">
        <v>19</v>
      </c>
      <c r="I58" s="2">
        <v>142</v>
      </c>
      <c r="J58" s="2">
        <v>6</v>
      </c>
      <c r="K58" s="2">
        <v>87</v>
      </c>
      <c r="L58" s="2">
        <v>0</v>
      </c>
    </row>
    <row r="59" spans="1:12" x14ac:dyDescent="0.25">
      <c r="A59" s="1" t="s">
        <v>74</v>
      </c>
      <c r="B59" s="2" t="s">
        <v>35</v>
      </c>
      <c r="C59" s="2">
        <v>0</v>
      </c>
      <c r="D59" s="2">
        <v>0</v>
      </c>
      <c r="E59" s="2">
        <v>0</v>
      </c>
      <c r="F59" s="2">
        <v>4</v>
      </c>
      <c r="G59" s="2">
        <v>1</v>
      </c>
      <c r="H59" s="2">
        <v>1</v>
      </c>
      <c r="I59" s="2">
        <v>4</v>
      </c>
      <c r="J59" s="2">
        <v>1</v>
      </c>
      <c r="K59" s="2">
        <v>1</v>
      </c>
      <c r="L59" s="2">
        <v>0</v>
      </c>
    </row>
    <row r="60" spans="1:12" x14ac:dyDescent="0.25">
      <c r="A60" s="1" t="s">
        <v>75</v>
      </c>
      <c r="B60" s="2" t="s">
        <v>35</v>
      </c>
      <c r="C60" s="2">
        <v>0</v>
      </c>
      <c r="D60" s="2">
        <v>0</v>
      </c>
      <c r="E60" s="2">
        <v>0</v>
      </c>
      <c r="F60" s="2">
        <v>4</v>
      </c>
      <c r="G60" s="2">
        <v>1</v>
      </c>
      <c r="H60" s="2">
        <v>1</v>
      </c>
      <c r="I60" s="2">
        <v>3</v>
      </c>
      <c r="J60" s="2">
        <v>1</v>
      </c>
      <c r="K60" s="2">
        <v>1</v>
      </c>
      <c r="L60" s="2">
        <v>0</v>
      </c>
    </row>
    <row r="61" spans="1:12" x14ac:dyDescent="0.25">
      <c r="A61" s="1" t="s">
        <v>76</v>
      </c>
      <c r="B61" s="2" t="s">
        <v>13</v>
      </c>
      <c r="C61" s="2">
        <v>0</v>
      </c>
      <c r="D61" s="2">
        <v>2</v>
      </c>
      <c r="E61" s="2">
        <v>1</v>
      </c>
      <c r="F61" s="2">
        <v>0</v>
      </c>
      <c r="G61" s="2">
        <v>1</v>
      </c>
      <c r="H61" s="2">
        <v>3</v>
      </c>
      <c r="I61" s="2">
        <v>3</v>
      </c>
      <c r="J61" s="2">
        <v>1</v>
      </c>
      <c r="K61" s="2">
        <v>2</v>
      </c>
      <c r="L61" s="2">
        <v>0</v>
      </c>
    </row>
    <row r="62" spans="1:12" x14ac:dyDescent="0.25">
      <c r="A62" s="1" t="s">
        <v>77</v>
      </c>
      <c r="B62" s="2" t="s">
        <v>13</v>
      </c>
      <c r="C62" s="2">
        <v>0</v>
      </c>
      <c r="D62" s="2">
        <v>3</v>
      </c>
      <c r="E62" s="2">
        <v>1</v>
      </c>
      <c r="F62" s="2">
        <v>0</v>
      </c>
      <c r="G62" s="2">
        <v>1</v>
      </c>
      <c r="H62" s="2">
        <v>6</v>
      </c>
      <c r="I62" s="2">
        <v>13</v>
      </c>
      <c r="J62" s="2">
        <v>1</v>
      </c>
      <c r="K62" s="2">
        <v>3</v>
      </c>
      <c r="L62" s="2">
        <v>0</v>
      </c>
    </row>
    <row r="63" spans="1:12" x14ac:dyDescent="0.25">
      <c r="A63" s="1" t="s">
        <v>78</v>
      </c>
      <c r="B63" s="2" t="s">
        <v>13</v>
      </c>
      <c r="C63" s="2">
        <v>384</v>
      </c>
      <c r="D63" s="2">
        <v>76</v>
      </c>
      <c r="E63" s="2">
        <v>0</v>
      </c>
      <c r="F63" s="2">
        <v>0</v>
      </c>
      <c r="G63" s="2">
        <v>0.2</v>
      </c>
      <c r="H63" s="2">
        <v>86</v>
      </c>
      <c r="I63" s="2">
        <v>294</v>
      </c>
      <c r="J63" s="2">
        <v>7</v>
      </c>
      <c r="K63" s="2">
        <v>89</v>
      </c>
      <c r="L63" s="2">
        <v>0</v>
      </c>
    </row>
    <row r="64" spans="1:12" x14ac:dyDescent="0.25">
      <c r="A64" s="1" t="s">
        <v>79</v>
      </c>
      <c r="B64" s="2" t="s">
        <v>35</v>
      </c>
      <c r="C64" s="2">
        <v>0</v>
      </c>
      <c r="D64" s="2">
        <v>2</v>
      </c>
      <c r="E64" s="2">
        <v>1</v>
      </c>
      <c r="F64" s="2">
        <v>0</v>
      </c>
      <c r="G64" s="2">
        <v>1</v>
      </c>
      <c r="H64" s="2">
        <v>2</v>
      </c>
      <c r="I64" s="2">
        <v>3</v>
      </c>
      <c r="J64" s="2">
        <v>1</v>
      </c>
      <c r="K64" s="2">
        <v>2</v>
      </c>
      <c r="L64" s="2">
        <v>0</v>
      </c>
    </row>
    <row r="65" spans="1:12" x14ac:dyDescent="0.25">
      <c r="A65" s="1" t="s">
        <v>80</v>
      </c>
      <c r="B65" s="2" t="s">
        <v>35</v>
      </c>
      <c r="C65" s="2">
        <v>0</v>
      </c>
      <c r="D65" s="2">
        <v>2</v>
      </c>
      <c r="E65" s="2">
        <v>1</v>
      </c>
      <c r="F65" s="2">
        <v>0</v>
      </c>
      <c r="G65" s="2">
        <v>1</v>
      </c>
      <c r="H65" s="2">
        <v>2</v>
      </c>
      <c r="I65" s="2">
        <v>3</v>
      </c>
      <c r="J65" s="2">
        <v>1</v>
      </c>
      <c r="K65" s="2">
        <v>2</v>
      </c>
      <c r="L65" s="2">
        <v>0</v>
      </c>
    </row>
    <row r="66" spans="1:12" x14ac:dyDescent="0.25">
      <c r="A66" s="1" t="s">
        <v>81</v>
      </c>
      <c r="B66" s="2" t="s">
        <v>35</v>
      </c>
      <c r="C66" s="2">
        <v>0</v>
      </c>
      <c r="D66" s="2">
        <v>2</v>
      </c>
      <c r="E66" s="2">
        <v>1</v>
      </c>
      <c r="F66" s="2">
        <v>0</v>
      </c>
      <c r="G66" s="2">
        <v>1</v>
      </c>
      <c r="H66" s="2">
        <v>2</v>
      </c>
      <c r="I66" s="2">
        <v>3</v>
      </c>
      <c r="J66" s="2">
        <v>1</v>
      </c>
      <c r="K66" s="2">
        <v>2</v>
      </c>
      <c r="L66" s="2">
        <v>0</v>
      </c>
    </row>
    <row r="67" spans="1:12" x14ac:dyDescent="0.25">
      <c r="A67" s="1" t="s">
        <v>82</v>
      </c>
      <c r="B67" s="2" t="s">
        <v>35</v>
      </c>
      <c r="C67" s="2">
        <v>0</v>
      </c>
      <c r="D67" s="2">
        <v>2</v>
      </c>
      <c r="E67" s="2">
        <v>1</v>
      </c>
      <c r="F67" s="2">
        <v>0</v>
      </c>
      <c r="G67" s="2">
        <v>1</v>
      </c>
      <c r="H67" s="2">
        <v>2</v>
      </c>
      <c r="I67" s="2">
        <v>3</v>
      </c>
      <c r="J67" s="2">
        <v>1</v>
      </c>
      <c r="K67" s="2">
        <v>2</v>
      </c>
      <c r="L67" s="2">
        <v>0</v>
      </c>
    </row>
    <row r="68" spans="1:12" x14ac:dyDescent="0.25">
      <c r="A68" s="1" t="s">
        <v>83</v>
      </c>
      <c r="B68" s="2" t="s">
        <v>35</v>
      </c>
      <c r="C68" s="2">
        <v>0</v>
      </c>
      <c r="D68" s="2">
        <v>2</v>
      </c>
      <c r="E68" s="2">
        <v>1</v>
      </c>
      <c r="F68" s="2">
        <v>0</v>
      </c>
      <c r="G68" s="2">
        <v>1</v>
      </c>
      <c r="H68" s="2">
        <v>2</v>
      </c>
      <c r="I68" s="2">
        <v>3</v>
      </c>
      <c r="J68" s="2">
        <v>1</v>
      </c>
      <c r="K68" s="2">
        <v>2</v>
      </c>
      <c r="L68" s="2">
        <v>0</v>
      </c>
    </row>
    <row r="69" spans="1:12" x14ac:dyDescent="0.25">
      <c r="A69" s="1" t="s">
        <v>84</v>
      </c>
      <c r="B69" s="2" t="s">
        <v>35</v>
      </c>
      <c r="C69" s="2">
        <v>0</v>
      </c>
      <c r="D69" s="2">
        <v>2</v>
      </c>
      <c r="E69" s="2">
        <v>1</v>
      </c>
      <c r="F69" s="2">
        <v>0</v>
      </c>
      <c r="G69" s="2">
        <v>1</v>
      </c>
      <c r="H69" s="2">
        <v>2</v>
      </c>
      <c r="I69" s="2">
        <v>3</v>
      </c>
      <c r="J69" s="2">
        <v>1</v>
      </c>
      <c r="K69" s="2">
        <v>2</v>
      </c>
      <c r="L69" s="2">
        <v>0</v>
      </c>
    </row>
    <row r="70" spans="1:12" x14ac:dyDescent="0.25">
      <c r="A70" s="1" t="s">
        <v>85</v>
      </c>
      <c r="B70" s="2" t="s">
        <v>35</v>
      </c>
      <c r="C70" s="2">
        <v>0</v>
      </c>
      <c r="D70" s="2">
        <v>2</v>
      </c>
      <c r="E70" s="2">
        <v>1</v>
      </c>
      <c r="F70" s="2">
        <v>0</v>
      </c>
      <c r="G70" s="2">
        <v>1</v>
      </c>
      <c r="H70" s="2">
        <v>2</v>
      </c>
      <c r="I70" s="2">
        <v>3</v>
      </c>
      <c r="J70" s="2">
        <v>1</v>
      </c>
      <c r="K70" s="2">
        <v>2</v>
      </c>
      <c r="L70" s="2">
        <v>0</v>
      </c>
    </row>
    <row r="71" spans="1:12" x14ac:dyDescent="0.25">
      <c r="A71" s="1" t="s">
        <v>86</v>
      </c>
      <c r="B71" s="2" t="s">
        <v>35</v>
      </c>
      <c r="C71" s="2">
        <v>0</v>
      </c>
      <c r="D71" s="2">
        <v>2</v>
      </c>
      <c r="E71" s="2">
        <v>1</v>
      </c>
      <c r="F71" s="2">
        <v>0</v>
      </c>
      <c r="G71" s="2">
        <v>1</v>
      </c>
      <c r="H71" s="2">
        <v>2</v>
      </c>
      <c r="I71" s="2">
        <v>3</v>
      </c>
      <c r="J71" s="2">
        <v>1</v>
      </c>
      <c r="K71" s="2">
        <v>2</v>
      </c>
      <c r="L71" s="2">
        <v>0</v>
      </c>
    </row>
    <row r="72" spans="1:12" x14ac:dyDescent="0.25">
      <c r="A72" s="1" t="s">
        <v>87</v>
      </c>
      <c r="B72" s="2" t="s">
        <v>35</v>
      </c>
      <c r="C72" s="2">
        <v>0</v>
      </c>
      <c r="D72" s="2">
        <v>2</v>
      </c>
      <c r="E72" s="2">
        <v>1</v>
      </c>
      <c r="F72" s="2">
        <v>0</v>
      </c>
      <c r="G72" s="2">
        <v>1</v>
      </c>
      <c r="H72" s="2">
        <v>2</v>
      </c>
      <c r="I72" s="2">
        <v>3</v>
      </c>
      <c r="J72" s="2">
        <v>1</v>
      </c>
      <c r="K72" s="2">
        <v>2</v>
      </c>
      <c r="L72" s="2">
        <v>0</v>
      </c>
    </row>
    <row r="73" spans="1:12" x14ac:dyDescent="0.25">
      <c r="A73" s="1" t="s">
        <v>88</v>
      </c>
      <c r="B73" s="2" t="s">
        <v>35</v>
      </c>
      <c r="C73" s="2">
        <v>0</v>
      </c>
      <c r="D73" s="2">
        <v>2</v>
      </c>
      <c r="E73" s="2">
        <v>1</v>
      </c>
      <c r="F73" s="2">
        <v>0</v>
      </c>
      <c r="G73" s="2">
        <v>1</v>
      </c>
      <c r="H73" s="2">
        <v>2</v>
      </c>
      <c r="I73" s="2">
        <v>3</v>
      </c>
      <c r="J73" s="2">
        <v>1</v>
      </c>
      <c r="K73" s="2">
        <v>2</v>
      </c>
      <c r="L73" s="2">
        <v>0</v>
      </c>
    </row>
    <row r="74" spans="1:12" x14ac:dyDescent="0.25">
      <c r="A74" s="1" t="s">
        <v>89</v>
      </c>
      <c r="B74" s="2" t="s">
        <v>35</v>
      </c>
      <c r="C74" s="2">
        <v>0</v>
      </c>
      <c r="D74" s="2">
        <v>2</v>
      </c>
      <c r="E74" s="2">
        <v>1</v>
      </c>
      <c r="F74" s="2">
        <v>0</v>
      </c>
      <c r="G74" s="2">
        <v>1</v>
      </c>
      <c r="H74" s="2">
        <v>2</v>
      </c>
      <c r="I74" s="2">
        <v>3</v>
      </c>
      <c r="J74" s="2">
        <v>1</v>
      </c>
      <c r="K74" s="2">
        <v>2</v>
      </c>
      <c r="L74" s="2">
        <v>0</v>
      </c>
    </row>
    <row r="75" spans="1:12" x14ac:dyDescent="0.25">
      <c r="A75" s="1" t="s">
        <v>90</v>
      </c>
      <c r="B75" s="2" t="s">
        <v>13</v>
      </c>
      <c r="C75" s="2">
        <v>0</v>
      </c>
      <c r="D75" s="2">
        <v>2</v>
      </c>
      <c r="E75" s="2">
        <v>1</v>
      </c>
      <c r="F75" s="2">
        <v>0</v>
      </c>
      <c r="G75" s="2">
        <v>1</v>
      </c>
      <c r="H75" s="2">
        <v>3</v>
      </c>
      <c r="I75" s="2">
        <v>3</v>
      </c>
      <c r="J75" s="2">
        <v>1</v>
      </c>
      <c r="K75" s="2">
        <v>2</v>
      </c>
      <c r="L75" s="2">
        <v>0</v>
      </c>
    </row>
    <row r="76" spans="1:12" x14ac:dyDescent="0.25">
      <c r="A76" s="1" t="s">
        <v>91</v>
      </c>
      <c r="B76" s="2" t="s">
        <v>13</v>
      </c>
      <c r="C76" s="2">
        <v>0</v>
      </c>
      <c r="D76" s="2">
        <v>3</v>
      </c>
      <c r="E76" s="2">
        <v>1</v>
      </c>
      <c r="F76" s="2">
        <v>0</v>
      </c>
      <c r="G76" s="2">
        <v>1</v>
      </c>
      <c r="H76" s="2">
        <v>7</v>
      </c>
      <c r="I76" s="2">
        <v>13</v>
      </c>
      <c r="J76" s="2">
        <v>1</v>
      </c>
      <c r="K76" s="2">
        <v>3</v>
      </c>
      <c r="L76" s="2">
        <v>0</v>
      </c>
    </row>
    <row r="77" spans="1:12" x14ac:dyDescent="0.25">
      <c r="A77" s="1" t="s">
        <v>92</v>
      </c>
      <c r="B77" s="2" t="s">
        <v>13</v>
      </c>
      <c r="C77" s="2">
        <v>0</v>
      </c>
      <c r="D77" s="2">
        <v>3</v>
      </c>
      <c r="E77" s="2">
        <v>0</v>
      </c>
      <c r="F77" s="2">
        <v>0</v>
      </c>
      <c r="G77" s="2">
        <v>1</v>
      </c>
      <c r="H77" s="2">
        <v>9</v>
      </c>
      <c r="I77" s="2">
        <v>18</v>
      </c>
      <c r="J77" s="2">
        <v>1</v>
      </c>
      <c r="K77" s="2">
        <v>3</v>
      </c>
      <c r="L77" s="2">
        <v>0</v>
      </c>
    </row>
    <row r="78" spans="1:12" x14ac:dyDescent="0.25">
      <c r="A78" s="1" t="s">
        <v>93</v>
      </c>
      <c r="B78" s="2" t="s">
        <v>35</v>
      </c>
      <c r="C78" s="2">
        <v>0</v>
      </c>
      <c r="D78" s="2">
        <v>2</v>
      </c>
      <c r="E78" s="2">
        <v>1</v>
      </c>
      <c r="F78" s="2">
        <v>0</v>
      </c>
      <c r="G78" s="2">
        <v>1</v>
      </c>
      <c r="H78" s="2">
        <v>2</v>
      </c>
      <c r="I78" s="2">
        <v>3</v>
      </c>
      <c r="J78" s="2">
        <v>1</v>
      </c>
      <c r="K78" s="2">
        <v>2</v>
      </c>
      <c r="L78" s="2">
        <v>0</v>
      </c>
    </row>
    <row r="79" spans="1:12" x14ac:dyDescent="0.25">
      <c r="A79" s="1" t="s">
        <v>94</v>
      </c>
      <c r="B79" s="2" t="s">
        <v>35</v>
      </c>
      <c r="C79" s="2">
        <v>0</v>
      </c>
      <c r="D79" s="2">
        <v>2</v>
      </c>
      <c r="E79" s="2">
        <v>1</v>
      </c>
      <c r="F79" s="2">
        <v>0</v>
      </c>
      <c r="G79" s="2">
        <v>1</v>
      </c>
      <c r="H79" s="2">
        <v>2</v>
      </c>
      <c r="I79" s="2">
        <v>3</v>
      </c>
      <c r="J79" s="2">
        <v>1</v>
      </c>
      <c r="K79" s="2">
        <v>2</v>
      </c>
      <c r="L79" s="2">
        <v>0</v>
      </c>
    </row>
    <row r="80" spans="1:12" x14ac:dyDescent="0.25">
      <c r="A80" s="1" t="s">
        <v>95</v>
      </c>
      <c r="B80" s="2" t="s">
        <v>35</v>
      </c>
      <c r="C80" s="2">
        <v>0</v>
      </c>
      <c r="D80" s="2">
        <v>2</v>
      </c>
      <c r="E80" s="2">
        <v>1</v>
      </c>
      <c r="F80" s="2">
        <v>0</v>
      </c>
      <c r="G80" s="2">
        <v>1</v>
      </c>
      <c r="H80" s="2">
        <v>2</v>
      </c>
      <c r="I80" s="2">
        <v>3</v>
      </c>
      <c r="J80" s="2">
        <v>1</v>
      </c>
      <c r="K80" s="2">
        <v>2</v>
      </c>
      <c r="L80" s="2">
        <v>0</v>
      </c>
    </row>
    <row r="81" spans="1:12" x14ac:dyDescent="0.25">
      <c r="A81" s="1" t="s">
        <v>96</v>
      </c>
      <c r="B81" s="2" t="s">
        <v>35</v>
      </c>
      <c r="C81" s="2">
        <v>0</v>
      </c>
      <c r="D81" s="2">
        <v>2</v>
      </c>
      <c r="E81" s="2">
        <v>1</v>
      </c>
      <c r="F81" s="2">
        <v>0</v>
      </c>
      <c r="G81" s="2">
        <v>1</v>
      </c>
      <c r="H81" s="2">
        <v>2</v>
      </c>
      <c r="I81" s="2">
        <v>3</v>
      </c>
      <c r="J81" s="2">
        <v>1</v>
      </c>
      <c r="K81" s="2">
        <v>2</v>
      </c>
      <c r="L81" s="2">
        <v>0</v>
      </c>
    </row>
    <row r="82" spans="1:12" x14ac:dyDescent="0.25">
      <c r="A82" s="1" t="s">
        <v>97</v>
      </c>
      <c r="B82" s="2" t="s">
        <v>35</v>
      </c>
      <c r="C82" s="2">
        <v>0</v>
      </c>
      <c r="D82" s="2">
        <v>2</v>
      </c>
      <c r="E82" s="2">
        <v>1</v>
      </c>
      <c r="F82" s="2">
        <v>0</v>
      </c>
      <c r="G82" s="2">
        <v>1</v>
      </c>
      <c r="H82" s="2">
        <v>2</v>
      </c>
      <c r="I82" s="2">
        <v>3</v>
      </c>
      <c r="J82" s="2">
        <v>1</v>
      </c>
      <c r="K82" s="2">
        <v>2</v>
      </c>
      <c r="L82" s="2">
        <v>0</v>
      </c>
    </row>
    <row r="83" spans="1:12" x14ac:dyDescent="0.25">
      <c r="A83" s="1" t="s">
        <v>98</v>
      </c>
      <c r="B83" s="2" t="s">
        <v>35</v>
      </c>
      <c r="C83" s="2">
        <v>1</v>
      </c>
      <c r="D83" s="2">
        <v>2</v>
      </c>
      <c r="E83" s="2">
        <v>1</v>
      </c>
      <c r="F83" s="2">
        <v>0</v>
      </c>
      <c r="G83" s="2">
        <v>1</v>
      </c>
      <c r="H83" s="2">
        <v>2</v>
      </c>
      <c r="I83" s="2">
        <v>3</v>
      </c>
      <c r="J83" s="2">
        <v>1</v>
      </c>
      <c r="K83" s="2">
        <v>2</v>
      </c>
      <c r="L83" s="2">
        <v>0</v>
      </c>
    </row>
    <row r="84" spans="1:12" x14ac:dyDescent="0.25">
      <c r="A84" s="1" t="s">
        <v>99</v>
      </c>
      <c r="B84" s="2" t="s">
        <v>35</v>
      </c>
      <c r="C84" s="2">
        <v>0</v>
      </c>
      <c r="D84" s="2">
        <v>2</v>
      </c>
      <c r="E84" s="2">
        <v>1</v>
      </c>
      <c r="F84" s="2">
        <v>0</v>
      </c>
      <c r="G84" s="2">
        <v>1</v>
      </c>
      <c r="H84" s="2">
        <v>2</v>
      </c>
      <c r="I84" s="2">
        <v>3</v>
      </c>
      <c r="J84" s="2">
        <v>1</v>
      </c>
      <c r="K84" s="2">
        <v>2</v>
      </c>
      <c r="L84" s="2">
        <v>0</v>
      </c>
    </row>
    <row r="85" spans="1:12" x14ac:dyDescent="0.25">
      <c r="A85" s="1" t="s">
        <v>100</v>
      </c>
      <c r="B85" s="2" t="s">
        <v>35</v>
      </c>
      <c r="C85" s="2">
        <v>0</v>
      </c>
      <c r="D85" s="2">
        <v>2</v>
      </c>
      <c r="E85" s="2">
        <v>1</v>
      </c>
      <c r="F85" s="2">
        <v>0</v>
      </c>
      <c r="G85" s="2">
        <v>1</v>
      </c>
      <c r="H85" s="2">
        <v>2</v>
      </c>
      <c r="I85" s="2">
        <v>3</v>
      </c>
      <c r="J85" s="2">
        <v>1</v>
      </c>
      <c r="K85" s="2">
        <v>2</v>
      </c>
      <c r="L85" s="2">
        <v>0</v>
      </c>
    </row>
    <row r="86" spans="1:12" x14ac:dyDescent="0.25">
      <c r="A86" s="1" t="s">
        <v>101</v>
      </c>
      <c r="B86" s="2" t="s">
        <v>35</v>
      </c>
      <c r="C86" s="2">
        <v>0</v>
      </c>
      <c r="D86" s="2">
        <v>2</v>
      </c>
      <c r="E86" s="2">
        <v>1</v>
      </c>
      <c r="F86" s="2">
        <v>0</v>
      </c>
      <c r="G86" s="2">
        <v>1</v>
      </c>
      <c r="H86" s="2">
        <v>2</v>
      </c>
      <c r="I86" s="2">
        <v>3</v>
      </c>
      <c r="J86" s="2">
        <v>1</v>
      </c>
      <c r="K86" s="2">
        <v>2</v>
      </c>
      <c r="L86" s="2">
        <v>0</v>
      </c>
    </row>
    <row r="87" spans="1:12" x14ac:dyDescent="0.25">
      <c r="A87" s="1" t="s">
        <v>102</v>
      </c>
      <c r="B87" s="2" t="s">
        <v>35</v>
      </c>
      <c r="C87" s="2">
        <v>0</v>
      </c>
      <c r="D87" s="2">
        <v>2</v>
      </c>
      <c r="E87" s="2">
        <v>1</v>
      </c>
      <c r="F87" s="2">
        <v>0</v>
      </c>
      <c r="G87" s="2">
        <v>1</v>
      </c>
      <c r="H87" s="2">
        <v>2</v>
      </c>
      <c r="I87" s="2">
        <v>3</v>
      </c>
      <c r="J87" s="2">
        <v>1</v>
      </c>
      <c r="K87" s="2">
        <v>2</v>
      </c>
      <c r="L87" s="2">
        <v>0</v>
      </c>
    </row>
    <row r="88" spans="1:12" x14ac:dyDescent="0.25">
      <c r="A88" s="1" t="s">
        <v>103</v>
      </c>
      <c r="B88" s="2" t="s">
        <v>35</v>
      </c>
      <c r="C88" s="2">
        <v>0</v>
      </c>
      <c r="D88" s="2">
        <v>2</v>
      </c>
      <c r="E88" s="2">
        <v>1</v>
      </c>
      <c r="F88" s="2">
        <v>0</v>
      </c>
      <c r="G88" s="2">
        <v>1</v>
      </c>
      <c r="H88" s="2">
        <v>2</v>
      </c>
      <c r="I88" s="2">
        <v>3</v>
      </c>
      <c r="J88" s="2">
        <v>2</v>
      </c>
      <c r="K88" s="2">
        <v>2</v>
      </c>
      <c r="L88" s="2">
        <v>0</v>
      </c>
    </row>
    <row r="89" spans="1:12" x14ac:dyDescent="0.25">
      <c r="A89" s="1" t="s">
        <v>104</v>
      </c>
      <c r="B89" s="2" t="s">
        <v>13</v>
      </c>
      <c r="C89" s="2">
        <v>0</v>
      </c>
      <c r="D89" s="2">
        <v>3</v>
      </c>
      <c r="E89" s="2">
        <v>0</v>
      </c>
      <c r="F89" s="2">
        <v>0</v>
      </c>
      <c r="G89" s="2">
        <v>1</v>
      </c>
      <c r="H89" s="2">
        <v>7</v>
      </c>
      <c r="I89" s="2">
        <v>6</v>
      </c>
      <c r="J89" s="2">
        <v>2</v>
      </c>
      <c r="K89" s="2">
        <v>3</v>
      </c>
      <c r="L89" s="2">
        <v>0</v>
      </c>
    </row>
    <row r="90" spans="1:12" x14ac:dyDescent="0.25">
      <c r="A90" s="1" t="s">
        <v>105</v>
      </c>
      <c r="B90" s="2" t="s">
        <v>13</v>
      </c>
      <c r="C90" s="2">
        <v>4</v>
      </c>
      <c r="D90" s="2">
        <v>7</v>
      </c>
      <c r="E90" s="2">
        <v>17</v>
      </c>
      <c r="F90" s="2">
        <v>0</v>
      </c>
      <c r="G90" s="2">
        <v>0.2</v>
      </c>
      <c r="H90" s="2">
        <v>11</v>
      </c>
      <c r="I90" s="2">
        <v>20</v>
      </c>
      <c r="J90" s="2">
        <v>1</v>
      </c>
      <c r="K90" s="2">
        <v>7</v>
      </c>
      <c r="L90" s="2">
        <v>0</v>
      </c>
    </row>
    <row r="91" spans="1:12" x14ac:dyDescent="0.25">
      <c r="A91" s="1" t="s">
        <v>106</v>
      </c>
      <c r="B91" s="2" t="s">
        <v>35</v>
      </c>
      <c r="C91" s="2">
        <v>0</v>
      </c>
      <c r="D91" s="2">
        <v>2</v>
      </c>
      <c r="E91" s="2">
        <v>1</v>
      </c>
      <c r="F91" s="2">
        <v>0</v>
      </c>
      <c r="G91" s="2">
        <v>1</v>
      </c>
      <c r="H91" s="2">
        <v>2</v>
      </c>
      <c r="I91" s="2">
        <v>3</v>
      </c>
      <c r="J91" s="2">
        <v>1</v>
      </c>
      <c r="K91" s="2">
        <v>2</v>
      </c>
      <c r="L91" s="2">
        <v>0</v>
      </c>
    </row>
    <row r="92" spans="1:12" x14ac:dyDescent="0.25">
      <c r="A92" s="1" t="s">
        <v>107</v>
      </c>
      <c r="B92" s="2" t="s">
        <v>35</v>
      </c>
      <c r="C92" s="2">
        <v>0</v>
      </c>
      <c r="D92" s="2">
        <v>2</v>
      </c>
      <c r="E92" s="2">
        <v>1</v>
      </c>
      <c r="F92" s="2">
        <v>0</v>
      </c>
      <c r="G92" s="2">
        <v>1</v>
      </c>
      <c r="H92" s="2">
        <v>2</v>
      </c>
      <c r="I92" s="2">
        <v>3</v>
      </c>
      <c r="J92" s="2">
        <v>1</v>
      </c>
      <c r="K92" s="2">
        <v>2</v>
      </c>
      <c r="L92" s="2">
        <v>0</v>
      </c>
    </row>
    <row r="93" spans="1:12" x14ac:dyDescent="0.25">
      <c r="A93" s="1" t="s">
        <v>108</v>
      </c>
      <c r="B93" s="2" t="s">
        <v>35</v>
      </c>
      <c r="C93" s="2">
        <v>0</v>
      </c>
      <c r="D93" s="2">
        <v>2</v>
      </c>
      <c r="E93" s="2">
        <v>1</v>
      </c>
      <c r="F93" s="2">
        <v>0</v>
      </c>
      <c r="G93" s="2">
        <v>1</v>
      </c>
      <c r="H93" s="2">
        <v>2</v>
      </c>
      <c r="I93" s="2">
        <v>3</v>
      </c>
      <c r="J93" s="2">
        <v>1</v>
      </c>
      <c r="K93" s="2">
        <v>2</v>
      </c>
      <c r="L93" s="2">
        <v>0</v>
      </c>
    </row>
    <row r="94" spans="1:12" x14ac:dyDescent="0.25">
      <c r="A94" s="1" t="s">
        <v>109</v>
      </c>
      <c r="B94" s="2" t="s">
        <v>35</v>
      </c>
      <c r="C94" s="2">
        <v>0</v>
      </c>
      <c r="D94" s="2">
        <v>2</v>
      </c>
      <c r="E94" s="2">
        <v>1</v>
      </c>
      <c r="F94" s="2">
        <v>0</v>
      </c>
      <c r="G94" s="2">
        <v>1</v>
      </c>
      <c r="H94" s="2">
        <v>2</v>
      </c>
      <c r="I94" s="2">
        <v>3</v>
      </c>
      <c r="J94" s="2">
        <v>1</v>
      </c>
      <c r="K94" s="2">
        <v>2</v>
      </c>
      <c r="L94" s="2">
        <v>0</v>
      </c>
    </row>
    <row r="95" spans="1:12" x14ac:dyDescent="0.25">
      <c r="A95" s="1" t="s">
        <v>110</v>
      </c>
      <c r="B95" s="2" t="s">
        <v>35</v>
      </c>
      <c r="C95" s="2">
        <v>0</v>
      </c>
      <c r="D95" s="2">
        <v>2</v>
      </c>
      <c r="E95" s="2">
        <v>1</v>
      </c>
      <c r="F95" s="2">
        <v>0</v>
      </c>
      <c r="G95" s="2">
        <v>1</v>
      </c>
      <c r="H95" s="2">
        <v>2</v>
      </c>
      <c r="I95" s="2">
        <v>3</v>
      </c>
      <c r="J95" s="2">
        <v>1</v>
      </c>
      <c r="K95" s="2">
        <v>2</v>
      </c>
      <c r="L95" s="2">
        <v>0</v>
      </c>
    </row>
    <row r="96" spans="1:12" x14ac:dyDescent="0.25">
      <c r="A96" s="1" t="s">
        <v>111</v>
      </c>
      <c r="B96" s="2" t="s">
        <v>35</v>
      </c>
      <c r="C96" s="2">
        <v>0</v>
      </c>
      <c r="D96" s="2">
        <v>2</v>
      </c>
      <c r="E96" s="2">
        <v>1</v>
      </c>
      <c r="F96" s="2">
        <v>0</v>
      </c>
      <c r="G96" s="2">
        <v>1</v>
      </c>
      <c r="H96" s="2">
        <v>2</v>
      </c>
      <c r="I96" s="2">
        <v>3</v>
      </c>
      <c r="J96" s="2">
        <v>1</v>
      </c>
      <c r="K96" s="2">
        <v>2</v>
      </c>
      <c r="L96" s="2">
        <v>0</v>
      </c>
    </row>
    <row r="97" spans="1:12" x14ac:dyDescent="0.25">
      <c r="A97" s="1" t="s">
        <v>112</v>
      </c>
      <c r="B97" s="2" t="s">
        <v>35</v>
      </c>
      <c r="C97" s="2">
        <v>0</v>
      </c>
      <c r="D97" s="2">
        <v>2</v>
      </c>
      <c r="E97" s="2">
        <v>1</v>
      </c>
      <c r="F97" s="2">
        <v>0</v>
      </c>
      <c r="G97" s="2">
        <v>1</v>
      </c>
      <c r="H97" s="2">
        <v>2</v>
      </c>
      <c r="I97" s="2">
        <v>3</v>
      </c>
      <c r="J97" s="2">
        <v>1</v>
      </c>
      <c r="K97" s="2">
        <v>2</v>
      </c>
      <c r="L97" s="2">
        <v>0</v>
      </c>
    </row>
    <row r="98" spans="1:12" x14ac:dyDescent="0.25">
      <c r="A98" s="1" t="s">
        <v>113</v>
      </c>
      <c r="B98" s="2" t="s">
        <v>35</v>
      </c>
      <c r="C98" s="2">
        <v>1</v>
      </c>
      <c r="D98" s="2">
        <v>2</v>
      </c>
      <c r="E98" s="2">
        <v>1</v>
      </c>
      <c r="F98" s="2">
        <v>0</v>
      </c>
      <c r="G98" s="2">
        <v>1</v>
      </c>
      <c r="H98" s="2">
        <v>2</v>
      </c>
      <c r="I98" s="2">
        <v>4</v>
      </c>
      <c r="J98" s="2">
        <v>1</v>
      </c>
      <c r="K98" s="2">
        <v>2</v>
      </c>
      <c r="L98" s="2">
        <v>0</v>
      </c>
    </row>
    <row r="99" spans="1:12" x14ac:dyDescent="0.25">
      <c r="A99" s="1" t="s">
        <v>114</v>
      </c>
      <c r="B99" s="2" t="s">
        <v>35</v>
      </c>
      <c r="C99" s="2">
        <v>1</v>
      </c>
      <c r="D99" s="2">
        <v>2</v>
      </c>
      <c r="E99" s="2">
        <v>1</v>
      </c>
      <c r="F99" s="2">
        <v>0</v>
      </c>
      <c r="G99" s="2">
        <v>1</v>
      </c>
      <c r="H99" s="2">
        <v>2</v>
      </c>
      <c r="I99" s="2">
        <v>3</v>
      </c>
      <c r="J99" s="2">
        <v>1</v>
      </c>
      <c r="K99" s="2">
        <v>2</v>
      </c>
      <c r="L99" s="2">
        <v>0</v>
      </c>
    </row>
    <row r="100" spans="1:12" x14ac:dyDescent="0.25">
      <c r="A100" s="1" t="s">
        <v>115</v>
      </c>
      <c r="B100" s="2" t="s">
        <v>35</v>
      </c>
      <c r="C100" s="2">
        <v>0</v>
      </c>
      <c r="D100" s="2">
        <v>2</v>
      </c>
      <c r="E100" s="2">
        <v>1</v>
      </c>
      <c r="F100" s="2">
        <v>0</v>
      </c>
      <c r="G100" s="2">
        <v>1</v>
      </c>
      <c r="H100" s="2">
        <v>2</v>
      </c>
      <c r="I100" s="2">
        <v>3</v>
      </c>
      <c r="J100" s="2">
        <v>1</v>
      </c>
      <c r="K100" s="2">
        <v>2</v>
      </c>
      <c r="L100" s="2">
        <v>0</v>
      </c>
    </row>
    <row r="101" spans="1:12" x14ac:dyDescent="0.25">
      <c r="A101" s="1" t="s">
        <v>116</v>
      </c>
      <c r="B101" s="2" t="s">
        <v>35</v>
      </c>
      <c r="C101" s="2">
        <v>0</v>
      </c>
      <c r="D101" s="2">
        <v>2</v>
      </c>
      <c r="E101" s="2">
        <v>1</v>
      </c>
      <c r="F101" s="2">
        <v>0</v>
      </c>
      <c r="G101" s="2">
        <v>1</v>
      </c>
      <c r="H101" s="2">
        <v>2</v>
      </c>
      <c r="I101" s="2">
        <v>3</v>
      </c>
      <c r="J101" s="2">
        <v>1</v>
      </c>
      <c r="K101" s="2">
        <v>2</v>
      </c>
      <c r="L101" s="2">
        <v>0</v>
      </c>
    </row>
    <row r="102" spans="1:12" x14ac:dyDescent="0.25">
      <c r="A102" s="1" t="s">
        <v>117</v>
      </c>
      <c r="B102" s="2" t="s">
        <v>35</v>
      </c>
      <c r="C102" s="2">
        <v>0</v>
      </c>
      <c r="D102" s="2">
        <v>2</v>
      </c>
      <c r="E102" s="2">
        <v>1</v>
      </c>
      <c r="F102" s="2">
        <v>0</v>
      </c>
      <c r="G102" s="2">
        <v>1</v>
      </c>
      <c r="H102" s="2">
        <v>2</v>
      </c>
      <c r="I102" s="2">
        <v>3</v>
      </c>
      <c r="J102" s="2">
        <v>1</v>
      </c>
      <c r="K102" s="2">
        <v>2</v>
      </c>
      <c r="L102" s="2">
        <v>0</v>
      </c>
    </row>
    <row r="103" spans="1:12" x14ac:dyDescent="0.25">
      <c r="A103" s="1" t="s">
        <v>118</v>
      </c>
      <c r="B103" s="2" t="s">
        <v>35</v>
      </c>
      <c r="C103" s="2">
        <v>0</v>
      </c>
      <c r="D103" s="2">
        <v>2</v>
      </c>
      <c r="E103" s="2">
        <v>1</v>
      </c>
      <c r="F103" s="2">
        <v>0</v>
      </c>
      <c r="G103" s="2">
        <v>1</v>
      </c>
      <c r="H103" s="2">
        <v>2</v>
      </c>
      <c r="I103" s="2">
        <v>3</v>
      </c>
      <c r="J103" s="2">
        <v>1</v>
      </c>
      <c r="K103" s="2">
        <v>2</v>
      </c>
      <c r="L103" s="2">
        <v>0</v>
      </c>
    </row>
    <row r="104" spans="1:12" x14ac:dyDescent="0.25">
      <c r="A104" s="1" t="s">
        <v>119</v>
      </c>
      <c r="B104" s="2" t="s">
        <v>35</v>
      </c>
      <c r="C104" s="2">
        <v>0</v>
      </c>
      <c r="D104" s="2">
        <v>2</v>
      </c>
      <c r="E104" s="2">
        <v>1</v>
      </c>
      <c r="F104" s="2">
        <v>0</v>
      </c>
      <c r="G104" s="2">
        <v>1</v>
      </c>
      <c r="H104" s="2">
        <v>2</v>
      </c>
      <c r="I104" s="2">
        <v>3</v>
      </c>
      <c r="J104" s="2">
        <v>1</v>
      </c>
      <c r="K104" s="2">
        <v>2</v>
      </c>
      <c r="L104" s="2">
        <v>0</v>
      </c>
    </row>
    <row r="105" spans="1:12" x14ac:dyDescent="0.25">
      <c r="A105" s="1" t="s">
        <v>120</v>
      </c>
      <c r="B105" s="2" t="s">
        <v>35</v>
      </c>
      <c r="C105" s="2">
        <v>0</v>
      </c>
      <c r="D105" s="2">
        <v>2</v>
      </c>
      <c r="E105" s="2">
        <v>1</v>
      </c>
      <c r="F105" s="2">
        <v>0</v>
      </c>
      <c r="G105" s="2">
        <v>1</v>
      </c>
      <c r="H105" s="2">
        <v>2</v>
      </c>
      <c r="I105" s="2">
        <v>3</v>
      </c>
      <c r="J105" s="2">
        <v>1</v>
      </c>
      <c r="K105" s="2">
        <v>2</v>
      </c>
      <c r="L105" s="2">
        <v>0</v>
      </c>
    </row>
    <row r="106" spans="1:12" x14ac:dyDescent="0.25">
      <c r="A106" s="1" t="s">
        <v>121</v>
      </c>
      <c r="B106" s="2" t="s">
        <v>35</v>
      </c>
      <c r="C106" s="2">
        <v>0</v>
      </c>
      <c r="D106" s="2">
        <v>2</v>
      </c>
      <c r="E106" s="2">
        <v>1</v>
      </c>
      <c r="F106" s="2">
        <v>0</v>
      </c>
      <c r="G106" s="2">
        <v>1</v>
      </c>
      <c r="H106" s="2">
        <v>2</v>
      </c>
      <c r="I106" s="2">
        <v>3</v>
      </c>
      <c r="J106" s="2">
        <v>1</v>
      </c>
      <c r="K106" s="2">
        <v>2</v>
      </c>
      <c r="L106" s="2">
        <v>0</v>
      </c>
    </row>
    <row r="107" spans="1:12" x14ac:dyDescent="0.25">
      <c r="A107" s="1" t="s">
        <v>122</v>
      </c>
      <c r="B107" s="2" t="s">
        <v>35</v>
      </c>
      <c r="C107" s="2">
        <v>0</v>
      </c>
      <c r="D107" s="2">
        <v>2</v>
      </c>
      <c r="E107" s="2">
        <v>1</v>
      </c>
      <c r="F107" s="2">
        <v>0</v>
      </c>
      <c r="G107" s="2">
        <v>1</v>
      </c>
      <c r="H107" s="2">
        <v>2</v>
      </c>
      <c r="I107" s="2">
        <v>3</v>
      </c>
      <c r="J107" s="2">
        <v>1</v>
      </c>
      <c r="K107" s="2">
        <v>2</v>
      </c>
      <c r="L107" s="2">
        <v>0</v>
      </c>
    </row>
    <row r="108" spans="1:12" x14ac:dyDescent="0.25">
      <c r="A108" s="1" t="s">
        <v>123</v>
      </c>
      <c r="B108" s="2" t="s">
        <v>35</v>
      </c>
      <c r="C108" s="2">
        <v>0</v>
      </c>
      <c r="D108" s="2">
        <v>2</v>
      </c>
      <c r="E108" s="2">
        <v>1</v>
      </c>
      <c r="F108" s="2">
        <v>0</v>
      </c>
      <c r="G108" s="2">
        <v>1</v>
      </c>
      <c r="H108" s="2">
        <v>2</v>
      </c>
      <c r="I108" s="2">
        <v>3</v>
      </c>
      <c r="J108" s="2">
        <v>1</v>
      </c>
      <c r="K108" s="2">
        <v>2</v>
      </c>
      <c r="L108" s="2">
        <v>0</v>
      </c>
    </row>
    <row r="109" spans="1:12" x14ac:dyDescent="0.25">
      <c r="A109" s="1" t="s">
        <v>124</v>
      </c>
      <c r="B109" s="2" t="s">
        <v>35</v>
      </c>
      <c r="C109" s="2">
        <v>0</v>
      </c>
      <c r="D109" s="2">
        <v>2</v>
      </c>
      <c r="E109" s="2">
        <v>1</v>
      </c>
      <c r="F109" s="2">
        <v>0</v>
      </c>
      <c r="G109" s="2">
        <v>1</v>
      </c>
      <c r="H109" s="2">
        <v>2</v>
      </c>
      <c r="I109" s="2">
        <v>3</v>
      </c>
      <c r="J109" s="2">
        <v>1</v>
      </c>
      <c r="K109" s="2">
        <v>2</v>
      </c>
      <c r="L109" s="2">
        <v>0</v>
      </c>
    </row>
    <row r="110" spans="1:12" x14ac:dyDescent="0.25">
      <c r="A110" s="1" t="s">
        <v>125</v>
      </c>
      <c r="B110" s="2" t="s">
        <v>35</v>
      </c>
      <c r="C110" s="2">
        <v>0</v>
      </c>
      <c r="D110" s="2">
        <v>2</v>
      </c>
      <c r="E110" s="2">
        <v>1</v>
      </c>
      <c r="F110" s="2">
        <v>0</v>
      </c>
      <c r="G110" s="2">
        <v>1</v>
      </c>
      <c r="H110" s="2">
        <v>2</v>
      </c>
      <c r="I110" s="2">
        <v>3</v>
      </c>
      <c r="J110" s="2">
        <v>1</v>
      </c>
      <c r="K110" s="2">
        <v>2</v>
      </c>
      <c r="L110" s="2">
        <v>0</v>
      </c>
    </row>
    <row r="111" spans="1:12" x14ac:dyDescent="0.25">
      <c r="A111" s="1" t="s">
        <v>126</v>
      </c>
      <c r="B111" s="2" t="s">
        <v>35</v>
      </c>
      <c r="C111" s="2">
        <v>0</v>
      </c>
      <c r="D111" s="2">
        <v>2</v>
      </c>
      <c r="E111" s="2">
        <v>1</v>
      </c>
      <c r="F111" s="2">
        <v>0</v>
      </c>
      <c r="G111" s="2">
        <v>1</v>
      </c>
      <c r="H111" s="2">
        <v>2</v>
      </c>
      <c r="I111" s="2">
        <v>3</v>
      </c>
      <c r="J111" s="2">
        <v>2</v>
      </c>
      <c r="K111" s="2">
        <v>2</v>
      </c>
      <c r="L111" s="2">
        <v>0</v>
      </c>
    </row>
    <row r="112" spans="1:12" x14ac:dyDescent="0.25">
      <c r="A112" s="1" t="s">
        <v>127</v>
      </c>
      <c r="B112" s="2" t="s">
        <v>35</v>
      </c>
      <c r="C112" s="2">
        <v>0</v>
      </c>
      <c r="D112" s="2">
        <v>2</v>
      </c>
      <c r="E112" s="2">
        <v>1</v>
      </c>
      <c r="F112" s="2">
        <v>0</v>
      </c>
      <c r="G112" s="2">
        <v>1</v>
      </c>
      <c r="H112" s="2">
        <v>2</v>
      </c>
      <c r="I112" s="2">
        <v>3</v>
      </c>
      <c r="J112" s="2">
        <v>1</v>
      </c>
      <c r="K112" s="2">
        <v>2</v>
      </c>
      <c r="L112" s="2">
        <v>0</v>
      </c>
    </row>
    <row r="113" spans="1:12" x14ac:dyDescent="0.25">
      <c r="A113" s="1" t="s">
        <v>128</v>
      </c>
      <c r="B113" s="2" t="s">
        <v>35</v>
      </c>
      <c r="C113" s="2">
        <v>0</v>
      </c>
      <c r="D113" s="2">
        <v>2</v>
      </c>
      <c r="E113" s="2">
        <v>1</v>
      </c>
      <c r="F113" s="2">
        <v>0</v>
      </c>
      <c r="G113" s="2">
        <v>1</v>
      </c>
      <c r="H113" s="2">
        <v>2</v>
      </c>
      <c r="I113" s="2">
        <v>3</v>
      </c>
      <c r="J113" s="2">
        <v>1</v>
      </c>
      <c r="K113" s="2">
        <v>2</v>
      </c>
      <c r="L113" s="2">
        <v>0</v>
      </c>
    </row>
    <row r="114" spans="1:12" x14ac:dyDescent="0.25">
      <c r="A114" s="1" t="s">
        <v>129</v>
      </c>
      <c r="B114" s="2" t="s">
        <v>35</v>
      </c>
      <c r="C114" s="2">
        <v>0</v>
      </c>
      <c r="D114" s="2">
        <v>2</v>
      </c>
      <c r="E114" s="2">
        <v>1</v>
      </c>
      <c r="F114" s="2">
        <v>0</v>
      </c>
      <c r="G114" s="2">
        <v>1</v>
      </c>
      <c r="H114" s="2">
        <v>2</v>
      </c>
      <c r="I114" s="2">
        <v>3</v>
      </c>
      <c r="J114" s="2">
        <v>2</v>
      </c>
      <c r="K114" s="2">
        <v>2</v>
      </c>
      <c r="L114" s="2">
        <v>0</v>
      </c>
    </row>
    <row r="115" spans="1:12" x14ac:dyDescent="0.25">
      <c r="A115" s="1" t="s">
        <v>130</v>
      </c>
      <c r="B115" s="2" t="s">
        <v>35</v>
      </c>
      <c r="C115" s="2">
        <v>0</v>
      </c>
      <c r="D115" s="2">
        <v>2</v>
      </c>
      <c r="E115" s="2">
        <v>1</v>
      </c>
      <c r="F115" s="2">
        <v>0</v>
      </c>
      <c r="G115" s="2">
        <v>1</v>
      </c>
      <c r="H115" s="2">
        <v>2</v>
      </c>
      <c r="I115" s="2">
        <v>3</v>
      </c>
      <c r="J115" s="2">
        <v>1</v>
      </c>
      <c r="K115" s="2">
        <v>2</v>
      </c>
      <c r="L115" s="2">
        <v>0</v>
      </c>
    </row>
    <row r="116" spans="1:12" x14ac:dyDescent="0.25">
      <c r="A116" s="1" t="s">
        <v>131</v>
      </c>
      <c r="B116" s="2" t="s">
        <v>35</v>
      </c>
      <c r="C116" s="2">
        <v>0</v>
      </c>
      <c r="D116" s="2">
        <v>2</v>
      </c>
      <c r="E116" s="2">
        <v>1</v>
      </c>
      <c r="F116" s="2">
        <v>0</v>
      </c>
      <c r="G116" s="2">
        <v>1</v>
      </c>
      <c r="H116" s="2">
        <v>2</v>
      </c>
      <c r="I116" s="2">
        <v>3</v>
      </c>
      <c r="J116" s="2">
        <v>1</v>
      </c>
      <c r="K116" s="2">
        <v>2</v>
      </c>
      <c r="L116" s="2">
        <v>0</v>
      </c>
    </row>
    <row r="117" spans="1:12" x14ac:dyDescent="0.25">
      <c r="A117" s="1" t="s">
        <v>132</v>
      </c>
      <c r="B117" s="2" t="s">
        <v>35</v>
      </c>
      <c r="C117" s="2">
        <v>0</v>
      </c>
      <c r="D117" s="2">
        <v>2</v>
      </c>
      <c r="E117" s="2">
        <v>1</v>
      </c>
      <c r="F117" s="2">
        <v>0</v>
      </c>
      <c r="G117" s="2">
        <v>1</v>
      </c>
      <c r="H117" s="2">
        <v>2</v>
      </c>
      <c r="I117" s="2">
        <v>3</v>
      </c>
      <c r="J117" s="2">
        <v>1</v>
      </c>
      <c r="K117" s="2">
        <v>2</v>
      </c>
      <c r="L117" s="2">
        <v>0</v>
      </c>
    </row>
    <row r="118" spans="1:12" x14ac:dyDescent="0.25">
      <c r="A118" s="1" t="s">
        <v>133</v>
      </c>
      <c r="B118" s="2" t="s">
        <v>35</v>
      </c>
      <c r="C118" s="2">
        <v>0</v>
      </c>
      <c r="D118" s="2">
        <v>2</v>
      </c>
      <c r="E118" s="2">
        <v>1</v>
      </c>
      <c r="F118" s="2">
        <v>0</v>
      </c>
      <c r="G118" s="2">
        <v>1</v>
      </c>
      <c r="H118" s="2">
        <v>2</v>
      </c>
      <c r="I118" s="2">
        <v>3</v>
      </c>
      <c r="J118" s="2">
        <v>1</v>
      </c>
      <c r="K118" s="2">
        <v>2</v>
      </c>
      <c r="L118" s="2">
        <v>0</v>
      </c>
    </row>
    <row r="119" spans="1:12" x14ac:dyDescent="0.25">
      <c r="A119" s="1" t="s">
        <v>134</v>
      </c>
      <c r="B119" s="2" t="s">
        <v>35</v>
      </c>
      <c r="C119" s="2">
        <v>0</v>
      </c>
      <c r="D119" s="2">
        <v>2</v>
      </c>
      <c r="E119" s="2">
        <v>1</v>
      </c>
      <c r="F119" s="2">
        <v>0</v>
      </c>
      <c r="G119" s="2">
        <v>1</v>
      </c>
      <c r="H119" s="2">
        <v>2</v>
      </c>
      <c r="I119" s="2">
        <v>3</v>
      </c>
      <c r="J119" s="2">
        <v>1</v>
      </c>
      <c r="K119" s="2">
        <v>2</v>
      </c>
      <c r="L119" s="2">
        <v>0</v>
      </c>
    </row>
    <row r="120" spans="1:12" x14ac:dyDescent="0.25">
      <c r="A120" s="1" t="s">
        <v>135</v>
      </c>
      <c r="B120" s="2" t="s">
        <v>35</v>
      </c>
      <c r="C120" s="2">
        <v>0</v>
      </c>
      <c r="D120" s="2">
        <v>2</v>
      </c>
      <c r="E120" s="2">
        <v>1</v>
      </c>
      <c r="F120" s="2">
        <v>0</v>
      </c>
      <c r="G120" s="2">
        <v>1</v>
      </c>
      <c r="H120" s="2">
        <v>2</v>
      </c>
      <c r="I120" s="2">
        <v>3</v>
      </c>
      <c r="J120" s="2">
        <v>1</v>
      </c>
      <c r="K120" s="2">
        <v>2</v>
      </c>
      <c r="L120" s="2">
        <v>0</v>
      </c>
    </row>
    <row r="121" spans="1:12" x14ac:dyDescent="0.25">
      <c r="A121" s="1" t="s">
        <v>136</v>
      </c>
      <c r="B121" s="2" t="s">
        <v>35</v>
      </c>
      <c r="C121" s="2">
        <v>0</v>
      </c>
      <c r="D121" s="2">
        <v>2</v>
      </c>
      <c r="E121" s="2">
        <v>1</v>
      </c>
      <c r="F121" s="2">
        <v>0</v>
      </c>
      <c r="G121" s="2">
        <v>1</v>
      </c>
      <c r="H121" s="2">
        <v>2</v>
      </c>
      <c r="I121" s="2">
        <v>3</v>
      </c>
      <c r="J121" s="2">
        <v>1</v>
      </c>
      <c r="K121" s="2">
        <v>2</v>
      </c>
      <c r="L121" s="2">
        <v>0</v>
      </c>
    </row>
    <row r="122" spans="1:12" x14ac:dyDescent="0.25">
      <c r="A122" s="1" t="s">
        <v>137</v>
      </c>
      <c r="B122" s="2" t="s">
        <v>35</v>
      </c>
      <c r="C122" s="2">
        <v>0</v>
      </c>
      <c r="D122" s="2">
        <v>2</v>
      </c>
      <c r="E122" s="2">
        <v>1</v>
      </c>
      <c r="F122" s="2">
        <v>0</v>
      </c>
      <c r="G122" s="2">
        <v>1</v>
      </c>
      <c r="H122" s="2">
        <v>2</v>
      </c>
      <c r="I122" s="2">
        <v>3</v>
      </c>
      <c r="J122" s="2">
        <v>1</v>
      </c>
      <c r="K122" s="2">
        <v>2</v>
      </c>
      <c r="L122" s="2">
        <v>0</v>
      </c>
    </row>
    <row r="123" spans="1:12" x14ac:dyDescent="0.25">
      <c r="A123" s="1" t="s">
        <v>138</v>
      </c>
      <c r="B123" s="2" t="s">
        <v>35</v>
      </c>
      <c r="C123" s="2">
        <v>0</v>
      </c>
      <c r="D123" s="2">
        <v>2</v>
      </c>
      <c r="E123" s="2">
        <v>1</v>
      </c>
      <c r="F123" s="2">
        <v>0</v>
      </c>
      <c r="G123" s="2">
        <v>1</v>
      </c>
      <c r="H123" s="2">
        <v>2</v>
      </c>
      <c r="I123" s="2">
        <v>3</v>
      </c>
      <c r="J123" s="2">
        <v>1</v>
      </c>
      <c r="K123" s="2">
        <v>2</v>
      </c>
      <c r="L123" s="2">
        <v>0</v>
      </c>
    </row>
    <row r="124" spans="1:12" x14ac:dyDescent="0.25">
      <c r="A124" s="1" t="s">
        <v>139</v>
      </c>
      <c r="B124" s="2" t="s">
        <v>35</v>
      </c>
      <c r="C124" s="2">
        <v>0</v>
      </c>
      <c r="D124" s="2">
        <v>2</v>
      </c>
      <c r="E124" s="2">
        <v>1</v>
      </c>
      <c r="F124" s="2">
        <v>0</v>
      </c>
      <c r="G124" s="2">
        <v>1</v>
      </c>
      <c r="H124" s="2">
        <v>2</v>
      </c>
      <c r="I124" s="2">
        <v>3</v>
      </c>
      <c r="J124" s="2">
        <v>1</v>
      </c>
      <c r="K124" s="2">
        <v>2</v>
      </c>
      <c r="L124" s="2">
        <v>0</v>
      </c>
    </row>
    <row r="125" spans="1:12" x14ac:dyDescent="0.25">
      <c r="A125" s="1" t="s">
        <v>140</v>
      </c>
      <c r="B125" s="2" t="s">
        <v>35</v>
      </c>
      <c r="C125" s="2">
        <v>0</v>
      </c>
      <c r="D125" s="2">
        <v>2</v>
      </c>
      <c r="E125" s="2">
        <v>1</v>
      </c>
      <c r="F125" s="2">
        <v>0</v>
      </c>
      <c r="G125" s="2">
        <v>1</v>
      </c>
      <c r="H125" s="2">
        <v>2</v>
      </c>
      <c r="I125" s="2">
        <v>3</v>
      </c>
      <c r="J125" s="2">
        <v>1</v>
      </c>
      <c r="K125" s="2">
        <v>2</v>
      </c>
      <c r="L125" s="2">
        <v>0</v>
      </c>
    </row>
    <row r="126" spans="1:12" x14ac:dyDescent="0.25">
      <c r="A126" s="1" t="s">
        <v>141</v>
      </c>
      <c r="B126" s="2" t="s">
        <v>35</v>
      </c>
      <c r="C126" s="2">
        <v>0</v>
      </c>
      <c r="D126" s="2">
        <v>2</v>
      </c>
      <c r="E126" s="2">
        <v>1</v>
      </c>
      <c r="F126" s="2">
        <v>0</v>
      </c>
      <c r="G126" s="2">
        <v>1</v>
      </c>
      <c r="H126" s="2">
        <v>2</v>
      </c>
      <c r="I126" s="2">
        <v>3</v>
      </c>
      <c r="J126" s="2">
        <v>1</v>
      </c>
      <c r="K126" s="2">
        <v>2</v>
      </c>
      <c r="L126" s="2">
        <v>0</v>
      </c>
    </row>
    <row r="127" spans="1:12" x14ac:dyDescent="0.25">
      <c r="A127" s="1" t="s">
        <v>142</v>
      </c>
      <c r="B127" s="2" t="s">
        <v>13</v>
      </c>
      <c r="C127" s="2">
        <v>288</v>
      </c>
      <c r="D127" s="2">
        <v>40</v>
      </c>
      <c r="E127" s="2">
        <v>0</v>
      </c>
      <c r="F127" s="2">
        <v>0</v>
      </c>
      <c r="G127" s="2">
        <v>0.33300000000000002</v>
      </c>
      <c r="H127" s="2">
        <v>19</v>
      </c>
      <c r="I127" s="2">
        <v>77</v>
      </c>
      <c r="J127" s="2">
        <v>2</v>
      </c>
      <c r="K127" s="2">
        <v>42</v>
      </c>
      <c r="L127" s="2">
        <v>0</v>
      </c>
    </row>
    <row r="128" spans="1:12" x14ac:dyDescent="0.25">
      <c r="A128" s="1" t="s">
        <v>143</v>
      </c>
      <c r="B128" s="2" t="s">
        <v>35</v>
      </c>
      <c r="C128" s="2">
        <v>0</v>
      </c>
      <c r="D128" s="2">
        <v>1</v>
      </c>
      <c r="E128" s="2">
        <v>0</v>
      </c>
      <c r="F128" s="2">
        <v>0</v>
      </c>
      <c r="G128" s="2">
        <v>1</v>
      </c>
      <c r="H128" s="2">
        <v>1</v>
      </c>
      <c r="I128" s="2">
        <v>2</v>
      </c>
      <c r="J128" s="2">
        <v>1</v>
      </c>
      <c r="K128" s="2">
        <v>1</v>
      </c>
      <c r="L128" s="2">
        <v>0</v>
      </c>
    </row>
    <row r="129" spans="1:12" x14ac:dyDescent="0.25">
      <c r="A129" s="1" t="s">
        <v>144</v>
      </c>
      <c r="B129" s="2" t="s">
        <v>35</v>
      </c>
      <c r="C129" s="2">
        <v>0</v>
      </c>
      <c r="D129" s="2">
        <v>1</v>
      </c>
      <c r="E129" s="2">
        <v>0</v>
      </c>
      <c r="F129" s="2">
        <v>0</v>
      </c>
      <c r="G129" s="2">
        <v>1</v>
      </c>
      <c r="H129" s="2">
        <v>1</v>
      </c>
      <c r="I129" s="2">
        <v>2</v>
      </c>
      <c r="J129" s="2">
        <v>1</v>
      </c>
      <c r="K129" s="2">
        <v>1</v>
      </c>
      <c r="L129" s="2">
        <v>0</v>
      </c>
    </row>
    <row r="130" spans="1:12" x14ac:dyDescent="0.25">
      <c r="A130" s="1" t="s">
        <v>145</v>
      </c>
      <c r="B130" s="2" t="s">
        <v>35</v>
      </c>
      <c r="C130" s="2">
        <v>0</v>
      </c>
      <c r="D130" s="2">
        <v>1</v>
      </c>
      <c r="E130" s="2">
        <v>0</v>
      </c>
      <c r="F130" s="2">
        <v>0</v>
      </c>
      <c r="G130" s="2">
        <v>1</v>
      </c>
      <c r="H130" s="2">
        <v>1</v>
      </c>
      <c r="I130" s="2">
        <v>2</v>
      </c>
      <c r="J130" s="2">
        <v>1</v>
      </c>
      <c r="K130" s="2">
        <v>1</v>
      </c>
      <c r="L130" s="2">
        <v>0</v>
      </c>
    </row>
    <row r="131" spans="1:12" x14ac:dyDescent="0.25">
      <c r="A131" s="1" t="s">
        <v>146</v>
      </c>
      <c r="B131" s="2" t="s">
        <v>15</v>
      </c>
      <c r="C131" s="2">
        <v>91</v>
      </c>
      <c r="D131" s="2">
        <v>67</v>
      </c>
      <c r="E131" s="2">
        <v>0</v>
      </c>
      <c r="F131" s="2">
        <v>0</v>
      </c>
      <c r="G131" s="2">
        <v>0.5</v>
      </c>
      <c r="H131" s="2">
        <v>16</v>
      </c>
      <c r="I131" s="2">
        <v>97</v>
      </c>
      <c r="J131" s="2">
        <v>5</v>
      </c>
      <c r="K131" s="2">
        <v>68</v>
      </c>
      <c r="L131" s="2">
        <v>0</v>
      </c>
    </row>
    <row r="132" spans="1:12" x14ac:dyDescent="0.25">
      <c r="A132" s="1" t="s">
        <v>147</v>
      </c>
      <c r="B132" s="2" t="s">
        <v>15</v>
      </c>
      <c r="C132" s="2">
        <v>0</v>
      </c>
      <c r="D132" s="2">
        <v>3</v>
      </c>
      <c r="E132" s="2">
        <v>3</v>
      </c>
      <c r="F132" s="2">
        <v>0</v>
      </c>
      <c r="G132" s="2">
        <v>1</v>
      </c>
      <c r="H132" s="2">
        <v>5</v>
      </c>
      <c r="I132" s="2">
        <v>7</v>
      </c>
      <c r="J132" s="2">
        <v>1</v>
      </c>
      <c r="K132" s="2">
        <v>3</v>
      </c>
      <c r="L132" s="2">
        <v>0</v>
      </c>
    </row>
    <row r="133" spans="1:12" x14ac:dyDescent="0.25">
      <c r="A133" s="1" t="s">
        <v>148</v>
      </c>
      <c r="B133" s="2" t="s">
        <v>15</v>
      </c>
      <c r="C133" s="2">
        <v>0</v>
      </c>
      <c r="D133" s="2">
        <v>3</v>
      </c>
      <c r="E133" s="2">
        <v>3</v>
      </c>
      <c r="F133" s="2">
        <v>0</v>
      </c>
      <c r="G133" s="2">
        <v>1</v>
      </c>
      <c r="H133" s="2">
        <v>5</v>
      </c>
      <c r="I133" s="2">
        <v>7</v>
      </c>
      <c r="J133" s="2">
        <v>1</v>
      </c>
      <c r="K133" s="2">
        <v>3</v>
      </c>
      <c r="L133" s="2">
        <v>0</v>
      </c>
    </row>
    <row r="134" spans="1:12" x14ac:dyDescent="0.25">
      <c r="A134" s="1" t="s">
        <v>149</v>
      </c>
      <c r="B134" s="2" t="s">
        <v>15</v>
      </c>
      <c r="C134" s="2">
        <v>0</v>
      </c>
      <c r="D134" s="2">
        <v>3</v>
      </c>
      <c r="E134" s="2">
        <v>3</v>
      </c>
      <c r="F134" s="2">
        <v>0</v>
      </c>
      <c r="G134" s="2">
        <v>1</v>
      </c>
      <c r="H134" s="2">
        <v>5</v>
      </c>
      <c r="I134" s="2">
        <v>7</v>
      </c>
      <c r="J134" s="2">
        <v>1</v>
      </c>
      <c r="K134" s="2">
        <v>3</v>
      </c>
      <c r="L134" s="2">
        <v>0</v>
      </c>
    </row>
    <row r="135" spans="1:12" x14ac:dyDescent="0.25">
      <c r="A135" s="1" t="s">
        <v>150</v>
      </c>
      <c r="B135" s="2" t="s">
        <v>15</v>
      </c>
      <c r="C135" s="2">
        <v>0</v>
      </c>
      <c r="D135" s="2">
        <v>3</v>
      </c>
      <c r="E135" s="2">
        <v>3</v>
      </c>
      <c r="F135" s="2">
        <v>0</v>
      </c>
      <c r="G135" s="2">
        <v>1</v>
      </c>
      <c r="H135" s="2">
        <v>5</v>
      </c>
      <c r="I135" s="2">
        <v>7</v>
      </c>
      <c r="J135" s="2">
        <v>1</v>
      </c>
      <c r="K135" s="2">
        <v>3</v>
      </c>
      <c r="L135" s="2">
        <v>0</v>
      </c>
    </row>
    <row r="136" spans="1:12" x14ac:dyDescent="0.25">
      <c r="A136" s="1" t="s">
        <v>151</v>
      </c>
      <c r="B136" s="2" t="s">
        <v>15</v>
      </c>
      <c r="C136" s="2">
        <v>332</v>
      </c>
      <c r="D136" s="2">
        <v>56</v>
      </c>
      <c r="E136" s="2">
        <v>0</v>
      </c>
      <c r="F136" s="2">
        <v>0</v>
      </c>
      <c r="G136" s="2">
        <v>0.33300000000000002</v>
      </c>
      <c r="H136" s="2">
        <v>70</v>
      </c>
      <c r="I136" s="2">
        <v>222</v>
      </c>
      <c r="J136" s="2">
        <v>5</v>
      </c>
      <c r="K136" s="2">
        <v>59</v>
      </c>
      <c r="L136" s="2">
        <v>0</v>
      </c>
    </row>
    <row r="137" spans="1:12" x14ac:dyDescent="0.25">
      <c r="A137" s="1" t="s">
        <v>152</v>
      </c>
      <c r="B137" s="2" t="s">
        <v>15</v>
      </c>
      <c r="C137" s="2">
        <v>0</v>
      </c>
      <c r="D137" s="2">
        <v>2</v>
      </c>
      <c r="E137" s="2">
        <v>1</v>
      </c>
      <c r="F137" s="2">
        <v>0</v>
      </c>
      <c r="G137" s="2">
        <v>1</v>
      </c>
      <c r="H137" s="2">
        <v>2</v>
      </c>
      <c r="I137" s="2">
        <v>3</v>
      </c>
      <c r="J137" s="2">
        <v>1</v>
      </c>
      <c r="K137" s="2">
        <v>2</v>
      </c>
      <c r="L137" s="2">
        <v>0</v>
      </c>
    </row>
    <row r="138" spans="1:12" x14ac:dyDescent="0.25">
      <c r="A138" s="1" t="s">
        <v>153</v>
      </c>
      <c r="B138" s="2" t="s">
        <v>15</v>
      </c>
      <c r="C138" s="2">
        <v>0</v>
      </c>
      <c r="D138" s="2">
        <v>2</v>
      </c>
      <c r="E138" s="2">
        <v>1</v>
      </c>
      <c r="F138" s="2">
        <v>0</v>
      </c>
      <c r="G138" s="2">
        <v>1</v>
      </c>
      <c r="H138" s="2">
        <v>2</v>
      </c>
      <c r="I138" s="2">
        <v>3</v>
      </c>
      <c r="J138" s="2">
        <v>1</v>
      </c>
      <c r="K138" s="2">
        <v>2</v>
      </c>
      <c r="L138" s="2">
        <v>0</v>
      </c>
    </row>
    <row r="139" spans="1:12" x14ac:dyDescent="0.25">
      <c r="A139" s="1" t="s">
        <v>154</v>
      </c>
      <c r="B139" s="2" t="s">
        <v>15</v>
      </c>
      <c r="C139" s="2">
        <v>0</v>
      </c>
      <c r="D139" s="2">
        <v>2</v>
      </c>
      <c r="E139" s="2">
        <v>1</v>
      </c>
      <c r="F139" s="2">
        <v>0</v>
      </c>
      <c r="G139" s="2">
        <v>1</v>
      </c>
      <c r="H139" s="2">
        <v>2</v>
      </c>
      <c r="I139" s="2">
        <v>3</v>
      </c>
      <c r="J139" s="2">
        <v>1</v>
      </c>
      <c r="K139" s="2">
        <v>2</v>
      </c>
      <c r="L139" s="2">
        <v>0</v>
      </c>
    </row>
    <row r="140" spans="1:12" x14ac:dyDescent="0.25">
      <c r="A140" s="1" t="s">
        <v>155</v>
      </c>
      <c r="B140" s="2" t="s">
        <v>15</v>
      </c>
      <c r="C140" s="2">
        <v>0</v>
      </c>
      <c r="D140" s="2">
        <v>2</v>
      </c>
      <c r="E140" s="2">
        <v>1</v>
      </c>
      <c r="F140" s="2">
        <v>0</v>
      </c>
      <c r="G140" s="2">
        <v>1</v>
      </c>
      <c r="H140" s="2">
        <v>2</v>
      </c>
      <c r="I140" s="2">
        <v>3</v>
      </c>
      <c r="J140" s="2">
        <v>1</v>
      </c>
      <c r="K140" s="2">
        <v>2</v>
      </c>
      <c r="L140" s="2">
        <v>0</v>
      </c>
    </row>
    <row r="141" spans="1:12" x14ac:dyDescent="0.25">
      <c r="A141" s="1" t="s">
        <v>156</v>
      </c>
      <c r="B141" s="2" t="s">
        <v>15</v>
      </c>
      <c r="C141" s="2">
        <v>0</v>
      </c>
      <c r="D141" s="2">
        <v>2</v>
      </c>
      <c r="E141" s="2">
        <v>1</v>
      </c>
      <c r="F141" s="2">
        <v>0</v>
      </c>
      <c r="G141" s="2">
        <v>1</v>
      </c>
      <c r="H141" s="2">
        <v>2</v>
      </c>
      <c r="I141" s="2">
        <v>3</v>
      </c>
      <c r="J141" s="2">
        <v>1</v>
      </c>
      <c r="K141" s="2">
        <v>2</v>
      </c>
      <c r="L141" s="2">
        <v>0</v>
      </c>
    </row>
    <row r="142" spans="1:12" x14ac:dyDescent="0.25">
      <c r="A142" s="1" t="s">
        <v>157</v>
      </c>
      <c r="B142" s="2" t="s">
        <v>15</v>
      </c>
      <c r="C142" s="2">
        <v>0</v>
      </c>
      <c r="D142" s="2">
        <v>2</v>
      </c>
      <c r="E142" s="2">
        <v>1</v>
      </c>
      <c r="F142" s="2">
        <v>0</v>
      </c>
      <c r="G142" s="2">
        <v>1</v>
      </c>
      <c r="H142" s="2">
        <v>2</v>
      </c>
      <c r="I142" s="2">
        <v>3</v>
      </c>
      <c r="J142" s="2">
        <v>1</v>
      </c>
      <c r="K142" s="2">
        <v>2</v>
      </c>
      <c r="L142" s="2">
        <v>0</v>
      </c>
    </row>
    <row r="143" spans="1:12" x14ac:dyDescent="0.25">
      <c r="A143" s="1" t="s">
        <v>158</v>
      </c>
      <c r="B143" s="2" t="s">
        <v>15</v>
      </c>
      <c r="C143" s="2">
        <v>0</v>
      </c>
      <c r="D143" s="2">
        <v>2</v>
      </c>
      <c r="E143" s="2">
        <v>1</v>
      </c>
      <c r="F143" s="2">
        <v>0</v>
      </c>
      <c r="G143" s="2">
        <v>1</v>
      </c>
      <c r="H143" s="2">
        <v>2</v>
      </c>
      <c r="I143" s="2">
        <v>3</v>
      </c>
      <c r="J143" s="2">
        <v>1</v>
      </c>
      <c r="K143" s="2">
        <v>2</v>
      </c>
      <c r="L143" s="2">
        <v>0</v>
      </c>
    </row>
    <row r="144" spans="1:12" x14ac:dyDescent="0.25">
      <c r="A144" s="1" t="s">
        <v>159</v>
      </c>
      <c r="B144" s="2" t="s">
        <v>15</v>
      </c>
      <c r="C144" s="2">
        <v>0</v>
      </c>
      <c r="D144" s="2">
        <v>2</v>
      </c>
      <c r="E144" s="2">
        <v>1</v>
      </c>
      <c r="F144" s="2">
        <v>0</v>
      </c>
      <c r="G144" s="2">
        <v>1</v>
      </c>
      <c r="H144" s="2">
        <v>2</v>
      </c>
      <c r="I144" s="2">
        <v>3</v>
      </c>
      <c r="J144" s="2">
        <v>1</v>
      </c>
      <c r="K144" s="2">
        <v>2</v>
      </c>
      <c r="L144" s="2">
        <v>0</v>
      </c>
    </row>
    <row r="145" spans="1:12" x14ac:dyDescent="0.25">
      <c r="A145" s="1" t="s">
        <v>160</v>
      </c>
      <c r="B145" s="2" t="s">
        <v>15</v>
      </c>
      <c r="C145" s="2">
        <v>0</v>
      </c>
      <c r="D145" s="2">
        <v>2</v>
      </c>
      <c r="E145" s="2">
        <v>1</v>
      </c>
      <c r="F145" s="2">
        <v>0</v>
      </c>
      <c r="G145" s="2">
        <v>1</v>
      </c>
      <c r="H145" s="2">
        <v>3</v>
      </c>
      <c r="I145" s="2">
        <v>3</v>
      </c>
      <c r="J145" s="2">
        <v>1</v>
      </c>
      <c r="K145" s="2">
        <v>2</v>
      </c>
      <c r="L145" s="2">
        <v>0</v>
      </c>
    </row>
    <row r="146" spans="1:12" x14ac:dyDescent="0.25">
      <c r="A146" s="1" t="s">
        <v>161</v>
      </c>
      <c r="B146" s="2" t="s">
        <v>15</v>
      </c>
      <c r="C146" s="2">
        <v>0</v>
      </c>
      <c r="D146" s="2">
        <v>3</v>
      </c>
      <c r="E146" s="2">
        <v>1</v>
      </c>
      <c r="F146" s="2">
        <v>0</v>
      </c>
      <c r="G146" s="2">
        <v>1</v>
      </c>
      <c r="H146" s="2">
        <v>7</v>
      </c>
      <c r="I146" s="2">
        <v>14</v>
      </c>
      <c r="J146" s="2">
        <v>1</v>
      </c>
      <c r="K146" s="2">
        <v>3</v>
      </c>
      <c r="L146" s="2">
        <v>0</v>
      </c>
    </row>
    <row r="147" spans="1:12" x14ac:dyDescent="0.25">
      <c r="A147" s="1" t="s">
        <v>162</v>
      </c>
      <c r="B147" s="2" t="s">
        <v>15</v>
      </c>
      <c r="C147" s="2">
        <v>0</v>
      </c>
      <c r="D147" s="2">
        <v>2</v>
      </c>
      <c r="E147" s="2">
        <v>1</v>
      </c>
      <c r="F147" s="2">
        <v>0</v>
      </c>
      <c r="G147" s="2">
        <v>1</v>
      </c>
      <c r="H147" s="2">
        <v>3</v>
      </c>
      <c r="I147" s="2">
        <v>3</v>
      </c>
      <c r="J147" s="2">
        <v>1</v>
      </c>
      <c r="K147" s="2">
        <v>2</v>
      </c>
      <c r="L147" s="2">
        <v>0</v>
      </c>
    </row>
    <row r="148" spans="1:12" x14ac:dyDescent="0.25">
      <c r="A148" s="1" t="s">
        <v>163</v>
      </c>
      <c r="B148" s="2" t="s">
        <v>15</v>
      </c>
      <c r="C148" s="2">
        <v>0</v>
      </c>
      <c r="D148" s="2">
        <v>2</v>
      </c>
      <c r="E148" s="2">
        <v>1</v>
      </c>
      <c r="F148" s="2">
        <v>0</v>
      </c>
      <c r="G148" s="2">
        <v>1</v>
      </c>
      <c r="H148" s="2">
        <v>3</v>
      </c>
      <c r="I148" s="2">
        <v>3</v>
      </c>
      <c r="J148" s="2">
        <v>1</v>
      </c>
      <c r="K148" s="2">
        <v>2</v>
      </c>
      <c r="L148" s="2">
        <v>0</v>
      </c>
    </row>
    <row r="149" spans="1:12" x14ac:dyDescent="0.25">
      <c r="A149" s="1" t="s">
        <v>164</v>
      </c>
      <c r="B149" s="2" t="s">
        <v>15</v>
      </c>
      <c r="C149" s="2">
        <v>0</v>
      </c>
      <c r="D149" s="2">
        <v>2</v>
      </c>
      <c r="E149" s="2">
        <v>1</v>
      </c>
      <c r="F149" s="2">
        <v>0</v>
      </c>
      <c r="G149" s="2">
        <v>1</v>
      </c>
      <c r="H149" s="2">
        <v>2</v>
      </c>
      <c r="I149" s="2">
        <v>3</v>
      </c>
      <c r="J149" s="2">
        <v>1</v>
      </c>
      <c r="K149" s="2">
        <v>2</v>
      </c>
      <c r="L149" s="2">
        <v>0</v>
      </c>
    </row>
    <row r="150" spans="1:12" x14ac:dyDescent="0.25">
      <c r="A150" s="1" t="s">
        <v>165</v>
      </c>
      <c r="B150" s="2" t="s">
        <v>15</v>
      </c>
      <c r="C150" s="2">
        <v>0</v>
      </c>
      <c r="D150" s="2">
        <v>2</v>
      </c>
      <c r="E150" s="2">
        <v>1</v>
      </c>
      <c r="F150" s="2">
        <v>0</v>
      </c>
      <c r="G150" s="2">
        <v>1</v>
      </c>
      <c r="H150" s="2">
        <v>2</v>
      </c>
      <c r="I150" s="2">
        <v>3</v>
      </c>
      <c r="J150" s="2">
        <v>1</v>
      </c>
      <c r="K150" s="2">
        <v>2</v>
      </c>
      <c r="L150" s="2">
        <v>0</v>
      </c>
    </row>
    <row r="151" spans="1:12" x14ac:dyDescent="0.25">
      <c r="A151" s="1" t="s">
        <v>166</v>
      </c>
      <c r="B151" s="2" t="s">
        <v>15</v>
      </c>
      <c r="C151" s="2">
        <v>0</v>
      </c>
      <c r="D151" s="2">
        <v>2</v>
      </c>
      <c r="E151" s="2">
        <v>1</v>
      </c>
      <c r="F151" s="2">
        <v>0</v>
      </c>
      <c r="G151" s="2">
        <v>1</v>
      </c>
      <c r="H151" s="2">
        <v>2</v>
      </c>
      <c r="I151" s="2">
        <v>3</v>
      </c>
      <c r="J151" s="2">
        <v>1</v>
      </c>
      <c r="K151" s="2">
        <v>2</v>
      </c>
      <c r="L151" s="2">
        <v>0</v>
      </c>
    </row>
    <row r="152" spans="1:12" x14ac:dyDescent="0.25">
      <c r="A152" s="1" t="s">
        <v>167</v>
      </c>
      <c r="B152" s="2" t="s">
        <v>15</v>
      </c>
      <c r="C152" s="2">
        <v>0</v>
      </c>
      <c r="D152" s="2">
        <v>2</v>
      </c>
      <c r="E152" s="2">
        <v>1</v>
      </c>
      <c r="F152" s="2">
        <v>0</v>
      </c>
      <c r="G152" s="2">
        <v>1</v>
      </c>
      <c r="H152" s="2">
        <v>2</v>
      </c>
      <c r="I152" s="2">
        <v>3</v>
      </c>
      <c r="J152" s="2">
        <v>1</v>
      </c>
      <c r="K152" s="2">
        <v>2</v>
      </c>
      <c r="L152" s="2">
        <v>0</v>
      </c>
    </row>
    <row r="153" spans="1:12" x14ac:dyDescent="0.25">
      <c r="A153" s="1" t="s">
        <v>168</v>
      </c>
      <c r="B153" s="2" t="s">
        <v>15</v>
      </c>
      <c r="C153" s="2">
        <v>0</v>
      </c>
      <c r="D153" s="2">
        <v>2</v>
      </c>
      <c r="E153" s="2">
        <v>1</v>
      </c>
      <c r="F153" s="2">
        <v>0</v>
      </c>
      <c r="G153" s="2">
        <v>1</v>
      </c>
      <c r="H153" s="2">
        <v>2</v>
      </c>
      <c r="I153" s="2">
        <v>3</v>
      </c>
      <c r="J153" s="2">
        <v>1</v>
      </c>
      <c r="K153" s="2">
        <v>2</v>
      </c>
      <c r="L153" s="2">
        <v>0</v>
      </c>
    </row>
    <row r="154" spans="1:12" x14ac:dyDescent="0.25">
      <c r="A154" s="1" t="s">
        <v>169</v>
      </c>
      <c r="B154" s="2" t="s">
        <v>15</v>
      </c>
      <c r="C154" s="2">
        <v>0</v>
      </c>
      <c r="D154" s="2">
        <v>2</v>
      </c>
      <c r="E154" s="2">
        <v>1</v>
      </c>
      <c r="F154" s="2">
        <v>0</v>
      </c>
      <c r="G154" s="2">
        <v>1</v>
      </c>
      <c r="H154" s="2">
        <v>2</v>
      </c>
      <c r="I154" s="2">
        <v>3</v>
      </c>
      <c r="J154" s="2">
        <v>1</v>
      </c>
      <c r="K154" s="2">
        <v>2</v>
      </c>
      <c r="L154" s="2">
        <v>0</v>
      </c>
    </row>
    <row r="155" spans="1:12" x14ac:dyDescent="0.25">
      <c r="A155" s="1" t="s">
        <v>170</v>
      </c>
      <c r="B155" s="2" t="s">
        <v>15</v>
      </c>
      <c r="C155" s="2">
        <v>0</v>
      </c>
      <c r="D155" s="2">
        <v>2</v>
      </c>
      <c r="E155" s="2">
        <v>1</v>
      </c>
      <c r="F155" s="2">
        <v>0</v>
      </c>
      <c r="G155" s="2">
        <v>1</v>
      </c>
      <c r="H155" s="2">
        <v>2</v>
      </c>
      <c r="I155" s="2">
        <v>3</v>
      </c>
      <c r="J155" s="2">
        <v>1</v>
      </c>
      <c r="K155" s="2">
        <v>2</v>
      </c>
      <c r="L155" s="2">
        <v>0</v>
      </c>
    </row>
    <row r="156" spans="1:12" x14ac:dyDescent="0.25">
      <c r="A156" s="1" t="s">
        <v>171</v>
      </c>
      <c r="B156" s="2" t="s">
        <v>15</v>
      </c>
      <c r="C156" s="2">
        <v>0</v>
      </c>
      <c r="D156" s="2">
        <v>2</v>
      </c>
      <c r="E156" s="2">
        <v>1</v>
      </c>
      <c r="F156" s="2">
        <v>0</v>
      </c>
      <c r="G156" s="2">
        <v>1</v>
      </c>
      <c r="H156" s="2">
        <v>2</v>
      </c>
      <c r="I156" s="2">
        <v>3</v>
      </c>
      <c r="J156" s="2">
        <v>1</v>
      </c>
      <c r="K156" s="2">
        <v>2</v>
      </c>
      <c r="L156" s="2">
        <v>0</v>
      </c>
    </row>
    <row r="157" spans="1:12" x14ac:dyDescent="0.25">
      <c r="A157" s="1" t="s">
        <v>172</v>
      </c>
      <c r="B157" s="2" t="s">
        <v>15</v>
      </c>
      <c r="C157" s="2">
        <v>0</v>
      </c>
      <c r="D157" s="2">
        <v>2</v>
      </c>
      <c r="E157" s="2">
        <v>1</v>
      </c>
      <c r="F157" s="2">
        <v>0</v>
      </c>
      <c r="G157" s="2">
        <v>1</v>
      </c>
      <c r="H157" s="2">
        <v>2</v>
      </c>
      <c r="I157" s="2">
        <v>3</v>
      </c>
      <c r="J157" s="2">
        <v>2</v>
      </c>
      <c r="K157" s="2">
        <v>2</v>
      </c>
      <c r="L157" s="2">
        <v>0</v>
      </c>
    </row>
    <row r="158" spans="1:12" x14ac:dyDescent="0.25">
      <c r="A158" s="1" t="s">
        <v>173</v>
      </c>
      <c r="B158" s="2" t="s">
        <v>15</v>
      </c>
      <c r="C158" s="2">
        <v>0</v>
      </c>
      <c r="D158" s="2">
        <v>2</v>
      </c>
      <c r="E158" s="2">
        <v>1</v>
      </c>
      <c r="F158" s="2">
        <v>0</v>
      </c>
      <c r="G158" s="2">
        <v>1</v>
      </c>
      <c r="H158" s="2">
        <v>2</v>
      </c>
      <c r="I158" s="2">
        <v>3</v>
      </c>
      <c r="J158" s="2">
        <v>1</v>
      </c>
      <c r="K158" s="2">
        <v>2</v>
      </c>
      <c r="L158" s="2">
        <v>0</v>
      </c>
    </row>
    <row r="159" spans="1:12" x14ac:dyDescent="0.25">
      <c r="A159" s="1" t="s">
        <v>174</v>
      </c>
      <c r="B159" s="2" t="s">
        <v>15</v>
      </c>
      <c r="C159" s="2">
        <v>0</v>
      </c>
      <c r="D159" s="2">
        <v>2</v>
      </c>
      <c r="E159" s="2">
        <v>1</v>
      </c>
      <c r="F159" s="2">
        <v>0</v>
      </c>
      <c r="G159" s="2">
        <v>1</v>
      </c>
      <c r="H159" s="2">
        <v>2</v>
      </c>
      <c r="I159" s="2">
        <v>3</v>
      </c>
      <c r="J159" s="2">
        <v>1</v>
      </c>
      <c r="K159" s="2">
        <v>2</v>
      </c>
      <c r="L159" s="2">
        <v>0</v>
      </c>
    </row>
    <row r="160" spans="1:12" x14ac:dyDescent="0.25">
      <c r="A160" s="1" t="s">
        <v>175</v>
      </c>
      <c r="B160" s="2" t="s">
        <v>15</v>
      </c>
      <c r="C160" s="2">
        <v>0</v>
      </c>
      <c r="D160" s="2">
        <v>2</v>
      </c>
      <c r="E160" s="2">
        <v>1</v>
      </c>
      <c r="F160" s="2">
        <v>0</v>
      </c>
      <c r="G160" s="2">
        <v>1</v>
      </c>
      <c r="H160" s="2">
        <v>2</v>
      </c>
      <c r="I160" s="2">
        <v>3</v>
      </c>
      <c r="J160" s="2">
        <v>1</v>
      </c>
      <c r="K160" s="2">
        <v>2</v>
      </c>
      <c r="L160" s="2">
        <v>0</v>
      </c>
    </row>
    <row r="161" spans="1:12" x14ac:dyDescent="0.25">
      <c r="A161" s="1" t="s">
        <v>176</v>
      </c>
      <c r="B161" s="2" t="s">
        <v>15</v>
      </c>
      <c r="C161" s="2">
        <v>0</v>
      </c>
      <c r="D161" s="2">
        <v>2</v>
      </c>
      <c r="E161" s="2">
        <v>1</v>
      </c>
      <c r="F161" s="2">
        <v>0</v>
      </c>
      <c r="G161" s="2">
        <v>1</v>
      </c>
      <c r="H161" s="2">
        <v>2</v>
      </c>
      <c r="I161" s="2">
        <v>3</v>
      </c>
      <c r="J161" s="2">
        <v>1</v>
      </c>
      <c r="K161" s="2">
        <v>2</v>
      </c>
      <c r="L161" s="2">
        <v>0</v>
      </c>
    </row>
    <row r="162" spans="1:12" x14ac:dyDescent="0.25">
      <c r="A162" s="1" t="s">
        <v>177</v>
      </c>
      <c r="B162" s="2" t="s">
        <v>15</v>
      </c>
      <c r="C162" s="2">
        <v>0</v>
      </c>
      <c r="D162" s="2">
        <v>2</v>
      </c>
      <c r="E162" s="2">
        <v>1</v>
      </c>
      <c r="F162" s="2">
        <v>0</v>
      </c>
      <c r="G162" s="2">
        <v>1</v>
      </c>
      <c r="H162" s="2">
        <v>2</v>
      </c>
      <c r="I162" s="2">
        <v>3</v>
      </c>
      <c r="J162" s="2">
        <v>1</v>
      </c>
      <c r="K162" s="2">
        <v>2</v>
      </c>
      <c r="L162" s="2">
        <v>0</v>
      </c>
    </row>
    <row r="163" spans="1:12" x14ac:dyDescent="0.25">
      <c r="A163" s="1" t="s">
        <v>178</v>
      </c>
      <c r="B163" s="2" t="s">
        <v>15</v>
      </c>
      <c r="C163" s="2">
        <v>0</v>
      </c>
      <c r="D163" s="2">
        <v>2</v>
      </c>
      <c r="E163" s="2">
        <v>1</v>
      </c>
      <c r="F163" s="2">
        <v>0</v>
      </c>
      <c r="G163" s="2">
        <v>1</v>
      </c>
      <c r="H163" s="2">
        <v>2</v>
      </c>
      <c r="I163" s="2">
        <v>3</v>
      </c>
      <c r="J163" s="2">
        <v>1</v>
      </c>
      <c r="K163" s="2">
        <v>2</v>
      </c>
      <c r="L163" s="2">
        <v>0</v>
      </c>
    </row>
    <row r="164" spans="1:12" x14ac:dyDescent="0.25">
      <c r="A164" s="1" t="s">
        <v>179</v>
      </c>
      <c r="B164" s="2" t="s">
        <v>15</v>
      </c>
      <c r="C164" s="2">
        <v>0</v>
      </c>
      <c r="D164" s="2">
        <v>2</v>
      </c>
      <c r="E164" s="2">
        <v>1</v>
      </c>
      <c r="F164" s="2">
        <v>0</v>
      </c>
      <c r="G164" s="2">
        <v>1</v>
      </c>
      <c r="H164" s="2">
        <v>2</v>
      </c>
      <c r="I164" s="2">
        <v>3</v>
      </c>
      <c r="J164" s="2">
        <v>1</v>
      </c>
      <c r="K164" s="2">
        <v>2</v>
      </c>
      <c r="L164" s="2">
        <v>0</v>
      </c>
    </row>
    <row r="165" spans="1:12" x14ac:dyDescent="0.25">
      <c r="A165" s="1" t="s">
        <v>180</v>
      </c>
      <c r="B165" s="2" t="s">
        <v>15</v>
      </c>
      <c r="C165" s="2">
        <v>0</v>
      </c>
      <c r="D165" s="2">
        <v>2</v>
      </c>
      <c r="E165" s="2">
        <v>1</v>
      </c>
      <c r="F165" s="2">
        <v>0</v>
      </c>
      <c r="G165" s="2">
        <v>1</v>
      </c>
      <c r="H165" s="2">
        <v>2</v>
      </c>
      <c r="I165" s="2">
        <v>3</v>
      </c>
      <c r="J165" s="2">
        <v>1</v>
      </c>
      <c r="K165" s="2">
        <v>2</v>
      </c>
      <c r="L165" s="2">
        <v>0</v>
      </c>
    </row>
    <row r="166" spans="1:12" x14ac:dyDescent="0.25">
      <c r="A166" s="1" t="s">
        <v>181</v>
      </c>
      <c r="B166" s="2" t="s">
        <v>15</v>
      </c>
      <c r="C166" s="2">
        <v>0</v>
      </c>
      <c r="D166" s="2">
        <v>2</v>
      </c>
      <c r="E166" s="2">
        <v>1</v>
      </c>
      <c r="F166" s="2">
        <v>0</v>
      </c>
      <c r="G166" s="2">
        <v>1</v>
      </c>
      <c r="H166" s="2">
        <v>2</v>
      </c>
      <c r="I166" s="2">
        <v>3</v>
      </c>
      <c r="J166" s="2">
        <v>1</v>
      </c>
      <c r="K166" s="2">
        <v>2</v>
      </c>
      <c r="L166" s="2">
        <v>0</v>
      </c>
    </row>
    <row r="167" spans="1:12" x14ac:dyDescent="0.25">
      <c r="A167" s="1" t="s">
        <v>182</v>
      </c>
      <c r="B167" s="2" t="s">
        <v>15</v>
      </c>
      <c r="C167" s="2">
        <v>0</v>
      </c>
      <c r="D167" s="2">
        <v>2</v>
      </c>
      <c r="E167" s="2">
        <v>1</v>
      </c>
      <c r="F167" s="2">
        <v>0</v>
      </c>
      <c r="G167" s="2">
        <v>1</v>
      </c>
      <c r="H167" s="2">
        <v>2</v>
      </c>
      <c r="I167" s="2">
        <v>3</v>
      </c>
      <c r="J167" s="2">
        <v>1</v>
      </c>
      <c r="K167" s="2">
        <v>2</v>
      </c>
      <c r="L167" s="2">
        <v>0</v>
      </c>
    </row>
    <row r="168" spans="1:12" x14ac:dyDescent="0.25">
      <c r="A168" s="1" t="s">
        <v>183</v>
      </c>
      <c r="B168" s="2" t="s">
        <v>15</v>
      </c>
      <c r="C168" s="2">
        <v>0</v>
      </c>
      <c r="D168" s="2">
        <v>2</v>
      </c>
      <c r="E168" s="2">
        <v>1</v>
      </c>
      <c r="F168" s="2">
        <v>0</v>
      </c>
      <c r="G168" s="2">
        <v>1</v>
      </c>
      <c r="H168" s="2">
        <v>2</v>
      </c>
      <c r="I168" s="2">
        <v>3</v>
      </c>
      <c r="J168" s="2">
        <v>1</v>
      </c>
      <c r="K168" s="2">
        <v>2</v>
      </c>
      <c r="L168" s="2">
        <v>0</v>
      </c>
    </row>
    <row r="169" spans="1:12" x14ac:dyDescent="0.25">
      <c r="A169" s="1" t="s">
        <v>184</v>
      </c>
      <c r="B169" s="2" t="s">
        <v>15</v>
      </c>
      <c r="C169" s="2">
        <v>0</v>
      </c>
      <c r="D169" s="2">
        <v>2</v>
      </c>
      <c r="E169" s="2">
        <v>1</v>
      </c>
      <c r="F169" s="2">
        <v>0</v>
      </c>
      <c r="G169" s="2">
        <v>1</v>
      </c>
      <c r="H169" s="2">
        <v>2</v>
      </c>
      <c r="I169" s="2">
        <v>3</v>
      </c>
      <c r="J169" s="2">
        <v>1</v>
      </c>
      <c r="K169" s="2">
        <v>2</v>
      </c>
      <c r="L169" s="2">
        <v>0</v>
      </c>
    </row>
    <row r="170" spans="1:12" x14ac:dyDescent="0.25">
      <c r="A170" s="1" t="s">
        <v>185</v>
      </c>
      <c r="B170" s="2" t="s">
        <v>15</v>
      </c>
      <c r="C170" s="2">
        <v>0</v>
      </c>
      <c r="D170" s="2">
        <v>2</v>
      </c>
      <c r="E170" s="2">
        <v>1</v>
      </c>
      <c r="F170" s="2">
        <v>0</v>
      </c>
      <c r="G170" s="2">
        <v>1</v>
      </c>
      <c r="H170" s="2">
        <v>2</v>
      </c>
      <c r="I170" s="2">
        <v>3</v>
      </c>
      <c r="J170" s="2">
        <v>1</v>
      </c>
      <c r="K170" s="2">
        <v>2</v>
      </c>
      <c r="L170" s="2">
        <v>0</v>
      </c>
    </row>
    <row r="171" spans="1:12" x14ac:dyDescent="0.25">
      <c r="A171" s="1" t="s">
        <v>186</v>
      </c>
      <c r="B171" s="2" t="s">
        <v>15</v>
      </c>
      <c r="C171" s="2">
        <v>0</v>
      </c>
      <c r="D171" s="2">
        <v>2</v>
      </c>
      <c r="E171" s="2">
        <v>1</v>
      </c>
      <c r="F171" s="2">
        <v>0</v>
      </c>
      <c r="G171" s="2">
        <v>1</v>
      </c>
      <c r="H171" s="2">
        <v>2</v>
      </c>
      <c r="I171" s="2">
        <v>3</v>
      </c>
      <c r="J171" s="2">
        <v>1</v>
      </c>
      <c r="K171" s="2">
        <v>2</v>
      </c>
      <c r="L171" s="2">
        <v>0</v>
      </c>
    </row>
    <row r="172" spans="1:12" x14ac:dyDescent="0.25">
      <c r="A172" s="1" t="s">
        <v>187</v>
      </c>
      <c r="B172" s="2" t="s">
        <v>15</v>
      </c>
      <c r="C172" s="2">
        <v>0</v>
      </c>
      <c r="D172" s="2">
        <v>2</v>
      </c>
      <c r="E172" s="2">
        <v>1</v>
      </c>
      <c r="F172" s="2">
        <v>0</v>
      </c>
      <c r="G172" s="2">
        <v>1</v>
      </c>
      <c r="H172" s="2">
        <v>2</v>
      </c>
      <c r="I172" s="2">
        <v>3</v>
      </c>
      <c r="J172" s="2">
        <v>1</v>
      </c>
      <c r="K172" s="2">
        <v>2</v>
      </c>
      <c r="L172" s="2">
        <v>0</v>
      </c>
    </row>
    <row r="173" spans="1:12" x14ac:dyDescent="0.25">
      <c r="A173" s="1" t="s">
        <v>188</v>
      </c>
      <c r="B173" s="2" t="s">
        <v>15</v>
      </c>
      <c r="C173" s="2">
        <v>0</v>
      </c>
      <c r="D173" s="2">
        <v>2</v>
      </c>
      <c r="E173" s="2">
        <v>1</v>
      </c>
      <c r="F173" s="2">
        <v>0</v>
      </c>
      <c r="G173" s="2">
        <v>1</v>
      </c>
      <c r="H173" s="2">
        <v>2</v>
      </c>
      <c r="I173" s="2">
        <v>3</v>
      </c>
      <c r="J173" s="2">
        <v>1</v>
      </c>
      <c r="K173" s="2">
        <v>2</v>
      </c>
      <c r="L173" s="2">
        <v>0</v>
      </c>
    </row>
    <row r="174" spans="1:12" x14ac:dyDescent="0.25">
      <c r="A174" s="1" t="s">
        <v>189</v>
      </c>
      <c r="B174" s="2" t="s">
        <v>15</v>
      </c>
      <c r="C174" s="2">
        <v>0</v>
      </c>
      <c r="D174" s="2">
        <v>2</v>
      </c>
      <c r="E174" s="2">
        <v>1</v>
      </c>
      <c r="F174" s="2">
        <v>0</v>
      </c>
      <c r="G174" s="2">
        <v>1</v>
      </c>
      <c r="H174" s="2">
        <v>2</v>
      </c>
      <c r="I174" s="2">
        <v>3</v>
      </c>
      <c r="J174" s="2">
        <v>1</v>
      </c>
      <c r="K174" s="2">
        <v>2</v>
      </c>
      <c r="L174" s="2">
        <v>0</v>
      </c>
    </row>
    <row r="175" spans="1:12" x14ac:dyDescent="0.25">
      <c r="A175" s="1" t="s">
        <v>190</v>
      </c>
      <c r="B175" s="2" t="s">
        <v>15</v>
      </c>
      <c r="C175" s="2">
        <v>0</v>
      </c>
      <c r="D175" s="2">
        <v>2</v>
      </c>
      <c r="E175" s="2">
        <v>1</v>
      </c>
      <c r="F175" s="2">
        <v>0</v>
      </c>
      <c r="G175" s="2">
        <v>1</v>
      </c>
      <c r="H175" s="2">
        <v>2</v>
      </c>
      <c r="I175" s="2">
        <v>3</v>
      </c>
      <c r="J175" s="2">
        <v>1</v>
      </c>
      <c r="K175" s="2">
        <v>2</v>
      </c>
      <c r="L175" s="2">
        <v>0</v>
      </c>
    </row>
    <row r="176" spans="1:12" x14ac:dyDescent="0.25">
      <c r="A176" s="1" t="s">
        <v>191</v>
      </c>
      <c r="B176" s="2" t="s">
        <v>15</v>
      </c>
      <c r="C176" s="2">
        <v>0</v>
      </c>
      <c r="D176" s="2">
        <v>2</v>
      </c>
      <c r="E176" s="2">
        <v>1</v>
      </c>
      <c r="F176" s="2">
        <v>0</v>
      </c>
      <c r="G176" s="2">
        <v>1</v>
      </c>
      <c r="H176" s="2">
        <v>2</v>
      </c>
      <c r="I176" s="2">
        <v>3</v>
      </c>
      <c r="J176" s="2">
        <v>1</v>
      </c>
      <c r="K176" s="2">
        <v>2</v>
      </c>
      <c r="L176" s="2">
        <v>0</v>
      </c>
    </row>
    <row r="177" spans="1:12" x14ac:dyDescent="0.25">
      <c r="A177" s="1" t="s">
        <v>192</v>
      </c>
      <c r="B177" s="2" t="s">
        <v>15</v>
      </c>
      <c r="C177" s="2">
        <v>0</v>
      </c>
      <c r="D177" s="2">
        <v>2</v>
      </c>
      <c r="E177" s="2">
        <v>1</v>
      </c>
      <c r="F177" s="2">
        <v>0</v>
      </c>
      <c r="G177" s="2">
        <v>1</v>
      </c>
      <c r="H177" s="2">
        <v>2</v>
      </c>
      <c r="I177" s="2">
        <v>3</v>
      </c>
      <c r="J177" s="2">
        <v>1</v>
      </c>
      <c r="K177" s="2">
        <v>2</v>
      </c>
      <c r="L177" s="2">
        <v>0</v>
      </c>
    </row>
    <row r="178" spans="1:12" x14ac:dyDescent="0.25">
      <c r="A178" s="1" t="s">
        <v>193</v>
      </c>
      <c r="B178" s="2" t="s">
        <v>15</v>
      </c>
      <c r="C178" s="2">
        <v>0</v>
      </c>
      <c r="D178" s="2">
        <v>2</v>
      </c>
      <c r="E178" s="2">
        <v>1</v>
      </c>
      <c r="F178" s="2">
        <v>0</v>
      </c>
      <c r="G178" s="2">
        <v>1</v>
      </c>
      <c r="H178" s="2">
        <v>2</v>
      </c>
      <c r="I178" s="2">
        <v>3</v>
      </c>
      <c r="J178" s="2">
        <v>1</v>
      </c>
      <c r="K178" s="2">
        <v>2</v>
      </c>
      <c r="L178" s="2">
        <v>0</v>
      </c>
    </row>
    <row r="179" spans="1:12" x14ac:dyDescent="0.25">
      <c r="A179" s="1" t="s">
        <v>194</v>
      </c>
      <c r="B179" s="2" t="s">
        <v>15</v>
      </c>
      <c r="C179" s="2">
        <v>0</v>
      </c>
      <c r="D179" s="2">
        <v>2</v>
      </c>
      <c r="E179" s="2">
        <v>1</v>
      </c>
      <c r="F179" s="2">
        <v>0</v>
      </c>
      <c r="G179" s="2">
        <v>1</v>
      </c>
      <c r="H179" s="2">
        <v>2</v>
      </c>
      <c r="I179" s="2">
        <v>3</v>
      </c>
      <c r="J179" s="2">
        <v>1</v>
      </c>
      <c r="K179" s="2">
        <v>2</v>
      </c>
      <c r="L179" s="2">
        <v>0</v>
      </c>
    </row>
    <row r="180" spans="1:12" x14ac:dyDescent="0.25">
      <c r="A180" s="1" t="s">
        <v>195</v>
      </c>
      <c r="B180" s="2" t="s">
        <v>15</v>
      </c>
      <c r="C180" s="2">
        <v>0</v>
      </c>
      <c r="D180" s="2">
        <v>0</v>
      </c>
      <c r="E180" s="2">
        <v>0</v>
      </c>
      <c r="F180" s="2">
        <v>1</v>
      </c>
      <c r="G180" s="2">
        <v>1</v>
      </c>
      <c r="H180" s="2">
        <v>0</v>
      </c>
      <c r="I180" s="2">
        <v>2</v>
      </c>
      <c r="J180" s="2">
        <v>1</v>
      </c>
      <c r="K180" s="2">
        <v>1</v>
      </c>
      <c r="L180" s="2">
        <v>0</v>
      </c>
    </row>
    <row r="181" spans="1:12" x14ac:dyDescent="0.25">
      <c r="A181" s="1" t="s">
        <v>196</v>
      </c>
      <c r="B181" s="2" t="s">
        <v>15</v>
      </c>
      <c r="C181" s="2">
        <v>0</v>
      </c>
      <c r="D181" s="2">
        <v>2</v>
      </c>
      <c r="E181" s="2">
        <v>1</v>
      </c>
      <c r="F181" s="2">
        <v>0</v>
      </c>
      <c r="G181" s="2">
        <v>1</v>
      </c>
      <c r="H181" s="2">
        <v>2</v>
      </c>
      <c r="I181" s="2">
        <v>3</v>
      </c>
      <c r="J181" s="2">
        <v>1</v>
      </c>
      <c r="K181" s="2">
        <v>2</v>
      </c>
      <c r="L181" s="2">
        <v>0</v>
      </c>
    </row>
    <row r="182" spans="1:12" x14ac:dyDescent="0.25">
      <c r="A182" s="1" t="s">
        <v>197</v>
      </c>
      <c r="B182" s="2" t="s">
        <v>15</v>
      </c>
      <c r="C182" s="2">
        <v>0</v>
      </c>
      <c r="D182" s="2">
        <v>2</v>
      </c>
      <c r="E182" s="2">
        <v>1</v>
      </c>
      <c r="F182" s="2">
        <v>0</v>
      </c>
      <c r="G182" s="2">
        <v>1</v>
      </c>
      <c r="H182" s="2">
        <v>2</v>
      </c>
      <c r="I182" s="2">
        <v>3</v>
      </c>
      <c r="J182" s="2">
        <v>1</v>
      </c>
      <c r="K182" s="2">
        <v>2</v>
      </c>
      <c r="L182" s="2">
        <v>0</v>
      </c>
    </row>
    <row r="183" spans="1:12" x14ac:dyDescent="0.25">
      <c r="A183" s="1" t="s">
        <v>198</v>
      </c>
      <c r="B183" s="2" t="s">
        <v>15</v>
      </c>
      <c r="C183" s="2">
        <v>0</v>
      </c>
      <c r="D183" s="2">
        <v>2</v>
      </c>
      <c r="E183" s="2">
        <v>1</v>
      </c>
      <c r="F183" s="2">
        <v>0</v>
      </c>
      <c r="G183" s="2">
        <v>1</v>
      </c>
      <c r="H183" s="2">
        <v>2</v>
      </c>
      <c r="I183" s="2">
        <v>3</v>
      </c>
      <c r="J183" s="2">
        <v>1</v>
      </c>
      <c r="K183" s="2">
        <v>2</v>
      </c>
      <c r="L183" s="2">
        <v>0</v>
      </c>
    </row>
    <row r="184" spans="1:12" x14ac:dyDescent="0.25">
      <c r="A184" s="1" t="s">
        <v>199</v>
      </c>
      <c r="B184" s="2" t="s">
        <v>15</v>
      </c>
      <c r="C184" s="2">
        <v>0</v>
      </c>
      <c r="D184" s="2">
        <v>2</v>
      </c>
      <c r="E184" s="2">
        <v>1</v>
      </c>
      <c r="F184" s="2">
        <v>0</v>
      </c>
      <c r="G184" s="2">
        <v>1</v>
      </c>
      <c r="H184" s="2">
        <v>2</v>
      </c>
      <c r="I184" s="2">
        <v>3</v>
      </c>
      <c r="J184" s="2">
        <v>1</v>
      </c>
      <c r="K184" s="2">
        <v>2</v>
      </c>
      <c r="L184" s="2">
        <v>0</v>
      </c>
    </row>
    <row r="185" spans="1:12" x14ac:dyDescent="0.25">
      <c r="A185" s="1" t="s">
        <v>200</v>
      </c>
      <c r="B185" s="2" t="s">
        <v>15</v>
      </c>
      <c r="C185" s="2">
        <v>0</v>
      </c>
      <c r="D185" s="2">
        <v>2</v>
      </c>
      <c r="E185" s="2">
        <v>1</v>
      </c>
      <c r="F185" s="2">
        <v>0</v>
      </c>
      <c r="G185" s="2">
        <v>1</v>
      </c>
      <c r="H185" s="2">
        <v>2</v>
      </c>
      <c r="I185" s="2">
        <v>3</v>
      </c>
      <c r="J185" s="2">
        <v>1</v>
      </c>
      <c r="K185" s="2">
        <v>2</v>
      </c>
      <c r="L185" s="2">
        <v>0</v>
      </c>
    </row>
    <row r="186" spans="1:12" x14ac:dyDescent="0.25">
      <c r="A186" s="1" t="s">
        <v>201</v>
      </c>
      <c r="B186" s="2" t="s">
        <v>15</v>
      </c>
      <c r="C186" s="2">
        <v>0</v>
      </c>
      <c r="D186" s="2">
        <v>2</v>
      </c>
      <c r="E186" s="2">
        <v>1</v>
      </c>
      <c r="F186" s="2">
        <v>0</v>
      </c>
      <c r="G186" s="2">
        <v>1</v>
      </c>
      <c r="H186" s="2">
        <v>2</v>
      </c>
      <c r="I186" s="2">
        <v>3</v>
      </c>
      <c r="J186" s="2">
        <v>1</v>
      </c>
      <c r="K186" s="2">
        <v>2</v>
      </c>
      <c r="L186" s="2">
        <v>0</v>
      </c>
    </row>
    <row r="187" spans="1:12" x14ac:dyDescent="0.25">
      <c r="A187" s="1" t="s">
        <v>202</v>
      </c>
      <c r="B187" s="2" t="s">
        <v>15</v>
      </c>
      <c r="C187" s="2">
        <v>0</v>
      </c>
      <c r="D187" s="2">
        <v>2</v>
      </c>
      <c r="E187" s="2">
        <v>1</v>
      </c>
      <c r="F187" s="2">
        <v>0</v>
      </c>
      <c r="G187" s="2">
        <v>1</v>
      </c>
      <c r="H187" s="2">
        <v>2</v>
      </c>
      <c r="I187" s="2">
        <v>3</v>
      </c>
      <c r="J187" s="2">
        <v>1</v>
      </c>
      <c r="K187" s="2">
        <v>2</v>
      </c>
      <c r="L187" s="2">
        <v>0</v>
      </c>
    </row>
    <row r="188" spans="1:12" x14ac:dyDescent="0.25">
      <c r="A188" s="1" t="s">
        <v>203</v>
      </c>
      <c r="B188" s="2" t="s">
        <v>15</v>
      </c>
      <c r="C188" s="2">
        <v>292</v>
      </c>
      <c r="D188" s="2">
        <v>42</v>
      </c>
      <c r="E188" s="2">
        <v>0</v>
      </c>
      <c r="F188" s="2">
        <v>0</v>
      </c>
      <c r="G188" s="2">
        <v>0.33300000000000002</v>
      </c>
      <c r="H188" s="2">
        <v>14</v>
      </c>
      <c r="I188" s="2">
        <v>63</v>
      </c>
      <c r="J188" s="2">
        <v>3</v>
      </c>
      <c r="K188" s="2">
        <v>43</v>
      </c>
      <c r="L188" s="2">
        <v>0</v>
      </c>
    </row>
    <row r="189" spans="1:12" x14ac:dyDescent="0.25">
      <c r="A189" s="1" t="s">
        <v>204</v>
      </c>
      <c r="B189" s="2" t="s">
        <v>15</v>
      </c>
      <c r="C189" s="2">
        <v>0</v>
      </c>
      <c r="D189" s="2">
        <v>2</v>
      </c>
      <c r="E189" s="2">
        <v>1</v>
      </c>
      <c r="F189" s="2">
        <v>0</v>
      </c>
      <c r="G189" s="2">
        <v>1</v>
      </c>
      <c r="H189" s="2">
        <v>3</v>
      </c>
      <c r="I189" s="2">
        <v>3</v>
      </c>
      <c r="J189" s="2">
        <v>1</v>
      </c>
      <c r="K189" s="2">
        <v>2</v>
      </c>
      <c r="L189" s="2">
        <v>0</v>
      </c>
    </row>
    <row r="190" spans="1:12" x14ac:dyDescent="0.25">
      <c r="A190" s="1" t="s">
        <v>205</v>
      </c>
      <c r="B190" s="2" t="s">
        <v>15</v>
      </c>
      <c r="C190" s="2">
        <v>0</v>
      </c>
      <c r="D190" s="2">
        <v>2</v>
      </c>
      <c r="E190" s="2">
        <v>1</v>
      </c>
      <c r="F190" s="2">
        <v>0</v>
      </c>
      <c r="G190" s="2">
        <v>1</v>
      </c>
      <c r="H190" s="2">
        <v>3</v>
      </c>
      <c r="I190" s="2">
        <v>3</v>
      </c>
      <c r="J190" s="2">
        <v>1</v>
      </c>
      <c r="K190" s="2">
        <v>2</v>
      </c>
      <c r="L190" s="2">
        <v>0</v>
      </c>
    </row>
    <row r="191" spans="1:12" x14ac:dyDescent="0.25">
      <c r="A191" s="1" t="s">
        <v>206</v>
      </c>
      <c r="B191" s="2" t="s">
        <v>15</v>
      </c>
      <c r="C191" s="2">
        <v>0</v>
      </c>
      <c r="D191" s="2">
        <v>2</v>
      </c>
      <c r="E191" s="2">
        <v>1</v>
      </c>
      <c r="F191" s="2">
        <v>0</v>
      </c>
      <c r="G191" s="2">
        <v>1</v>
      </c>
      <c r="H191" s="2">
        <v>3</v>
      </c>
      <c r="I191" s="2">
        <v>3</v>
      </c>
      <c r="J191" s="2">
        <v>1</v>
      </c>
      <c r="K191" s="2">
        <v>2</v>
      </c>
      <c r="L191" s="2">
        <v>0</v>
      </c>
    </row>
    <row r="192" spans="1:12" x14ac:dyDescent="0.25">
      <c r="A192" s="1" t="s">
        <v>207</v>
      </c>
      <c r="B192" s="2" t="s">
        <v>13</v>
      </c>
      <c r="C192" s="2">
        <v>245</v>
      </c>
      <c r="D192" s="2">
        <v>34</v>
      </c>
      <c r="E192" s="2">
        <v>178</v>
      </c>
      <c r="F192" s="2">
        <v>0</v>
      </c>
      <c r="G192" s="2">
        <v>0.1</v>
      </c>
      <c r="H192" s="2">
        <v>20</v>
      </c>
      <c r="I192" s="2">
        <v>77</v>
      </c>
      <c r="J192" s="2">
        <v>2</v>
      </c>
      <c r="K192" s="2">
        <v>46</v>
      </c>
      <c r="L192" s="2">
        <v>1</v>
      </c>
    </row>
    <row r="193" spans="1:12" x14ac:dyDescent="0.25">
      <c r="A193" s="1" t="s">
        <v>208</v>
      </c>
      <c r="B193" s="2" t="s">
        <v>35</v>
      </c>
      <c r="C193" s="2">
        <v>0</v>
      </c>
      <c r="D193" s="2">
        <v>1</v>
      </c>
      <c r="E193" s="2">
        <v>0</v>
      </c>
      <c r="F193" s="2">
        <v>0</v>
      </c>
      <c r="G193" s="2">
        <v>1</v>
      </c>
      <c r="H193" s="2">
        <v>1</v>
      </c>
      <c r="I193" s="2">
        <v>2</v>
      </c>
      <c r="J193" s="2">
        <v>1</v>
      </c>
      <c r="K193" s="2">
        <v>1</v>
      </c>
      <c r="L193" s="2">
        <v>0</v>
      </c>
    </row>
    <row r="194" spans="1:12" x14ac:dyDescent="0.25">
      <c r="A194" s="1" t="s">
        <v>209</v>
      </c>
      <c r="B194" s="2" t="s">
        <v>35</v>
      </c>
      <c r="C194" s="2">
        <v>0</v>
      </c>
      <c r="D194" s="2">
        <v>1</v>
      </c>
      <c r="E194" s="2">
        <v>0</v>
      </c>
      <c r="F194" s="2">
        <v>0</v>
      </c>
      <c r="G194" s="2">
        <v>1</v>
      </c>
      <c r="H194" s="2">
        <v>1</v>
      </c>
      <c r="I194" s="2">
        <v>2</v>
      </c>
      <c r="J194" s="2">
        <v>1</v>
      </c>
      <c r="K194" s="2">
        <v>1</v>
      </c>
      <c r="L194" s="2">
        <v>0</v>
      </c>
    </row>
    <row r="195" spans="1:12" x14ac:dyDescent="0.25">
      <c r="A195" s="1" t="s">
        <v>210</v>
      </c>
      <c r="B195" s="2" t="s">
        <v>35</v>
      </c>
      <c r="C195" s="2">
        <v>1</v>
      </c>
      <c r="D195" s="2">
        <v>1</v>
      </c>
      <c r="E195" s="2">
        <v>0</v>
      </c>
      <c r="F195" s="2">
        <v>0</v>
      </c>
      <c r="G195" s="2">
        <v>1</v>
      </c>
      <c r="H195" s="2">
        <v>1</v>
      </c>
      <c r="I195" s="2">
        <v>2</v>
      </c>
      <c r="J195" s="2">
        <v>1</v>
      </c>
      <c r="K195" s="2">
        <v>1</v>
      </c>
      <c r="L195" s="2">
        <v>0</v>
      </c>
    </row>
    <row r="196" spans="1:12" x14ac:dyDescent="0.25">
      <c r="A196" s="1" t="s">
        <v>211</v>
      </c>
      <c r="B196" s="2" t="s">
        <v>13</v>
      </c>
      <c r="C196" s="2">
        <v>274</v>
      </c>
      <c r="D196" s="2">
        <v>48</v>
      </c>
      <c r="E196" s="2">
        <v>0</v>
      </c>
      <c r="F196" s="2">
        <v>0</v>
      </c>
      <c r="G196" s="2">
        <v>0.25</v>
      </c>
      <c r="H196" s="2">
        <v>49</v>
      </c>
      <c r="I196" s="2">
        <v>203</v>
      </c>
      <c r="J196" s="2">
        <v>2</v>
      </c>
      <c r="K196" s="2">
        <v>57</v>
      </c>
      <c r="L196" s="2">
        <v>0</v>
      </c>
    </row>
    <row r="197" spans="1:12" x14ac:dyDescent="0.25">
      <c r="A197" s="1" t="s">
        <v>212</v>
      </c>
      <c r="B197" s="2" t="s">
        <v>35</v>
      </c>
      <c r="C197" s="2">
        <v>1</v>
      </c>
      <c r="D197" s="2">
        <v>1</v>
      </c>
      <c r="E197" s="2">
        <v>0</v>
      </c>
      <c r="F197" s="2">
        <v>0</v>
      </c>
      <c r="G197" s="2">
        <v>1</v>
      </c>
      <c r="H197" s="2">
        <v>2</v>
      </c>
      <c r="I197" s="2">
        <v>2</v>
      </c>
      <c r="J197" s="2">
        <v>1</v>
      </c>
      <c r="K197" s="2">
        <v>1</v>
      </c>
      <c r="L197" s="2">
        <v>0</v>
      </c>
    </row>
    <row r="198" spans="1:12" x14ac:dyDescent="0.25">
      <c r="A198" s="1" t="s">
        <v>213</v>
      </c>
      <c r="B198" s="2" t="s">
        <v>35</v>
      </c>
      <c r="C198" s="2">
        <v>1</v>
      </c>
      <c r="D198" s="2">
        <v>1</v>
      </c>
      <c r="E198" s="2">
        <v>0</v>
      </c>
      <c r="F198" s="2">
        <v>0</v>
      </c>
      <c r="G198" s="2">
        <v>1</v>
      </c>
      <c r="H198" s="2">
        <v>2</v>
      </c>
      <c r="I198" s="2">
        <v>2</v>
      </c>
      <c r="J198" s="2">
        <v>1</v>
      </c>
      <c r="K198" s="2">
        <v>1</v>
      </c>
      <c r="L198" s="2">
        <v>0</v>
      </c>
    </row>
    <row r="199" spans="1:12" x14ac:dyDescent="0.25">
      <c r="A199" s="1" t="s">
        <v>214</v>
      </c>
      <c r="B199" s="2" t="s">
        <v>35</v>
      </c>
      <c r="C199" s="2">
        <v>1</v>
      </c>
      <c r="D199" s="2">
        <v>1</v>
      </c>
      <c r="E199" s="2">
        <v>0</v>
      </c>
      <c r="F199" s="2">
        <v>0</v>
      </c>
      <c r="G199" s="2">
        <v>1</v>
      </c>
      <c r="H199" s="2">
        <v>2</v>
      </c>
      <c r="I199" s="2">
        <v>2</v>
      </c>
      <c r="J199" s="2">
        <v>1</v>
      </c>
      <c r="K199" s="2">
        <v>1</v>
      </c>
      <c r="L199" s="2">
        <v>0</v>
      </c>
    </row>
    <row r="200" spans="1:12" x14ac:dyDescent="0.25">
      <c r="A200" s="1" t="s">
        <v>215</v>
      </c>
      <c r="B200" s="2" t="s">
        <v>13</v>
      </c>
      <c r="C200" s="2">
        <v>0</v>
      </c>
      <c r="D200" s="2">
        <v>3</v>
      </c>
      <c r="E200" s="2">
        <v>1</v>
      </c>
      <c r="F200" s="2">
        <v>0</v>
      </c>
      <c r="G200" s="2">
        <v>1</v>
      </c>
      <c r="H200" s="2">
        <v>7</v>
      </c>
      <c r="I200" s="2">
        <v>13</v>
      </c>
      <c r="J200" s="2">
        <v>1</v>
      </c>
      <c r="K200" s="2">
        <v>3</v>
      </c>
      <c r="L200" s="2">
        <v>0</v>
      </c>
    </row>
    <row r="201" spans="1:12" x14ac:dyDescent="0.25">
      <c r="A201" s="1" t="s">
        <v>216</v>
      </c>
      <c r="B201" s="2" t="s">
        <v>35</v>
      </c>
      <c r="C201" s="2">
        <v>1</v>
      </c>
      <c r="D201" s="2">
        <v>1</v>
      </c>
      <c r="E201" s="2">
        <v>0</v>
      </c>
      <c r="F201" s="2">
        <v>0</v>
      </c>
      <c r="G201" s="2">
        <v>1</v>
      </c>
      <c r="H201" s="2">
        <v>2</v>
      </c>
      <c r="I201" s="2">
        <v>2</v>
      </c>
      <c r="J201" s="2">
        <v>1</v>
      </c>
      <c r="K201" s="2">
        <v>1</v>
      </c>
      <c r="L201" s="2">
        <v>0</v>
      </c>
    </row>
    <row r="202" spans="1:12" x14ac:dyDescent="0.25">
      <c r="A202" s="1" t="s">
        <v>217</v>
      </c>
      <c r="B202" s="2" t="s">
        <v>35</v>
      </c>
      <c r="C202" s="2">
        <v>1</v>
      </c>
      <c r="D202" s="2">
        <v>1</v>
      </c>
      <c r="E202" s="2">
        <v>0</v>
      </c>
      <c r="F202" s="2">
        <v>0</v>
      </c>
      <c r="G202" s="2">
        <v>1</v>
      </c>
      <c r="H202" s="2">
        <v>2</v>
      </c>
      <c r="I202" s="2">
        <v>2</v>
      </c>
      <c r="J202" s="2">
        <v>1</v>
      </c>
      <c r="K202" s="2">
        <v>1</v>
      </c>
      <c r="L202" s="2">
        <v>0</v>
      </c>
    </row>
    <row r="203" spans="1:12" x14ac:dyDescent="0.25">
      <c r="A203" s="1" t="s">
        <v>218</v>
      </c>
      <c r="B203" s="2" t="s">
        <v>35</v>
      </c>
      <c r="C203" s="2">
        <v>1</v>
      </c>
      <c r="D203" s="2">
        <v>1</v>
      </c>
      <c r="E203" s="2">
        <v>0</v>
      </c>
      <c r="F203" s="2">
        <v>0</v>
      </c>
      <c r="G203" s="2">
        <v>1</v>
      </c>
      <c r="H203" s="2">
        <v>2</v>
      </c>
      <c r="I203" s="2">
        <v>2</v>
      </c>
      <c r="J203" s="2">
        <v>1</v>
      </c>
      <c r="K203" s="2">
        <v>1</v>
      </c>
      <c r="L203" s="2">
        <v>0</v>
      </c>
    </row>
    <row r="204" spans="1:12" x14ac:dyDescent="0.25">
      <c r="A204" s="1" t="s">
        <v>219</v>
      </c>
      <c r="B204" s="2" t="s">
        <v>35</v>
      </c>
      <c r="C204" s="2">
        <v>0</v>
      </c>
      <c r="D204" s="2">
        <v>1</v>
      </c>
      <c r="E204" s="2">
        <v>0</v>
      </c>
      <c r="F204" s="2">
        <v>0</v>
      </c>
      <c r="G204" s="2">
        <v>1</v>
      </c>
      <c r="H204" s="2">
        <v>1</v>
      </c>
      <c r="I204" s="2">
        <v>2</v>
      </c>
      <c r="J204" s="2">
        <v>1</v>
      </c>
      <c r="K204" s="2">
        <v>1</v>
      </c>
      <c r="L204" s="2">
        <v>0</v>
      </c>
    </row>
    <row r="205" spans="1:12" x14ac:dyDescent="0.25">
      <c r="A205" s="1" t="s">
        <v>220</v>
      </c>
      <c r="B205" s="2" t="s">
        <v>35</v>
      </c>
      <c r="C205" s="2">
        <v>1</v>
      </c>
      <c r="D205" s="2">
        <v>1</v>
      </c>
      <c r="E205" s="2">
        <v>0</v>
      </c>
      <c r="F205" s="2">
        <v>0</v>
      </c>
      <c r="G205" s="2">
        <v>1</v>
      </c>
      <c r="H205" s="2">
        <v>2</v>
      </c>
      <c r="I205" s="2">
        <v>2</v>
      </c>
      <c r="J205" s="2">
        <v>1</v>
      </c>
      <c r="K205" s="2">
        <v>1</v>
      </c>
      <c r="L205" s="2">
        <v>0</v>
      </c>
    </row>
    <row r="206" spans="1:12" x14ac:dyDescent="0.25">
      <c r="A206" s="1" t="s">
        <v>221</v>
      </c>
      <c r="B206" s="2" t="s">
        <v>35</v>
      </c>
      <c r="C206" s="2">
        <v>1</v>
      </c>
      <c r="D206" s="2">
        <v>1</v>
      </c>
      <c r="E206" s="2">
        <v>0</v>
      </c>
      <c r="F206" s="2">
        <v>0</v>
      </c>
      <c r="G206" s="2">
        <v>1</v>
      </c>
      <c r="H206" s="2">
        <v>2</v>
      </c>
      <c r="I206" s="2">
        <v>2</v>
      </c>
      <c r="J206" s="2">
        <v>1</v>
      </c>
      <c r="K206" s="2">
        <v>1</v>
      </c>
      <c r="L206" s="2">
        <v>0</v>
      </c>
    </row>
    <row r="207" spans="1:12" x14ac:dyDescent="0.25">
      <c r="A207" s="1" t="s">
        <v>222</v>
      </c>
      <c r="B207" s="2" t="s">
        <v>35</v>
      </c>
      <c r="C207" s="2">
        <v>1</v>
      </c>
      <c r="D207" s="2">
        <v>1</v>
      </c>
      <c r="E207" s="2">
        <v>0</v>
      </c>
      <c r="F207" s="2">
        <v>0</v>
      </c>
      <c r="G207" s="2">
        <v>1</v>
      </c>
      <c r="H207" s="2">
        <v>2</v>
      </c>
      <c r="I207" s="2">
        <v>2</v>
      </c>
      <c r="J207" s="2">
        <v>1</v>
      </c>
      <c r="K207" s="2">
        <v>1</v>
      </c>
      <c r="L207" s="2">
        <v>0</v>
      </c>
    </row>
    <row r="208" spans="1:12" x14ac:dyDescent="0.25">
      <c r="A208" s="1" t="s">
        <v>223</v>
      </c>
      <c r="B208" s="2" t="s">
        <v>35</v>
      </c>
      <c r="C208" s="2">
        <v>1</v>
      </c>
      <c r="D208" s="2">
        <v>1</v>
      </c>
      <c r="E208" s="2">
        <v>0</v>
      </c>
      <c r="F208" s="2">
        <v>0</v>
      </c>
      <c r="G208" s="2">
        <v>1</v>
      </c>
      <c r="H208" s="2">
        <v>2</v>
      </c>
      <c r="I208" s="2">
        <v>2</v>
      </c>
      <c r="J208" s="2">
        <v>1</v>
      </c>
      <c r="K208" s="2">
        <v>1</v>
      </c>
      <c r="L208" s="2">
        <v>0</v>
      </c>
    </row>
    <row r="209" spans="1:12" x14ac:dyDescent="0.25">
      <c r="A209" s="1" t="s">
        <v>224</v>
      </c>
      <c r="B209" s="2" t="s">
        <v>35</v>
      </c>
      <c r="C209" s="2">
        <v>1</v>
      </c>
      <c r="D209" s="2">
        <v>1</v>
      </c>
      <c r="E209" s="2">
        <v>0</v>
      </c>
      <c r="F209" s="2">
        <v>0</v>
      </c>
      <c r="G209" s="2">
        <v>1</v>
      </c>
      <c r="H209" s="2">
        <v>2</v>
      </c>
      <c r="I209" s="2">
        <v>2</v>
      </c>
      <c r="J209" s="2">
        <v>1</v>
      </c>
      <c r="K209" s="2">
        <v>1</v>
      </c>
      <c r="L209" s="2">
        <v>0</v>
      </c>
    </row>
    <row r="210" spans="1:12" x14ac:dyDescent="0.25">
      <c r="A210" s="1" t="s">
        <v>225</v>
      </c>
      <c r="B210" s="2" t="s">
        <v>35</v>
      </c>
      <c r="C210" s="2">
        <v>1</v>
      </c>
      <c r="D210" s="2">
        <v>1</v>
      </c>
      <c r="E210" s="2">
        <v>0</v>
      </c>
      <c r="F210" s="2">
        <v>0</v>
      </c>
      <c r="G210" s="2">
        <v>1</v>
      </c>
      <c r="H210" s="2">
        <v>2</v>
      </c>
      <c r="I210" s="2">
        <v>2</v>
      </c>
      <c r="J210" s="2">
        <v>1</v>
      </c>
      <c r="K210" s="2">
        <v>1</v>
      </c>
      <c r="L210" s="2">
        <v>0</v>
      </c>
    </row>
    <row r="211" spans="1:12" x14ac:dyDescent="0.25">
      <c r="A211" s="1" t="s">
        <v>226</v>
      </c>
      <c r="B211" s="2" t="s">
        <v>35</v>
      </c>
      <c r="C211" s="2">
        <v>1</v>
      </c>
      <c r="D211" s="2">
        <v>1</v>
      </c>
      <c r="E211" s="2">
        <v>0</v>
      </c>
      <c r="F211" s="2">
        <v>0</v>
      </c>
      <c r="G211" s="2">
        <v>1</v>
      </c>
      <c r="H211" s="2">
        <v>2</v>
      </c>
      <c r="I211" s="2">
        <v>2</v>
      </c>
      <c r="J211" s="2">
        <v>1</v>
      </c>
      <c r="K211" s="2">
        <v>1</v>
      </c>
      <c r="L211" s="2">
        <v>0</v>
      </c>
    </row>
    <row r="212" spans="1:12" x14ac:dyDescent="0.25">
      <c r="A212" s="1" t="s">
        <v>227</v>
      </c>
      <c r="B212" s="2" t="s">
        <v>35</v>
      </c>
      <c r="C212" s="2">
        <v>1</v>
      </c>
      <c r="D212" s="2">
        <v>1</v>
      </c>
      <c r="E212" s="2">
        <v>0</v>
      </c>
      <c r="F212" s="2">
        <v>0</v>
      </c>
      <c r="G212" s="2">
        <v>1</v>
      </c>
      <c r="H212" s="2">
        <v>2</v>
      </c>
      <c r="I212" s="2">
        <v>2</v>
      </c>
      <c r="J212" s="2">
        <v>1</v>
      </c>
      <c r="K212" s="2">
        <v>1</v>
      </c>
      <c r="L212" s="2">
        <v>0</v>
      </c>
    </row>
    <row r="213" spans="1:12" x14ac:dyDescent="0.25">
      <c r="A213" s="1" t="s">
        <v>228</v>
      </c>
      <c r="B213" s="2" t="s">
        <v>13</v>
      </c>
      <c r="C213" s="2">
        <v>293</v>
      </c>
      <c r="D213" s="2">
        <v>44</v>
      </c>
      <c r="E213" s="2">
        <v>0</v>
      </c>
      <c r="F213" s="2">
        <v>0</v>
      </c>
      <c r="G213" s="2">
        <v>0.33300000000000002</v>
      </c>
      <c r="H213" s="2">
        <v>32</v>
      </c>
      <c r="I213" s="2">
        <v>153</v>
      </c>
      <c r="J213" s="2">
        <v>3</v>
      </c>
      <c r="K213" s="2">
        <v>50</v>
      </c>
      <c r="L213" s="2">
        <v>0</v>
      </c>
    </row>
    <row r="214" spans="1:12" x14ac:dyDescent="0.25">
      <c r="A214" s="1" t="s">
        <v>229</v>
      </c>
      <c r="B214" s="2" t="s">
        <v>35</v>
      </c>
      <c r="C214" s="2">
        <v>0</v>
      </c>
      <c r="D214" s="2">
        <v>0</v>
      </c>
      <c r="E214" s="2">
        <v>0</v>
      </c>
      <c r="F214" s="2">
        <v>1</v>
      </c>
      <c r="G214" s="2">
        <v>1</v>
      </c>
      <c r="H214" s="2">
        <v>0</v>
      </c>
      <c r="I214" s="2">
        <v>2</v>
      </c>
      <c r="J214" s="2">
        <v>1</v>
      </c>
      <c r="K214" s="2">
        <v>1</v>
      </c>
      <c r="L214" s="2">
        <v>0</v>
      </c>
    </row>
    <row r="215" spans="1:12" x14ac:dyDescent="0.25">
      <c r="A215" s="1" t="s">
        <v>230</v>
      </c>
      <c r="B215" s="2" t="s">
        <v>35</v>
      </c>
      <c r="C215" s="2">
        <v>0</v>
      </c>
      <c r="D215" s="2">
        <v>1</v>
      </c>
      <c r="E215" s="2">
        <v>0</v>
      </c>
      <c r="F215" s="2">
        <v>0</v>
      </c>
      <c r="G215" s="2">
        <v>1</v>
      </c>
      <c r="H215" s="2">
        <v>1</v>
      </c>
      <c r="I215" s="2">
        <v>2</v>
      </c>
      <c r="J215" s="2">
        <v>1</v>
      </c>
      <c r="K215" s="2">
        <v>1</v>
      </c>
      <c r="L215" s="2">
        <v>0</v>
      </c>
    </row>
    <row r="216" spans="1:12" x14ac:dyDescent="0.25">
      <c r="A216" s="1" t="s">
        <v>231</v>
      </c>
      <c r="B216" s="2" t="s">
        <v>13</v>
      </c>
      <c r="C216" s="2">
        <v>0</v>
      </c>
      <c r="D216" s="2">
        <v>2</v>
      </c>
      <c r="E216" s="2">
        <v>1</v>
      </c>
      <c r="F216" s="2">
        <v>0</v>
      </c>
      <c r="G216" s="2">
        <v>1</v>
      </c>
      <c r="H216" s="2">
        <v>3</v>
      </c>
      <c r="I216" s="2">
        <v>3</v>
      </c>
      <c r="J216" s="2">
        <v>1</v>
      </c>
      <c r="K216" s="2">
        <v>2</v>
      </c>
      <c r="L216" s="2">
        <v>0</v>
      </c>
    </row>
    <row r="217" spans="1:12" x14ac:dyDescent="0.25">
      <c r="A217" s="1" t="s">
        <v>232</v>
      </c>
      <c r="B217" s="2" t="s">
        <v>13</v>
      </c>
      <c r="C217" s="2">
        <v>0</v>
      </c>
      <c r="D217" s="2">
        <v>3</v>
      </c>
      <c r="E217" s="2">
        <v>1</v>
      </c>
      <c r="F217" s="2">
        <v>0</v>
      </c>
      <c r="G217" s="2">
        <v>1</v>
      </c>
      <c r="H217" s="2">
        <v>7</v>
      </c>
      <c r="I217" s="2">
        <v>13</v>
      </c>
      <c r="J217" s="2">
        <v>1</v>
      </c>
      <c r="K217" s="2">
        <v>3</v>
      </c>
      <c r="L217" s="2">
        <v>0</v>
      </c>
    </row>
    <row r="218" spans="1:12" x14ac:dyDescent="0.25">
      <c r="A218" s="1" t="s">
        <v>233</v>
      </c>
      <c r="B218" s="2" t="s">
        <v>35</v>
      </c>
      <c r="C218" s="2">
        <v>0</v>
      </c>
      <c r="D218" s="2">
        <v>1</v>
      </c>
      <c r="E218" s="2">
        <v>0</v>
      </c>
      <c r="F218" s="2">
        <v>0</v>
      </c>
      <c r="G218" s="2">
        <v>1</v>
      </c>
      <c r="H218" s="2">
        <v>1</v>
      </c>
      <c r="I218" s="2">
        <v>2</v>
      </c>
      <c r="J218" s="2">
        <v>1</v>
      </c>
      <c r="K218" s="2">
        <v>1</v>
      </c>
      <c r="L218" s="2">
        <v>0</v>
      </c>
    </row>
    <row r="219" spans="1:12" x14ac:dyDescent="0.25">
      <c r="A219" s="1" t="s">
        <v>234</v>
      </c>
      <c r="B219" s="2" t="s">
        <v>35</v>
      </c>
      <c r="C219" s="2">
        <v>0</v>
      </c>
      <c r="D219" s="2">
        <v>1</v>
      </c>
      <c r="E219" s="2">
        <v>0</v>
      </c>
      <c r="F219" s="2">
        <v>0</v>
      </c>
      <c r="G219" s="2">
        <v>1</v>
      </c>
      <c r="H219" s="2">
        <v>1</v>
      </c>
      <c r="I219" s="2">
        <v>2</v>
      </c>
      <c r="J219" s="2">
        <v>1</v>
      </c>
      <c r="K219" s="2">
        <v>1</v>
      </c>
      <c r="L219" s="2">
        <v>0</v>
      </c>
    </row>
    <row r="220" spans="1:12" x14ac:dyDescent="0.25">
      <c r="A220" s="1" t="s">
        <v>235</v>
      </c>
      <c r="B220" s="2" t="s">
        <v>35</v>
      </c>
      <c r="C220" s="2">
        <v>0</v>
      </c>
      <c r="D220" s="2">
        <v>1</v>
      </c>
      <c r="E220" s="2">
        <v>0</v>
      </c>
      <c r="F220" s="2">
        <v>0</v>
      </c>
      <c r="G220" s="2">
        <v>1</v>
      </c>
      <c r="H220" s="2">
        <v>1</v>
      </c>
      <c r="I220" s="2">
        <v>2</v>
      </c>
      <c r="J220" s="2">
        <v>2</v>
      </c>
      <c r="K220" s="2">
        <v>1</v>
      </c>
      <c r="L220" s="2">
        <v>0</v>
      </c>
    </row>
    <row r="221" spans="1:12" x14ac:dyDescent="0.25">
      <c r="A221" s="1" t="s">
        <v>236</v>
      </c>
      <c r="B221" s="2" t="s">
        <v>35</v>
      </c>
      <c r="C221" s="2">
        <v>1</v>
      </c>
      <c r="D221" s="2">
        <v>1</v>
      </c>
      <c r="E221" s="2">
        <v>0</v>
      </c>
      <c r="F221" s="2">
        <v>0</v>
      </c>
      <c r="G221" s="2">
        <v>1</v>
      </c>
      <c r="H221" s="2">
        <v>1</v>
      </c>
      <c r="I221" s="2">
        <v>2</v>
      </c>
      <c r="J221" s="2">
        <v>1</v>
      </c>
      <c r="K221" s="2">
        <v>1</v>
      </c>
      <c r="L221" s="2">
        <v>0</v>
      </c>
    </row>
    <row r="222" spans="1:12" x14ac:dyDescent="0.25">
      <c r="A222" s="1" t="s">
        <v>237</v>
      </c>
      <c r="B222" s="2" t="s">
        <v>35</v>
      </c>
      <c r="C222" s="2">
        <v>0</v>
      </c>
      <c r="D222" s="2">
        <v>1</v>
      </c>
      <c r="E222" s="2">
        <v>0</v>
      </c>
      <c r="F222" s="2">
        <v>0</v>
      </c>
      <c r="G222" s="2">
        <v>1</v>
      </c>
      <c r="H222" s="2">
        <v>1</v>
      </c>
      <c r="I222" s="2">
        <v>2</v>
      </c>
      <c r="J222" s="2">
        <v>1</v>
      </c>
      <c r="K222" s="2">
        <v>1</v>
      </c>
      <c r="L222" s="2">
        <v>0</v>
      </c>
    </row>
    <row r="223" spans="1:12" x14ac:dyDescent="0.25">
      <c r="A223" s="1" t="s">
        <v>238</v>
      </c>
      <c r="B223" s="2" t="s">
        <v>35</v>
      </c>
      <c r="C223" s="2">
        <v>0</v>
      </c>
      <c r="D223" s="2">
        <v>1</v>
      </c>
      <c r="E223" s="2">
        <v>0</v>
      </c>
      <c r="F223" s="2">
        <v>0</v>
      </c>
      <c r="G223" s="2">
        <v>1</v>
      </c>
      <c r="H223" s="2">
        <v>1</v>
      </c>
      <c r="I223" s="2">
        <v>2</v>
      </c>
      <c r="J223" s="2">
        <v>1</v>
      </c>
      <c r="K223" s="2">
        <v>1</v>
      </c>
      <c r="L223" s="2">
        <v>0</v>
      </c>
    </row>
    <row r="224" spans="1:12" x14ac:dyDescent="0.25">
      <c r="A224" s="1" t="s">
        <v>239</v>
      </c>
      <c r="B224" s="2" t="s">
        <v>35</v>
      </c>
      <c r="C224" s="2">
        <v>0</v>
      </c>
      <c r="D224" s="2">
        <v>1</v>
      </c>
      <c r="E224" s="2">
        <v>0</v>
      </c>
      <c r="F224" s="2">
        <v>0</v>
      </c>
      <c r="G224" s="2">
        <v>1</v>
      </c>
      <c r="H224" s="2">
        <v>1</v>
      </c>
      <c r="I224" s="2">
        <v>2</v>
      </c>
      <c r="J224" s="2">
        <v>1</v>
      </c>
      <c r="K224" s="2">
        <v>1</v>
      </c>
      <c r="L224" s="2">
        <v>0</v>
      </c>
    </row>
    <row r="225" spans="1:12" x14ac:dyDescent="0.25">
      <c r="A225" s="1" t="s">
        <v>240</v>
      </c>
      <c r="B225" s="2" t="s">
        <v>35</v>
      </c>
      <c r="C225" s="2">
        <v>0</v>
      </c>
      <c r="D225" s="2">
        <v>1</v>
      </c>
      <c r="E225" s="2">
        <v>0</v>
      </c>
      <c r="F225" s="2">
        <v>0</v>
      </c>
      <c r="G225" s="2">
        <v>1</v>
      </c>
      <c r="H225" s="2">
        <v>1</v>
      </c>
      <c r="I225" s="2">
        <v>2</v>
      </c>
      <c r="J225" s="2">
        <v>1</v>
      </c>
      <c r="K225" s="2">
        <v>1</v>
      </c>
      <c r="L225" s="2">
        <v>0</v>
      </c>
    </row>
    <row r="226" spans="1:12" x14ac:dyDescent="0.25">
      <c r="A226" s="1" t="s">
        <v>241</v>
      </c>
      <c r="B226" s="2" t="s">
        <v>13</v>
      </c>
      <c r="C226" s="2">
        <v>274</v>
      </c>
      <c r="D226" s="2">
        <v>49</v>
      </c>
      <c r="E226" s="2">
        <v>0</v>
      </c>
      <c r="F226" s="2">
        <v>0</v>
      </c>
      <c r="G226" s="2">
        <v>0.25</v>
      </c>
      <c r="H226" s="2">
        <v>21</v>
      </c>
      <c r="I226" s="2">
        <v>86</v>
      </c>
      <c r="J226" s="2">
        <v>2</v>
      </c>
      <c r="K226" s="2">
        <v>50</v>
      </c>
      <c r="L226" s="2">
        <v>1</v>
      </c>
    </row>
    <row r="227" spans="1:12" x14ac:dyDescent="0.25">
      <c r="A227" s="1" t="s">
        <v>242</v>
      </c>
      <c r="B227" s="2" t="s">
        <v>13</v>
      </c>
      <c r="C227" s="2">
        <v>0</v>
      </c>
      <c r="D227" s="2">
        <v>2</v>
      </c>
      <c r="E227" s="2">
        <v>1</v>
      </c>
      <c r="F227" s="2">
        <v>0</v>
      </c>
      <c r="G227" s="2">
        <v>1</v>
      </c>
      <c r="H227" s="2">
        <v>3</v>
      </c>
      <c r="I227" s="2">
        <v>3</v>
      </c>
      <c r="J227" s="2">
        <v>1</v>
      </c>
      <c r="K227" s="2">
        <v>2</v>
      </c>
      <c r="L227" s="2">
        <v>0</v>
      </c>
    </row>
    <row r="228" spans="1:12" x14ac:dyDescent="0.25">
      <c r="A228" s="1" t="s">
        <v>243</v>
      </c>
      <c r="B228" s="2" t="s">
        <v>35</v>
      </c>
      <c r="C228" s="2">
        <v>1</v>
      </c>
      <c r="D228" s="2">
        <v>1</v>
      </c>
      <c r="E228" s="2">
        <v>0</v>
      </c>
      <c r="F228" s="2">
        <v>0</v>
      </c>
      <c r="G228" s="2">
        <v>1</v>
      </c>
      <c r="H228" s="2">
        <v>1</v>
      </c>
      <c r="I228" s="2">
        <v>2</v>
      </c>
      <c r="J228" s="2">
        <v>1</v>
      </c>
      <c r="K228" s="2">
        <v>1</v>
      </c>
      <c r="L228" s="2">
        <v>0</v>
      </c>
    </row>
    <row r="229" spans="1:12" x14ac:dyDescent="0.25">
      <c r="A229" s="1" t="s">
        <v>244</v>
      </c>
      <c r="B229" s="2" t="s">
        <v>35</v>
      </c>
      <c r="C229" s="2">
        <v>1</v>
      </c>
      <c r="D229" s="2">
        <v>1</v>
      </c>
      <c r="E229" s="2">
        <v>0</v>
      </c>
      <c r="F229" s="2">
        <v>0</v>
      </c>
      <c r="G229" s="2">
        <v>1</v>
      </c>
      <c r="H229" s="2">
        <v>1</v>
      </c>
      <c r="I229" s="2">
        <v>2</v>
      </c>
      <c r="J229" s="2">
        <v>1</v>
      </c>
      <c r="K229" s="2">
        <v>1</v>
      </c>
      <c r="L229" s="2">
        <v>0</v>
      </c>
    </row>
    <row r="230" spans="1:12" x14ac:dyDescent="0.25">
      <c r="A230" s="1" t="s">
        <v>245</v>
      </c>
      <c r="B230" s="2" t="s">
        <v>13</v>
      </c>
      <c r="C230" s="2">
        <v>288</v>
      </c>
      <c r="D230" s="2">
        <v>35</v>
      </c>
      <c r="E230" s="2">
        <v>0</v>
      </c>
      <c r="F230" s="2">
        <v>0</v>
      </c>
      <c r="G230" s="2">
        <v>0.33300000000000002</v>
      </c>
      <c r="H230" s="2">
        <v>41</v>
      </c>
      <c r="I230" s="2">
        <v>155</v>
      </c>
      <c r="J230" s="2">
        <v>2</v>
      </c>
      <c r="K230" s="2">
        <v>39</v>
      </c>
      <c r="L230" s="2">
        <v>0</v>
      </c>
    </row>
    <row r="231" spans="1:12" x14ac:dyDescent="0.25">
      <c r="A231" s="1" t="s">
        <v>246</v>
      </c>
      <c r="B231" s="2" t="s">
        <v>35</v>
      </c>
      <c r="C231" s="2">
        <v>1</v>
      </c>
      <c r="D231" s="2">
        <v>1</v>
      </c>
      <c r="E231" s="2">
        <v>0</v>
      </c>
      <c r="F231" s="2">
        <v>0</v>
      </c>
      <c r="G231" s="2">
        <v>1</v>
      </c>
      <c r="H231" s="2">
        <v>2</v>
      </c>
      <c r="I231" s="2">
        <v>2</v>
      </c>
      <c r="J231" s="2">
        <v>1</v>
      </c>
      <c r="K231" s="2">
        <v>1</v>
      </c>
      <c r="L231" s="2">
        <v>0</v>
      </c>
    </row>
    <row r="232" spans="1:12" x14ac:dyDescent="0.25">
      <c r="A232" s="1" t="s">
        <v>247</v>
      </c>
      <c r="B232" s="2" t="s">
        <v>35</v>
      </c>
      <c r="C232" s="2">
        <v>1</v>
      </c>
      <c r="D232" s="2">
        <v>1</v>
      </c>
      <c r="E232" s="2">
        <v>0</v>
      </c>
      <c r="F232" s="2">
        <v>0</v>
      </c>
      <c r="G232" s="2">
        <v>1</v>
      </c>
      <c r="H232" s="2">
        <v>2</v>
      </c>
      <c r="I232" s="2">
        <v>2</v>
      </c>
      <c r="J232" s="2">
        <v>1</v>
      </c>
      <c r="K232" s="2">
        <v>1</v>
      </c>
      <c r="L232" s="2">
        <v>0</v>
      </c>
    </row>
    <row r="233" spans="1:12" x14ac:dyDescent="0.25">
      <c r="A233" s="1" t="s">
        <v>248</v>
      </c>
      <c r="B233" s="2" t="s">
        <v>13</v>
      </c>
      <c r="C233" s="2">
        <v>0</v>
      </c>
      <c r="D233" s="2">
        <v>2</v>
      </c>
      <c r="E233" s="2">
        <v>1</v>
      </c>
      <c r="F233" s="2">
        <v>0</v>
      </c>
      <c r="G233" s="2">
        <v>1</v>
      </c>
      <c r="H233" s="2">
        <v>3</v>
      </c>
      <c r="I233" s="2">
        <v>3</v>
      </c>
      <c r="J233" s="2">
        <v>1</v>
      </c>
      <c r="K233" s="2">
        <v>2</v>
      </c>
      <c r="L233" s="2">
        <v>0</v>
      </c>
    </row>
    <row r="234" spans="1:12" x14ac:dyDescent="0.25">
      <c r="A234" s="1" t="s">
        <v>249</v>
      </c>
      <c r="B234" s="2" t="s">
        <v>35</v>
      </c>
      <c r="C234" s="2">
        <v>1</v>
      </c>
      <c r="D234" s="2">
        <v>1</v>
      </c>
      <c r="E234" s="2">
        <v>0</v>
      </c>
      <c r="F234" s="2">
        <v>0</v>
      </c>
      <c r="G234" s="2">
        <v>1</v>
      </c>
      <c r="H234" s="2">
        <v>2</v>
      </c>
      <c r="I234" s="2">
        <v>2</v>
      </c>
      <c r="J234" s="2">
        <v>1</v>
      </c>
      <c r="K234" s="2">
        <v>1</v>
      </c>
      <c r="L234" s="2">
        <v>0</v>
      </c>
    </row>
    <row r="235" spans="1:12" x14ac:dyDescent="0.25">
      <c r="A235" s="1" t="s">
        <v>250</v>
      </c>
      <c r="B235" s="2" t="s">
        <v>35</v>
      </c>
      <c r="C235" s="2">
        <v>1</v>
      </c>
      <c r="D235" s="2">
        <v>1</v>
      </c>
      <c r="E235" s="2">
        <v>0</v>
      </c>
      <c r="F235" s="2">
        <v>0</v>
      </c>
      <c r="G235" s="2">
        <v>1</v>
      </c>
      <c r="H235" s="2">
        <v>2</v>
      </c>
      <c r="I235" s="2">
        <v>2</v>
      </c>
      <c r="J235" s="2">
        <v>1</v>
      </c>
      <c r="K235" s="2">
        <v>1</v>
      </c>
      <c r="L235" s="2">
        <v>0</v>
      </c>
    </row>
    <row r="236" spans="1:12" x14ac:dyDescent="0.25">
      <c r="A236" s="1" t="s">
        <v>251</v>
      </c>
      <c r="B236" s="2" t="s">
        <v>35</v>
      </c>
      <c r="C236" s="2">
        <v>0</v>
      </c>
      <c r="D236" s="2">
        <v>1</v>
      </c>
      <c r="E236" s="2">
        <v>0</v>
      </c>
      <c r="F236" s="2">
        <v>0</v>
      </c>
      <c r="G236" s="2">
        <v>1</v>
      </c>
      <c r="H236" s="2">
        <v>1</v>
      </c>
      <c r="I236" s="2">
        <v>2</v>
      </c>
      <c r="J236" s="2">
        <v>1</v>
      </c>
      <c r="K236" s="2">
        <v>1</v>
      </c>
      <c r="L236" s="2">
        <v>0</v>
      </c>
    </row>
    <row r="237" spans="1:12" x14ac:dyDescent="0.25">
      <c r="A237" s="1" t="s">
        <v>252</v>
      </c>
      <c r="B237" s="2" t="s">
        <v>35</v>
      </c>
      <c r="C237" s="2">
        <v>0</v>
      </c>
      <c r="D237" s="2">
        <v>1</v>
      </c>
      <c r="E237" s="2">
        <v>0</v>
      </c>
      <c r="F237" s="2">
        <v>0</v>
      </c>
      <c r="G237" s="2">
        <v>1</v>
      </c>
      <c r="H237" s="2">
        <v>1</v>
      </c>
      <c r="I237" s="2">
        <v>2</v>
      </c>
      <c r="J237" s="2">
        <v>1</v>
      </c>
      <c r="K237" s="2">
        <v>1</v>
      </c>
      <c r="L237" s="2">
        <v>0</v>
      </c>
    </row>
    <row r="238" spans="1:12" x14ac:dyDescent="0.25">
      <c r="A238" s="1" t="s">
        <v>253</v>
      </c>
      <c r="B238" s="2" t="s">
        <v>35</v>
      </c>
      <c r="C238" s="2">
        <v>1</v>
      </c>
      <c r="D238" s="2">
        <v>1</v>
      </c>
      <c r="E238" s="2">
        <v>0</v>
      </c>
      <c r="F238" s="2">
        <v>0</v>
      </c>
      <c r="G238" s="2">
        <v>1</v>
      </c>
      <c r="H238" s="2">
        <v>2</v>
      </c>
      <c r="I238" s="2">
        <v>2</v>
      </c>
      <c r="J238" s="2">
        <v>1</v>
      </c>
      <c r="K238" s="2">
        <v>1</v>
      </c>
      <c r="L238" s="2">
        <v>0</v>
      </c>
    </row>
    <row r="239" spans="1:12" x14ac:dyDescent="0.25">
      <c r="A239" s="1" t="s">
        <v>254</v>
      </c>
      <c r="B239" s="2" t="s">
        <v>35</v>
      </c>
      <c r="C239" s="2">
        <v>1</v>
      </c>
      <c r="D239" s="2">
        <v>1</v>
      </c>
      <c r="E239" s="2">
        <v>0</v>
      </c>
      <c r="F239" s="2">
        <v>0</v>
      </c>
      <c r="G239" s="2">
        <v>1</v>
      </c>
      <c r="H239" s="2">
        <v>2</v>
      </c>
      <c r="I239" s="2">
        <v>2</v>
      </c>
      <c r="J239" s="2">
        <v>1</v>
      </c>
      <c r="K239" s="2">
        <v>1</v>
      </c>
      <c r="L239" s="2">
        <v>0</v>
      </c>
    </row>
    <row r="240" spans="1:12" x14ac:dyDescent="0.25">
      <c r="A240" s="1" t="s">
        <v>255</v>
      </c>
      <c r="B240" s="2" t="s">
        <v>35</v>
      </c>
      <c r="C240" s="2">
        <v>0</v>
      </c>
      <c r="D240" s="2">
        <v>3</v>
      </c>
      <c r="E240" s="2">
        <v>1</v>
      </c>
      <c r="F240" s="2">
        <v>1</v>
      </c>
      <c r="G240" s="2">
        <v>1</v>
      </c>
      <c r="H240" s="2">
        <v>0</v>
      </c>
      <c r="I240" s="2">
        <v>6</v>
      </c>
      <c r="J240" s="2">
        <v>2</v>
      </c>
      <c r="K240" s="2">
        <v>3</v>
      </c>
      <c r="L240" s="2">
        <v>0</v>
      </c>
    </row>
    <row r="241" spans="1:12" x14ac:dyDescent="0.25">
      <c r="A241" s="1" t="s">
        <v>256</v>
      </c>
      <c r="B241" s="2" t="s">
        <v>35</v>
      </c>
      <c r="C241" s="2">
        <v>0</v>
      </c>
      <c r="D241" s="2">
        <v>45</v>
      </c>
      <c r="E241" s="2">
        <v>78</v>
      </c>
      <c r="F241" s="2">
        <v>1</v>
      </c>
      <c r="G241" s="2">
        <v>0.25</v>
      </c>
      <c r="H241" s="2">
        <v>4</v>
      </c>
      <c r="I241" s="2">
        <v>79</v>
      </c>
      <c r="J241" s="2">
        <v>6</v>
      </c>
      <c r="K241" s="2">
        <v>49</v>
      </c>
      <c r="L241" s="2">
        <v>2</v>
      </c>
    </row>
    <row r="242" spans="1:12" x14ac:dyDescent="0.25">
      <c r="A242" s="1" t="s">
        <v>257</v>
      </c>
      <c r="B242" s="2" t="s">
        <v>35</v>
      </c>
      <c r="C242" s="2">
        <v>0</v>
      </c>
      <c r="D242" s="2">
        <v>4</v>
      </c>
      <c r="E242" s="2">
        <v>4</v>
      </c>
      <c r="F242" s="2">
        <v>1</v>
      </c>
      <c r="G242" s="2">
        <v>1</v>
      </c>
      <c r="H242" s="2">
        <v>2</v>
      </c>
      <c r="I242" s="2">
        <v>23</v>
      </c>
      <c r="J242" s="2">
        <v>1</v>
      </c>
      <c r="K242" s="2">
        <v>5</v>
      </c>
      <c r="L242" s="2">
        <v>0</v>
      </c>
    </row>
    <row r="243" spans="1:12" x14ac:dyDescent="0.25">
      <c r="A243" s="1" t="s">
        <v>258</v>
      </c>
      <c r="B243" s="2" t="s">
        <v>35</v>
      </c>
      <c r="C243" s="2">
        <v>0</v>
      </c>
      <c r="D243" s="2">
        <v>3</v>
      </c>
      <c r="E243" s="2">
        <v>1</v>
      </c>
      <c r="F243" s="2">
        <v>1</v>
      </c>
      <c r="G243" s="2">
        <v>0.5</v>
      </c>
      <c r="H243" s="2">
        <v>0</v>
      </c>
      <c r="I243" s="2">
        <v>8</v>
      </c>
      <c r="J243" s="2">
        <v>1</v>
      </c>
      <c r="K243" s="2">
        <v>3</v>
      </c>
      <c r="L243" s="2">
        <v>0</v>
      </c>
    </row>
    <row r="244" spans="1:12" x14ac:dyDescent="0.25">
      <c r="A244" s="1" t="s">
        <v>259</v>
      </c>
      <c r="B244" s="2" t="s">
        <v>56</v>
      </c>
      <c r="C244" s="2">
        <v>0</v>
      </c>
      <c r="D244" s="2">
        <v>15</v>
      </c>
      <c r="E244" s="2">
        <v>0</v>
      </c>
      <c r="F244" s="2">
        <v>3</v>
      </c>
      <c r="G244" s="2">
        <v>1</v>
      </c>
      <c r="H244" s="2">
        <v>1</v>
      </c>
      <c r="I244" s="2">
        <v>24</v>
      </c>
      <c r="J244" s="2">
        <v>0</v>
      </c>
      <c r="K244" s="2">
        <v>16</v>
      </c>
      <c r="L244" s="2">
        <v>0</v>
      </c>
    </row>
    <row r="245" spans="1:12" x14ac:dyDescent="0.25">
      <c r="A245" s="1" t="s">
        <v>260</v>
      </c>
      <c r="B245" s="2" t="s">
        <v>35</v>
      </c>
      <c r="C245" s="2">
        <v>7</v>
      </c>
      <c r="D245" s="2">
        <v>15</v>
      </c>
      <c r="E245" s="2">
        <v>0</v>
      </c>
      <c r="F245" s="2">
        <v>1</v>
      </c>
      <c r="G245" s="2">
        <v>1</v>
      </c>
      <c r="H245" s="2">
        <v>0</v>
      </c>
      <c r="I245" s="2">
        <v>23</v>
      </c>
      <c r="J245" s="2">
        <v>3</v>
      </c>
      <c r="K245" s="2">
        <v>16</v>
      </c>
      <c r="L245" s="2">
        <v>0</v>
      </c>
    </row>
    <row r="246" spans="1:12" x14ac:dyDescent="0.25">
      <c r="A246" s="1" t="s">
        <v>261</v>
      </c>
      <c r="B246" s="2" t="s">
        <v>13</v>
      </c>
      <c r="C246" s="2">
        <v>1</v>
      </c>
      <c r="D246" s="2">
        <v>27</v>
      </c>
      <c r="E246" s="2">
        <v>0</v>
      </c>
      <c r="F246" s="2">
        <v>1</v>
      </c>
      <c r="G246" s="2">
        <v>0.5</v>
      </c>
      <c r="H246" s="2">
        <v>5</v>
      </c>
      <c r="I246" s="2">
        <v>69</v>
      </c>
      <c r="J246" s="2">
        <v>12</v>
      </c>
      <c r="K246" s="2">
        <v>29</v>
      </c>
      <c r="L246" s="2">
        <v>0</v>
      </c>
    </row>
    <row r="247" spans="1:12" x14ac:dyDescent="0.25">
      <c r="A247" s="1" t="s">
        <v>262</v>
      </c>
      <c r="B247" s="2" t="s">
        <v>15</v>
      </c>
      <c r="C247" s="2">
        <v>0</v>
      </c>
      <c r="D247" s="2">
        <v>15</v>
      </c>
      <c r="E247" s="2">
        <v>0</v>
      </c>
      <c r="F247" s="2">
        <v>1</v>
      </c>
      <c r="G247" s="2">
        <v>1</v>
      </c>
      <c r="H247" s="2">
        <v>1</v>
      </c>
      <c r="I247" s="2">
        <v>15</v>
      </c>
      <c r="J247" s="2">
        <v>22</v>
      </c>
      <c r="K247" s="2">
        <v>15</v>
      </c>
      <c r="L247" s="2">
        <v>0</v>
      </c>
    </row>
    <row r="248" spans="1:12" x14ac:dyDescent="0.25">
      <c r="A248" s="1" t="s">
        <v>263</v>
      </c>
      <c r="B248" s="2" t="s">
        <v>35</v>
      </c>
      <c r="C248" s="2">
        <v>0</v>
      </c>
      <c r="D248" s="2">
        <v>2</v>
      </c>
      <c r="E248" s="2">
        <v>1</v>
      </c>
      <c r="F248" s="2">
        <v>4</v>
      </c>
      <c r="G248" s="2">
        <v>1</v>
      </c>
      <c r="H248" s="2">
        <v>0</v>
      </c>
      <c r="I248" s="2">
        <v>7</v>
      </c>
      <c r="J248" s="2">
        <v>5</v>
      </c>
      <c r="K248" s="2">
        <v>2</v>
      </c>
      <c r="L248" s="2">
        <v>1</v>
      </c>
    </row>
    <row r="249" spans="1:12" x14ac:dyDescent="0.25">
      <c r="A249" s="1" t="s">
        <v>264</v>
      </c>
      <c r="B249" s="2" t="s">
        <v>15</v>
      </c>
      <c r="C249" s="2">
        <v>1</v>
      </c>
      <c r="D249" s="2">
        <v>2</v>
      </c>
      <c r="E249" s="2">
        <v>0</v>
      </c>
      <c r="F249" s="2">
        <v>1</v>
      </c>
      <c r="G249" s="2">
        <v>1</v>
      </c>
      <c r="H249" s="2">
        <v>0</v>
      </c>
      <c r="I249" s="2">
        <v>3</v>
      </c>
      <c r="J249" s="2">
        <v>0</v>
      </c>
      <c r="K249" s="2">
        <v>2</v>
      </c>
      <c r="L249" s="2">
        <v>0</v>
      </c>
    </row>
    <row r="250" spans="1:12" x14ac:dyDescent="0.25">
      <c r="A250" s="1" t="s">
        <v>265</v>
      </c>
      <c r="B250" s="2" t="s">
        <v>35</v>
      </c>
      <c r="C250" s="2">
        <v>0</v>
      </c>
      <c r="D250" s="2">
        <v>11</v>
      </c>
      <c r="E250" s="2">
        <v>0</v>
      </c>
      <c r="F250" s="2">
        <v>5</v>
      </c>
      <c r="G250" s="2">
        <v>0.5</v>
      </c>
      <c r="H250" s="2">
        <v>0</v>
      </c>
      <c r="I250" s="2">
        <v>25</v>
      </c>
      <c r="J250" s="2">
        <v>5</v>
      </c>
      <c r="K250" s="2">
        <v>11</v>
      </c>
      <c r="L250" s="2">
        <v>0</v>
      </c>
    </row>
    <row r="251" spans="1:12" x14ac:dyDescent="0.25">
      <c r="A251" s="1" t="s">
        <v>266</v>
      </c>
      <c r="B251" s="2" t="s">
        <v>35</v>
      </c>
      <c r="C251" s="2">
        <v>1</v>
      </c>
      <c r="D251" s="2">
        <v>3</v>
      </c>
      <c r="E251" s="2">
        <v>4</v>
      </c>
      <c r="F251" s="2">
        <v>1</v>
      </c>
      <c r="G251" s="2">
        <v>0.5</v>
      </c>
      <c r="H251" s="2">
        <v>0</v>
      </c>
      <c r="I251" s="2">
        <v>13</v>
      </c>
      <c r="J251" s="2">
        <v>20</v>
      </c>
      <c r="K251" s="2">
        <v>4</v>
      </c>
      <c r="L251" s="2">
        <v>0</v>
      </c>
    </row>
    <row r="252" spans="1:12" x14ac:dyDescent="0.25">
      <c r="A252" s="1" t="s">
        <v>267</v>
      </c>
      <c r="B252" s="2" t="s">
        <v>13</v>
      </c>
      <c r="C252" s="2">
        <v>8</v>
      </c>
      <c r="D252" s="2">
        <v>53</v>
      </c>
      <c r="E252" s="2">
        <v>1505</v>
      </c>
      <c r="F252" s="2">
        <v>1</v>
      </c>
      <c r="G252" s="2">
        <v>9.0999999999999998E-2</v>
      </c>
      <c r="H252" s="2">
        <v>22</v>
      </c>
      <c r="I252" s="2">
        <v>175</v>
      </c>
      <c r="J252" s="2">
        <v>18</v>
      </c>
      <c r="K252" s="2">
        <v>62</v>
      </c>
      <c r="L252" s="2">
        <v>0</v>
      </c>
    </row>
    <row r="253" spans="1:12" x14ac:dyDescent="0.25">
      <c r="A253" s="1" t="s">
        <v>268</v>
      </c>
      <c r="B253" s="2" t="s">
        <v>15</v>
      </c>
      <c r="C253" s="2">
        <v>0</v>
      </c>
      <c r="D253" s="2">
        <v>4</v>
      </c>
      <c r="E253" s="2">
        <v>0</v>
      </c>
      <c r="F253" s="2">
        <v>1</v>
      </c>
      <c r="G253" s="2">
        <v>1</v>
      </c>
      <c r="H253" s="2">
        <v>2</v>
      </c>
      <c r="I253" s="2">
        <v>4</v>
      </c>
      <c r="J253" s="2">
        <v>2</v>
      </c>
      <c r="K253" s="2">
        <v>4</v>
      </c>
      <c r="L253" s="2">
        <v>0</v>
      </c>
    </row>
    <row r="254" spans="1:12" x14ac:dyDescent="0.25">
      <c r="A254" s="1" t="s">
        <v>269</v>
      </c>
      <c r="B254" s="2" t="s">
        <v>13</v>
      </c>
      <c r="C254" s="2">
        <v>0</v>
      </c>
      <c r="D254" s="2">
        <v>2</v>
      </c>
      <c r="E254" s="2">
        <v>0</v>
      </c>
      <c r="F254" s="2">
        <v>0</v>
      </c>
      <c r="G254" s="2">
        <v>1</v>
      </c>
      <c r="H254" s="2">
        <v>9</v>
      </c>
      <c r="I254" s="2">
        <v>47</v>
      </c>
      <c r="J254" s="2">
        <v>1</v>
      </c>
      <c r="K254" s="2">
        <v>12</v>
      </c>
      <c r="L254" s="2">
        <v>0</v>
      </c>
    </row>
    <row r="255" spans="1:12" x14ac:dyDescent="0.25">
      <c r="A255" s="1" t="s">
        <v>270</v>
      </c>
      <c r="B255" s="2" t="s">
        <v>13</v>
      </c>
      <c r="C255" s="2">
        <v>4</v>
      </c>
      <c r="D255" s="2">
        <v>3</v>
      </c>
      <c r="E255" s="2">
        <v>0</v>
      </c>
      <c r="F255" s="2">
        <v>1</v>
      </c>
      <c r="G255" s="2">
        <v>1</v>
      </c>
      <c r="H255" s="2">
        <v>1</v>
      </c>
      <c r="I255" s="2">
        <v>15</v>
      </c>
      <c r="J255" s="2">
        <v>6</v>
      </c>
      <c r="K255" s="2">
        <v>4</v>
      </c>
      <c r="L255" s="2">
        <v>0</v>
      </c>
    </row>
    <row r="256" spans="1:12" x14ac:dyDescent="0.25">
      <c r="A256" s="1" t="s">
        <v>271</v>
      </c>
      <c r="B256" s="2" t="s">
        <v>13</v>
      </c>
      <c r="C256" s="2">
        <v>10</v>
      </c>
      <c r="D256" s="2">
        <v>11</v>
      </c>
      <c r="E256" s="2">
        <v>0</v>
      </c>
      <c r="F256" s="2">
        <v>1</v>
      </c>
      <c r="G256" s="2">
        <v>1</v>
      </c>
      <c r="H256" s="2">
        <v>6</v>
      </c>
      <c r="I256" s="2">
        <v>38</v>
      </c>
      <c r="J256" s="2">
        <v>13</v>
      </c>
      <c r="K256" s="2">
        <v>12</v>
      </c>
      <c r="L256" s="2">
        <v>4</v>
      </c>
    </row>
    <row r="257" spans="1:12" x14ac:dyDescent="0.25">
      <c r="A257" s="1" t="s">
        <v>272</v>
      </c>
      <c r="B257" s="2" t="s">
        <v>13</v>
      </c>
      <c r="C257" s="2">
        <v>0</v>
      </c>
      <c r="D257" s="2">
        <v>9</v>
      </c>
      <c r="E257" s="2">
        <v>8</v>
      </c>
      <c r="F257" s="2">
        <v>1</v>
      </c>
      <c r="G257" s="2">
        <v>1</v>
      </c>
      <c r="H257" s="2">
        <v>8</v>
      </c>
      <c r="I257" s="2">
        <v>48</v>
      </c>
      <c r="J257" s="2">
        <v>1</v>
      </c>
      <c r="K257" s="2">
        <v>9</v>
      </c>
      <c r="L257" s="2">
        <v>0</v>
      </c>
    </row>
    <row r="258" spans="1:12" x14ac:dyDescent="0.25">
      <c r="A258" s="1" t="s">
        <v>273</v>
      </c>
      <c r="B258" s="2" t="s">
        <v>13</v>
      </c>
      <c r="C258" s="2">
        <v>8</v>
      </c>
      <c r="D258" s="2">
        <v>24</v>
      </c>
      <c r="E258" s="2">
        <v>34</v>
      </c>
      <c r="F258" s="2">
        <v>1</v>
      </c>
      <c r="G258" s="2">
        <v>0.2</v>
      </c>
      <c r="H258" s="2">
        <v>14</v>
      </c>
      <c r="I258" s="2">
        <v>82</v>
      </c>
      <c r="J258" s="2">
        <v>16</v>
      </c>
      <c r="K258" s="2">
        <v>25</v>
      </c>
      <c r="L258" s="2">
        <v>0</v>
      </c>
    </row>
    <row r="259" spans="1:12" x14ac:dyDescent="0.25">
      <c r="A259" s="1" t="s">
        <v>274</v>
      </c>
      <c r="B259" s="2" t="s">
        <v>13</v>
      </c>
      <c r="C259" s="2">
        <v>2</v>
      </c>
      <c r="D259" s="2">
        <v>9</v>
      </c>
      <c r="E259" s="2">
        <v>0</v>
      </c>
      <c r="F259" s="2">
        <v>1</v>
      </c>
      <c r="G259" s="2">
        <v>1</v>
      </c>
      <c r="H259" s="2">
        <v>3</v>
      </c>
      <c r="I259" s="2">
        <v>20</v>
      </c>
      <c r="J259" s="2">
        <v>3</v>
      </c>
      <c r="K259" s="2">
        <v>11</v>
      </c>
      <c r="L259" s="2">
        <v>0</v>
      </c>
    </row>
    <row r="260" spans="1:12" x14ac:dyDescent="0.25">
      <c r="A260" s="1" t="s">
        <v>275</v>
      </c>
      <c r="B260" s="2" t="s">
        <v>13</v>
      </c>
      <c r="C260" s="2">
        <v>2</v>
      </c>
      <c r="D260" s="2">
        <v>6</v>
      </c>
      <c r="E260" s="2">
        <v>9</v>
      </c>
      <c r="F260" s="2">
        <v>1</v>
      </c>
      <c r="G260" s="2">
        <v>1</v>
      </c>
      <c r="H260" s="2">
        <v>19</v>
      </c>
      <c r="I260" s="2">
        <v>59</v>
      </c>
      <c r="J260" s="2">
        <v>1</v>
      </c>
      <c r="K260" s="2">
        <v>11</v>
      </c>
      <c r="L260" s="2">
        <v>0</v>
      </c>
    </row>
    <row r="261" spans="1:12" x14ac:dyDescent="0.25">
      <c r="A261" s="1" t="s">
        <v>276</v>
      </c>
      <c r="B261" s="2" t="s">
        <v>13</v>
      </c>
      <c r="C261" s="2">
        <v>105</v>
      </c>
      <c r="D261" s="2">
        <v>45</v>
      </c>
      <c r="E261" s="2">
        <v>809</v>
      </c>
      <c r="F261" s="2">
        <v>1</v>
      </c>
      <c r="G261" s="2">
        <v>0.16700000000000001</v>
      </c>
      <c r="H261" s="2">
        <v>34</v>
      </c>
      <c r="I261" s="2">
        <v>124</v>
      </c>
      <c r="J261" s="2">
        <v>32</v>
      </c>
      <c r="K261" s="2">
        <v>53</v>
      </c>
      <c r="L261" s="2">
        <v>0</v>
      </c>
    </row>
    <row r="262" spans="1:12" x14ac:dyDescent="0.25">
      <c r="A262" s="1" t="s">
        <v>277</v>
      </c>
      <c r="B262" s="2" t="s">
        <v>35</v>
      </c>
      <c r="C262" s="2">
        <v>0</v>
      </c>
      <c r="D262" s="2">
        <v>0</v>
      </c>
      <c r="E262" s="2">
        <v>0</v>
      </c>
      <c r="F262" s="2">
        <v>0</v>
      </c>
      <c r="G262" s="2">
        <v>1</v>
      </c>
      <c r="H262" s="2">
        <v>1</v>
      </c>
      <c r="I262" s="2">
        <v>3</v>
      </c>
      <c r="J262" s="2">
        <v>1</v>
      </c>
      <c r="K262" s="2">
        <v>1</v>
      </c>
      <c r="L262" s="2">
        <v>0</v>
      </c>
    </row>
    <row r="263" spans="1:12" x14ac:dyDescent="0.25">
      <c r="A263" s="1" t="s">
        <v>278</v>
      </c>
      <c r="B263" s="2" t="s">
        <v>35</v>
      </c>
      <c r="C263" s="2">
        <v>0</v>
      </c>
      <c r="D263" s="2">
        <v>0</v>
      </c>
      <c r="E263" s="2">
        <v>0</v>
      </c>
      <c r="F263" s="2">
        <v>0</v>
      </c>
      <c r="G263" s="2">
        <v>1</v>
      </c>
      <c r="H263" s="2">
        <v>1</v>
      </c>
      <c r="I263" s="2">
        <v>3</v>
      </c>
      <c r="J263" s="2">
        <v>1</v>
      </c>
      <c r="K263" s="2">
        <v>1</v>
      </c>
      <c r="L263" s="2">
        <v>0</v>
      </c>
    </row>
    <row r="264" spans="1:12" x14ac:dyDescent="0.25">
      <c r="A264" s="1" t="s">
        <v>279</v>
      </c>
      <c r="B264" s="2" t="s">
        <v>35</v>
      </c>
      <c r="C264" s="2">
        <v>0</v>
      </c>
      <c r="D264" s="2">
        <v>0</v>
      </c>
      <c r="E264" s="2">
        <v>0</v>
      </c>
      <c r="F264" s="2">
        <v>3</v>
      </c>
      <c r="G264" s="2">
        <v>1</v>
      </c>
      <c r="H264" s="2">
        <v>0</v>
      </c>
      <c r="I264" s="2">
        <v>4</v>
      </c>
      <c r="J264" s="2">
        <v>1</v>
      </c>
      <c r="K264" s="2">
        <v>1</v>
      </c>
      <c r="L264" s="2">
        <v>0</v>
      </c>
    </row>
    <row r="265" spans="1:12" x14ac:dyDescent="0.25">
      <c r="A265" s="1" t="s">
        <v>280</v>
      </c>
      <c r="B265" s="2" t="s">
        <v>13</v>
      </c>
      <c r="C265" s="2">
        <v>0</v>
      </c>
      <c r="D265" s="2">
        <v>4</v>
      </c>
      <c r="E265" s="2">
        <v>6</v>
      </c>
      <c r="F265" s="2">
        <v>1</v>
      </c>
      <c r="G265" s="2">
        <v>0.33300000000000002</v>
      </c>
      <c r="H265" s="2">
        <v>4</v>
      </c>
      <c r="I265" s="2">
        <v>11</v>
      </c>
      <c r="J265" s="2">
        <v>1</v>
      </c>
      <c r="K265" s="2">
        <v>5</v>
      </c>
      <c r="L265" s="2">
        <v>0</v>
      </c>
    </row>
    <row r="266" spans="1:12" x14ac:dyDescent="0.25">
      <c r="A266" s="1" t="s">
        <v>281</v>
      </c>
      <c r="B266" s="2" t="s">
        <v>35</v>
      </c>
      <c r="C266" s="2">
        <v>0</v>
      </c>
      <c r="D266" s="2">
        <v>4</v>
      </c>
      <c r="E266" s="2">
        <v>10</v>
      </c>
      <c r="F266" s="2">
        <v>1</v>
      </c>
      <c r="G266" s="2">
        <v>0.25</v>
      </c>
      <c r="H266" s="2">
        <v>2</v>
      </c>
      <c r="I266" s="2">
        <v>11</v>
      </c>
      <c r="J266" s="2">
        <v>1</v>
      </c>
      <c r="K266" s="2">
        <v>5</v>
      </c>
      <c r="L266" s="2">
        <v>0</v>
      </c>
    </row>
    <row r="267" spans="1:12" x14ac:dyDescent="0.25">
      <c r="A267" s="1" t="s">
        <v>282</v>
      </c>
      <c r="B267" s="2" t="s">
        <v>35</v>
      </c>
      <c r="C267" s="2">
        <v>0</v>
      </c>
      <c r="D267" s="2">
        <v>4</v>
      </c>
      <c r="E267" s="2">
        <v>10</v>
      </c>
      <c r="F267" s="2">
        <v>1</v>
      </c>
      <c r="G267" s="2">
        <v>0.25</v>
      </c>
      <c r="H267" s="2">
        <v>2</v>
      </c>
      <c r="I267" s="2">
        <v>6</v>
      </c>
      <c r="J267" s="2">
        <v>1</v>
      </c>
      <c r="K267" s="2">
        <v>5</v>
      </c>
      <c r="L267" s="2">
        <v>0</v>
      </c>
    </row>
    <row r="268" spans="1:12" x14ac:dyDescent="0.25">
      <c r="A268" s="1" t="s">
        <v>283</v>
      </c>
      <c r="B268" s="2" t="s">
        <v>13</v>
      </c>
      <c r="C268" s="2">
        <v>0</v>
      </c>
      <c r="D268" s="2">
        <v>4</v>
      </c>
      <c r="E268" s="2">
        <v>10</v>
      </c>
      <c r="F268" s="2">
        <v>1</v>
      </c>
      <c r="G268" s="2">
        <v>0.25</v>
      </c>
      <c r="H268" s="2">
        <v>3</v>
      </c>
      <c r="I268" s="2">
        <v>8</v>
      </c>
      <c r="J268" s="2">
        <v>1</v>
      </c>
      <c r="K268" s="2">
        <v>5</v>
      </c>
      <c r="L268" s="2">
        <v>0</v>
      </c>
    </row>
    <row r="269" spans="1:12" x14ac:dyDescent="0.25">
      <c r="A269" s="1" t="s">
        <v>284</v>
      </c>
      <c r="B269" s="2" t="s">
        <v>35</v>
      </c>
      <c r="C269" s="2">
        <v>5</v>
      </c>
      <c r="D269" s="2">
        <v>0</v>
      </c>
      <c r="E269" s="2">
        <v>0</v>
      </c>
      <c r="F269" s="2">
        <v>1</v>
      </c>
      <c r="G269" s="2">
        <v>1</v>
      </c>
      <c r="H269" s="2">
        <v>1</v>
      </c>
      <c r="I269" s="2">
        <v>3</v>
      </c>
      <c r="J269" s="2">
        <v>2</v>
      </c>
      <c r="K269" s="2">
        <v>1</v>
      </c>
      <c r="L269" s="2">
        <v>0</v>
      </c>
    </row>
    <row r="270" spans="1:12" x14ac:dyDescent="0.25">
      <c r="A270" s="1" t="s">
        <v>285</v>
      </c>
      <c r="B270" s="2" t="s">
        <v>13</v>
      </c>
      <c r="C270" s="2">
        <v>0</v>
      </c>
      <c r="D270" s="2">
        <v>3</v>
      </c>
      <c r="E270" s="2">
        <v>0</v>
      </c>
      <c r="F270" s="2">
        <v>1</v>
      </c>
      <c r="G270" s="2">
        <v>1</v>
      </c>
      <c r="H270" s="2">
        <v>14</v>
      </c>
      <c r="I270" s="2">
        <v>40</v>
      </c>
      <c r="J270" s="2">
        <v>2</v>
      </c>
      <c r="K270" s="2">
        <v>6</v>
      </c>
      <c r="L270" s="2">
        <v>0</v>
      </c>
    </row>
    <row r="271" spans="1:12" x14ac:dyDescent="0.25">
      <c r="A271" s="1" t="s">
        <v>286</v>
      </c>
      <c r="B271" s="2" t="s">
        <v>13</v>
      </c>
      <c r="C271" s="2">
        <v>64</v>
      </c>
      <c r="D271" s="2">
        <v>155</v>
      </c>
      <c r="E271" s="2">
        <v>10137</v>
      </c>
      <c r="F271" s="2">
        <v>1</v>
      </c>
      <c r="G271" s="2">
        <v>7.0999999999999994E-2</v>
      </c>
      <c r="H271" s="2">
        <v>69</v>
      </c>
      <c r="I271" s="2">
        <v>429</v>
      </c>
      <c r="J271" s="2">
        <v>79</v>
      </c>
      <c r="K271" s="2">
        <v>166</v>
      </c>
      <c r="L271" s="2">
        <v>0</v>
      </c>
    </row>
    <row r="272" spans="1:12" x14ac:dyDescent="0.25">
      <c r="A272" s="1" t="s">
        <v>287</v>
      </c>
      <c r="B272" s="2" t="s">
        <v>35</v>
      </c>
      <c r="C272" s="2">
        <v>0</v>
      </c>
      <c r="D272" s="2">
        <v>0</v>
      </c>
      <c r="E272" s="2">
        <v>0</v>
      </c>
      <c r="F272" s="2">
        <v>0</v>
      </c>
      <c r="G272" s="2">
        <v>1</v>
      </c>
      <c r="H272" s="2">
        <v>1</v>
      </c>
      <c r="I272" s="2">
        <v>4</v>
      </c>
      <c r="J272" s="2">
        <v>1</v>
      </c>
      <c r="K272" s="2">
        <v>1</v>
      </c>
      <c r="L272" s="2">
        <v>0</v>
      </c>
    </row>
    <row r="273" spans="1:12" x14ac:dyDescent="0.25">
      <c r="A273" s="1" t="s">
        <v>288</v>
      </c>
      <c r="B273" s="2" t="s">
        <v>35</v>
      </c>
      <c r="C273" s="2">
        <v>0</v>
      </c>
      <c r="D273" s="2">
        <v>0</v>
      </c>
      <c r="E273" s="2">
        <v>0</v>
      </c>
      <c r="F273" s="2">
        <v>4</v>
      </c>
      <c r="G273" s="2">
        <v>1</v>
      </c>
      <c r="H273" s="2">
        <v>0</v>
      </c>
      <c r="I273" s="2">
        <v>3</v>
      </c>
      <c r="J273" s="2">
        <v>1</v>
      </c>
      <c r="K273" s="2">
        <v>1</v>
      </c>
      <c r="L273" s="2">
        <v>0</v>
      </c>
    </row>
    <row r="274" spans="1:12" x14ac:dyDescent="0.25">
      <c r="A274" s="1" t="s">
        <v>289</v>
      </c>
      <c r="B274" s="2" t="s">
        <v>35</v>
      </c>
      <c r="C274" s="2">
        <v>0</v>
      </c>
      <c r="D274" s="2">
        <v>0</v>
      </c>
      <c r="E274" s="2">
        <v>0</v>
      </c>
      <c r="F274" s="2">
        <v>4</v>
      </c>
      <c r="G274" s="2">
        <v>1</v>
      </c>
      <c r="H274" s="2">
        <v>0</v>
      </c>
      <c r="I274" s="2">
        <v>3</v>
      </c>
      <c r="J274" s="2">
        <v>1</v>
      </c>
      <c r="K274" s="2">
        <v>1</v>
      </c>
      <c r="L274" s="2">
        <v>0</v>
      </c>
    </row>
    <row r="275" spans="1:12" x14ac:dyDescent="0.25">
      <c r="A275" s="1" t="s">
        <v>290</v>
      </c>
      <c r="B275" s="2" t="s">
        <v>35</v>
      </c>
      <c r="C275" s="2">
        <v>0</v>
      </c>
      <c r="D275" s="2">
        <v>0</v>
      </c>
      <c r="E275" s="2">
        <v>0</v>
      </c>
      <c r="F275" s="2">
        <v>4</v>
      </c>
      <c r="G275" s="2">
        <v>1</v>
      </c>
      <c r="H275" s="2">
        <v>0</v>
      </c>
      <c r="I275" s="2">
        <v>3</v>
      </c>
      <c r="J275" s="2">
        <v>1</v>
      </c>
      <c r="K275" s="2">
        <v>1</v>
      </c>
      <c r="L275" s="2">
        <v>0</v>
      </c>
    </row>
    <row r="276" spans="1:12" x14ac:dyDescent="0.25">
      <c r="A276" s="1" t="s">
        <v>291</v>
      </c>
      <c r="B276" s="2" t="s">
        <v>35</v>
      </c>
      <c r="C276" s="2">
        <v>0</v>
      </c>
      <c r="D276" s="2">
        <v>0</v>
      </c>
      <c r="E276" s="2">
        <v>0</v>
      </c>
      <c r="F276" s="2">
        <v>4</v>
      </c>
      <c r="G276" s="2">
        <v>1</v>
      </c>
      <c r="H276" s="2">
        <v>0</v>
      </c>
      <c r="I276" s="2">
        <v>3</v>
      </c>
      <c r="J276" s="2">
        <v>1</v>
      </c>
      <c r="K276" s="2">
        <v>1</v>
      </c>
      <c r="L276" s="2">
        <v>0</v>
      </c>
    </row>
    <row r="277" spans="1:12" x14ac:dyDescent="0.25">
      <c r="A277" s="1" t="s">
        <v>292</v>
      </c>
      <c r="B277" s="2" t="s">
        <v>35</v>
      </c>
      <c r="C277" s="2">
        <v>0</v>
      </c>
      <c r="D277" s="2">
        <v>0</v>
      </c>
      <c r="E277" s="2">
        <v>0</v>
      </c>
      <c r="F277" s="2">
        <v>4</v>
      </c>
      <c r="G277" s="2">
        <v>1</v>
      </c>
      <c r="H277" s="2">
        <v>0</v>
      </c>
      <c r="I277" s="2">
        <v>3</v>
      </c>
      <c r="J277" s="2">
        <v>1</v>
      </c>
      <c r="K277" s="2">
        <v>1</v>
      </c>
      <c r="L277" s="2">
        <v>0</v>
      </c>
    </row>
    <row r="278" spans="1:12" x14ac:dyDescent="0.25">
      <c r="A278" s="1" t="s">
        <v>293</v>
      </c>
      <c r="B278" s="2" t="s">
        <v>35</v>
      </c>
      <c r="C278" s="2">
        <v>0</v>
      </c>
      <c r="D278" s="2">
        <v>0</v>
      </c>
      <c r="E278" s="2">
        <v>0</v>
      </c>
      <c r="F278" s="2">
        <v>3</v>
      </c>
      <c r="G278" s="2">
        <v>1</v>
      </c>
      <c r="H278" s="2">
        <v>0</v>
      </c>
      <c r="I278" s="2">
        <v>3</v>
      </c>
      <c r="J278" s="2">
        <v>1</v>
      </c>
      <c r="K278" s="2">
        <v>1</v>
      </c>
      <c r="L278" s="2">
        <v>0</v>
      </c>
    </row>
    <row r="279" spans="1:12" x14ac:dyDescent="0.25">
      <c r="A279" s="1" t="s">
        <v>294</v>
      </c>
      <c r="B279" s="2" t="s">
        <v>35</v>
      </c>
      <c r="C279" s="2">
        <v>0</v>
      </c>
      <c r="D279" s="2">
        <v>0</v>
      </c>
      <c r="E279" s="2">
        <v>0</v>
      </c>
      <c r="F279" s="2">
        <v>4</v>
      </c>
      <c r="G279" s="2">
        <v>1</v>
      </c>
      <c r="H279" s="2">
        <v>0</v>
      </c>
      <c r="I279" s="2">
        <v>3</v>
      </c>
      <c r="J279" s="2">
        <v>1</v>
      </c>
      <c r="K279" s="2">
        <v>1</v>
      </c>
      <c r="L279" s="2">
        <v>0</v>
      </c>
    </row>
    <row r="280" spans="1:12" x14ac:dyDescent="0.25">
      <c r="A280" s="1" t="s">
        <v>295</v>
      </c>
      <c r="B280" s="2" t="s">
        <v>35</v>
      </c>
      <c r="C280" s="2">
        <v>0</v>
      </c>
      <c r="D280" s="2">
        <v>0</v>
      </c>
      <c r="E280" s="2">
        <v>0</v>
      </c>
      <c r="F280" s="2">
        <v>3</v>
      </c>
      <c r="G280" s="2">
        <v>1</v>
      </c>
      <c r="H280" s="2">
        <v>0</v>
      </c>
      <c r="I280" s="2">
        <v>3</v>
      </c>
      <c r="J280" s="2">
        <v>1</v>
      </c>
      <c r="K280" s="2">
        <v>1</v>
      </c>
      <c r="L280" s="2">
        <v>0</v>
      </c>
    </row>
    <row r="281" spans="1:12" x14ac:dyDescent="0.25">
      <c r="A281" s="1" t="s">
        <v>296</v>
      </c>
      <c r="B281" s="2" t="s">
        <v>35</v>
      </c>
      <c r="C281" s="2">
        <v>0</v>
      </c>
      <c r="D281" s="2">
        <v>0</v>
      </c>
      <c r="E281" s="2">
        <v>0</v>
      </c>
      <c r="F281" s="2">
        <v>3</v>
      </c>
      <c r="G281" s="2">
        <v>1</v>
      </c>
      <c r="H281" s="2">
        <v>0</v>
      </c>
      <c r="I281" s="2">
        <v>3</v>
      </c>
      <c r="J281" s="2">
        <v>1</v>
      </c>
      <c r="K281" s="2">
        <v>1</v>
      </c>
      <c r="L281" s="2">
        <v>0</v>
      </c>
    </row>
    <row r="282" spans="1:12" x14ac:dyDescent="0.25">
      <c r="A282" s="1" t="s">
        <v>297</v>
      </c>
      <c r="B282" s="2" t="s">
        <v>35</v>
      </c>
      <c r="C282" s="2">
        <v>5</v>
      </c>
      <c r="D282" s="2">
        <v>1</v>
      </c>
      <c r="E282" s="2">
        <v>0</v>
      </c>
      <c r="F282" s="2">
        <v>1</v>
      </c>
      <c r="G282" s="2">
        <v>1</v>
      </c>
      <c r="H282" s="2">
        <v>4</v>
      </c>
      <c r="I282" s="2">
        <v>2</v>
      </c>
      <c r="J282" s="2">
        <v>3</v>
      </c>
      <c r="K282" s="2">
        <v>1</v>
      </c>
      <c r="L282" s="2">
        <v>0</v>
      </c>
    </row>
    <row r="283" spans="1:12" x14ac:dyDescent="0.25">
      <c r="A283" s="1" t="s">
        <v>298</v>
      </c>
      <c r="B283" s="2" t="s">
        <v>13</v>
      </c>
      <c r="C283" s="2">
        <v>5</v>
      </c>
      <c r="D283" s="2">
        <v>3</v>
      </c>
      <c r="E283" s="2">
        <v>0</v>
      </c>
      <c r="F283" s="2">
        <v>1</v>
      </c>
      <c r="G283" s="2">
        <v>0.5</v>
      </c>
      <c r="H283" s="2">
        <v>4</v>
      </c>
      <c r="I283" s="2">
        <v>7</v>
      </c>
      <c r="J283" s="2">
        <v>7</v>
      </c>
      <c r="K283" s="2">
        <v>3</v>
      </c>
      <c r="L283" s="2">
        <v>0</v>
      </c>
    </row>
    <row r="284" spans="1:12" x14ac:dyDescent="0.25">
      <c r="A284" s="1" t="s">
        <v>299</v>
      </c>
      <c r="B284" s="2" t="s">
        <v>13</v>
      </c>
      <c r="C284" s="2">
        <v>1</v>
      </c>
      <c r="D284" s="2">
        <v>2</v>
      </c>
      <c r="E284" s="2">
        <v>0</v>
      </c>
      <c r="F284" s="2">
        <v>0</v>
      </c>
      <c r="G284" s="2">
        <v>1</v>
      </c>
      <c r="H284" s="2">
        <v>9</v>
      </c>
      <c r="I284" s="2">
        <v>11</v>
      </c>
      <c r="J284" s="2">
        <v>1</v>
      </c>
      <c r="K284" s="2">
        <v>2</v>
      </c>
      <c r="L284" s="2">
        <v>0</v>
      </c>
    </row>
    <row r="285" spans="1:12" x14ac:dyDescent="0.25">
      <c r="A285" s="1" t="s">
        <v>300</v>
      </c>
      <c r="B285" s="2" t="s">
        <v>13</v>
      </c>
      <c r="C285" s="2">
        <v>11</v>
      </c>
      <c r="D285" s="2">
        <v>46</v>
      </c>
      <c r="E285" s="2">
        <v>790</v>
      </c>
      <c r="F285" s="2">
        <v>0</v>
      </c>
      <c r="G285" s="2">
        <v>0.14299999999999999</v>
      </c>
      <c r="H285" s="2">
        <v>11</v>
      </c>
      <c r="I285" s="2">
        <v>96</v>
      </c>
      <c r="J285" s="2">
        <v>102</v>
      </c>
      <c r="K285" s="2">
        <v>49</v>
      </c>
      <c r="L285" s="2">
        <v>1</v>
      </c>
    </row>
    <row r="286" spans="1:12" x14ac:dyDescent="0.25">
      <c r="A286" s="1" t="s">
        <v>301</v>
      </c>
      <c r="B286" s="2" t="s">
        <v>13</v>
      </c>
      <c r="C286" s="2">
        <v>2</v>
      </c>
      <c r="D286" s="2">
        <v>2</v>
      </c>
      <c r="E286" s="2">
        <v>0</v>
      </c>
      <c r="F286" s="2">
        <v>0</v>
      </c>
      <c r="G286" s="2">
        <v>1</v>
      </c>
      <c r="H286" s="2">
        <v>8</v>
      </c>
      <c r="I286" s="2">
        <v>16</v>
      </c>
      <c r="J286" s="2">
        <v>1</v>
      </c>
      <c r="K286" s="2">
        <v>2</v>
      </c>
      <c r="L286" s="2">
        <v>0</v>
      </c>
    </row>
    <row r="287" spans="1:12" x14ac:dyDescent="0.25">
      <c r="A287" s="1" t="s">
        <v>302</v>
      </c>
      <c r="B287" s="2" t="s">
        <v>13</v>
      </c>
      <c r="C287" s="2">
        <v>3</v>
      </c>
      <c r="D287" s="2">
        <v>2</v>
      </c>
      <c r="E287" s="2">
        <v>0</v>
      </c>
      <c r="F287" s="2">
        <v>0</v>
      </c>
      <c r="G287" s="2">
        <v>1</v>
      </c>
      <c r="H287" s="2">
        <v>8</v>
      </c>
      <c r="I287" s="2">
        <v>24</v>
      </c>
      <c r="J287" s="2">
        <v>1</v>
      </c>
      <c r="K287" s="2">
        <v>2</v>
      </c>
      <c r="L287" s="2">
        <v>0</v>
      </c>
    </row>
    <row r="288" spans="1:12" x14ac:dyDescent="0.25">
      <c r="A288" s="1" t="s">
        <v>303</v>
      </c>
      <c r="B288" s="2" t="s">
        <v>13</v>
      </c>
      <c r="C288" s="2">
        <v>2</v>
      </c>
      <c r="D288" s="2">
        <v>2</v>
      </c>
      <c r="E288" s="2">
        <v>0</v>
      </c>
      <c r="F288" s="2">
        <v>0</v>
      </c>
      <c r="G288" s="2">
        <v>1</v>
      </c>
      <c r="H288" s="2">
        <v>9</v>
      </c>
      <c r="I288" s="2">
        <v>28</v>
      </c>
      <c r="J288" s="2">
        <v>1</v>
      </c>
      <c r="K288" s="2">
        <v>2</v>
      </c>
      <c r="L288" s="2">
        <v>0</v>
      </c>
    </row>
    <row r="289" spans="1:12" x14ac:dyDescent="0.25">
      <c r="A289" s="1" t="s">
        <v>304</v>
      </c>
      <c r="B289" s="2" t="s">
        <v>13</v>
      </c>
      <c r="C289" s="2">
        <v>4</v>
      </c>
      <c r="D289" s="2">
        <v>7</v>
      </c>
      <c r="E289" s="2">
        <v>31</v>
      </c>
      <c r="F289" s="2">
        <v>1</v>
      </c>
      <c r="G289" s="2">
        <v>0.5</v>
      </c>
      <c r="H289" s="2">
        <v>12</v>
      </c>
      <c r="I289" s="2">
        <v>69</v>
      </c>
      <c r="J289" s="2">
        <v>1</v>
      </c>
      <c r="K289" s="2">
        <v>11</v>
      </c>
      <c r="L289" s="2">
        <v>0</v>
      </c>
    </row>
    <row r="290" spans="1:12" x14ac:dyDescent="0.25">
      <c r="A290" s="1" t="s">
        <v>305</v>
      </c>
      <c r="B290" s="2" t="s">
        <v>35</v>
      </c>
      <c r="C290" s="2">
        <v>0</v>
      </c>
      <c r="D290" s="2">
        <v>1</v>
      </c>
      <c r="E290" s="2">
        <v>0</v>
      </c>
      <c r="F290" s="2">
        <v>1</v>
      </c>
      <c r="G290" s="2">
        <v>1</v>
      </c>
      <c r="H290" s="2">
        <v>0</v>
      </c>
      <c r="I290" s="2">
        <v>2</v>
      </c>
      <c r="J290" s="2">
        <v>1</v>
      </c>
      <c r="K290" s="2">
        <v>1</v>
      </c>
      <c r="L290" s="2">
        <v>0</v>
      </c>
    </row>
    <row r="291" spans="1:12" x14ac:dyDescent="0.25">
      <c r="A291" s="1" t="s">
        <v>306</v>
      </c>
      <c r="B291" s="2" t="s">
        <v>13</v>
      </c>
      <c r="C291" s="2">
        <v>2</v>
      </c>
      <c r="D291" s="2">
        <v>2</v>
      </c>
      <c r="E291" s="2">
        <v>6</v>
      </c>
      <c r="F291" s="2">
        <v>1</v>
      </c>
      <c r="G291" s="2">
        <v>1</v>
      </c>
      <c r="H291" s="2">
        <v>7</v>
      </c>
      <c r="I291" s="2">
        <v>27</v>
      </c>
      <c r="J291" s="2">
        <v>1</v>
      </c>
      <c r="K291" s="2">
        <v>5</v>
      </c>
      <c r="L291" s="2">
        <v>0</v>
      </c>
    </row>
    <row r="292" spans="1:12" x14ac:dyDescent="0.25">
      <c r="A292" s="1" t="s">
        <v>307</v>
      </c>
      <c r="B292" s="2" t="s">
        <v>13</v>
      </c>
      <c r="C292" s="2">
        <v>0</v>
      </c>
      <c r="D292" s="2">
        <v>4</v>
      </c>
      <c r="E292" s="2">
        <v>8</v>
      </c>
      <c r="F292" s="2">
        <v>1</v>
      </c>
      <c r="G292" s="2">
        <v>1</v>
      </c>
      <c r="H292" s="2">
        <v>12</v>
      </c>
      <c r="I292" s="2">
        <v>34</v>
      </c>
      <c r="J292" s="2">
        <v>1</v>
      </c>
      <c r="K292" s="2">
        <v>8</v>
      </c>
      <c r="L292" s="2">
        <v>0</v>
      </c>
    </row>
    <row r="293" spans="1:12" x14ac:dyDescent="0.25">
      <c r="A293" s="1" t="s">
        <v>308</v>
      </c>
      <c r="B293" s="2" t="s">
        <v>26</v>
      </c>
      <c r="C293" s="2">
        <v>2</v>
      </c>
      <c r="D293" s="2">
        <v>4</v>
      </c>
      <c r="E293" s="2">
        <v>0</v>
      </c>
      <c r="F293" s="2">
        <v>0</v>
      </c>
      <c r="G293" s="2">
        <v>1</v>
      </c>
      <c r="H293" s="2">
        <v>4</v>
      </c>
      <c r="I293" s="2">
        <v>11</v>
      </c>
      <c r="J293" s="2">
        <v>1</v>
      </c>
      <c r="K293" s="2">
        <v>4</v>
      </c>
      <c r="L293" s="2">
        <v>0</v>
      </c>
    </row>
    <row r="294" spans="1:12" x14ac:dyDescent="0.25">
      <c r="A294" s="1" t="s">
        <v>309</v>
      </c>
      <c r="B294" s="2" t="s">
        <v>26</v>
      </c>
      <c r="C294" s="2">
        <v>0</v>
      </c>
      <c r="D294" s="2">
        <v>16</v>
      </c>
      <c r="E294" s="2">
        <v>0</v>
      </c>
      <c r="F294" s="2">
        <v>1</v>
      </c>
      <c r="G294" s="2">
        <v>0.5</v>
      </c>
      <c r="H294" s="2">
        <v>3</v>
      </c>
      <c r="I294" s="2">
        <v>31</v>
      </c>
      <c r="J294" s="2">
        <v>0</v>
      </c>
      <c r="K294" s="2">
        <v>16</v>
      </c>
      <c r="L294" s="2">
        <v>0</v>
      </c>
    </row>
    <row r="295" spans="1:12" x14ac:dyDescent="0.25">
      <c r="A295" s="1" t="s">
        <v>310</v>
      </c>
      <c r="B295" s="2" t="s">
        <v>35</v>
      </c>
      <c r="C295" s="2">
        <v>0</v>
      </c>
      <c r="D295" s="2">
        <v>8</v>
      </c>
      <c r="E295" s="2">
        <v>12</v>
      </c>
      <c r="F295" s="2">
        <v>1</v>
      </c>
      <c r="G295" s="2">
        <v>1</v>
      </c>
      <c r="H295" s="2">
        <v>1</v>
      </c>
      <c r="I295" s="2">
        <v>29</v>
      </c>
      <c r="J295" s="2">
        <v>1</v>
      </c>
      <c r="K295" s="2">
        <v>13</v>
      </c>
      <c r="L295" s="2">
        <v>0</v>
      </c>
    </row>
    <row r="296" spans="1:12" x14ac:dyDescent="0.25">
      <c r="A296" s="1" t="s">
        <v>311</v>
      </c>
      <c r="B296" s="2" t="s">
        <v>35</v>
      </c>
      <c r="C296" s="2">
        <v>1</v>
      </c>
      <c r="D296" s="2">
        <v>2</v>
      </c>
      <c r="E296" s="2">
        <v>0</v>
      </c>
      <c r="F296" s="2">
        <v>1</v>
      </c>
      <c r="G296" s="2">
        <v>1</v>
      </c>
      <c r="H296" s="2">
        <v>0</v>
      </c>
      <c r="I296" s="2">
        <v>15</v>
      </c>
      <c r="J296" s="2">
        <v>1</v>
      </c>
      <c r="K296" s="2">
        <v>10</v>
      </c>
      <c r="L296" s="2">
        <v>0</v>
      </c>
    </row>
    <row r="297" spans="1:12" x14ac:dyDescent="0.25">
      <c r="A297" s="1" t="s">
        <v>312</v>
      </c>
      <c r="B297" s="2" t="s">
        <v>13</v>
      </c>
      <c r="C297" s="2">
        <v>3</v>
      </c>
      <c r="D297" s="2">
        <v>3</v>
      </c>
      <c r="E297" s="2">
        <v>0</v>
      </c>
      <c r="F297" s="2">
        <v>0</v>
      </c>
      <c r="G297" s="2">
        <v>1</v>
      </c>
      <c r="H297" s="2">
        <v>5</v>
      </c>
      <c r="I297" s="2">
        <v>10</v>
      </c>
      <c r="J297" s="2">
        <v>1</v>
      </c>
      <c r="K297" s="2">
        <v>3</v>
      </c>
      <c r="L297" s="2">
        <v>0</v>
      </c>
    </row>
    <row r="298" spans="1:12" x14ac:dyDescent="0.25">
      <c r="A298" s="1" t="s">
        <v>313</v>
      </c>
      <c r="B298" s="2" t="s">
        <v>13</v>
      </c>
      <c r="C298" s="2">
        <v>2</v>
      </c>
      <c r="D298" s="2">
        <v>2</v>
      </c>
      <c r="E298" s="2">
        <v>0</v>
      </c>
      <c r="F298" s="2">
        <v>0</v>
      </c>
      <c r="G298" s="2">
        <v>1</v>
      </c>
      <c r="H298" s="2">
        <v>8</v>
      </c>
      <c r="I298" s="2">
        <v>17</v>
      </c>
      <c r="J298" s="2">
        <v>1</v>
      </c>
      <c r="K298" s="2">
        <v>2</v>
      </c>
      <c r="L298" s="2">
        <v>0</v>
      </c>
    </row>
    <row r="299" spans="1:12" x14ac:dyDescent="0.25">
      <c r="A299" s="1" t="s">
        <v>314</v>
      </c>
      <c r="B299" s="2" t="s">
        <v>26</v>
      </c>
      <c r="C299" s="2">
        <v>0</v>
      </c>
      <c r="D299" s="2">
        <v>2</v>
      </c>
      <c r="E299" s="2">
        <v>1</v>
      </c>
      <c r="F299" s="2">
        <v>1</v>
      </c>
      <c r="G299" s="2">
        <v>1</v>
      </c>
      <c r="H299" s="2">
        <v>10</v>
      </c>
      <c r="I299" s="2">
        <v>36</v>
      </c>
      <c r="J299" s="2">
        <v>0</v>
      </c>
      <c r="K299" s="2">
        <v>2</v>
      </c>
      <c r="L299" s="2">
        <v>0</v>
      </c>
    </row>
    <row r="300" spans="1:12" x14ac:dyDescent="0.25">
      <c r="A300" s="1" t="s">
        <v>315</v>
      </c>
      <c r="B300" s="2" t="s">
        <v>56</v>
      </c>
      <c r="C300" s="2">
        <v>0</v>
      </c>
      <c r="D300" s="2">
        <v>2</v>
      </c>
      <c r="E300" s="2">
        <v>0</v>
      </c>
      <c r="F300" s="2">
        <v>0</v>
      </c>
      <c r="G300" s="2">
        <v>1</v>
      </c>
      <c r="H300" s="2">
        <v>3</v>
      </c>
      <c r="I300" s="2">
        <v>12</v>
      </c>
      <c r="J300" s="2">
        <v>1</v>
      </c>
      <c r="K300" s="2">
        <v>3</v>
      </c>
      <c r="L300" s="2">
        <v>0</v>
      </c>
    </row>
    <row r="301" spans="1:12" x14ac:dyDescent="0.25">
      <c r="A301" s="1" t="s">
        <v>316</v>
      </c>
      <c r="B301" s="2" t="s">
        <v>13</v>
      </c>
      <c r="C301" s="2">
        <v>0</v>
      </c>
      <c r="D301" s="2">
        <v>11</v>
      </c>
      <c r="E301" s="2">
        <v>0</v>
      </c>
      <c r="F301" s="2">
        <v>1</v>
      </c>
      <c r="G301" s="2">
        <v>1</v>
      </c>
      <c r="H301" s="2">
        <v>29</v>
      </c>
      <c r="I301" s="2">
        <v>80</v>
      </c>
      <c r="J301" s="2">
        <v>3</v>
      </c>
      <c r="K301" s="2">
        <v>12</v>
      </c>
      <c r="L301" s="2">
        <v>0</v>
      </c>
    </row>
    <row r="302" spans="1:12" x14ac:dyDescent="0.25">
      <c r="A302" s="1" t="s">
        <v>317</v>
      </c>
      <c r="B302" s="2" t="s">
        <v>13</v>
      </c>
      <c r="C302" s="2">
        <v>1</v>
      </c>
      <c r="D302" s="2">
        <v>2</v>
      </c>
      <c r="E302" s="2">
        <v>0</v>
      </c>
      <c r="F302" s="2">
        <v>0</v>
      </c>
      <c r="G302" s="2">
        <v>1</v>
      </c>
      <c r="H302" s="2">
        <v>6</v>
      </c>
      <c r="I302" s="2">
        <v>6</v>
      </c>
      <c r="J302" s="2">
        <v>1</v>
      </c>
      <c r="K302" s="2">
        <v>2</v>
      </c>
      <c r="L302" s="2">
        <v>0</v>
      </c>
    </row>
    <row r="303" spans="1:12" x14ac:dyDescent="0.25">
      <c r="A303" s="1" t="s">
        <v>318</v>
      </c>
      <c r="B303" s="2" t="s">
        <v>13</v>
      </c>
      <c r="C303" s="2">
        <v>1</v>
      </c>
      <c r="D303" s="2">
        <v>2</v>
      </c>
      <c r="E303" s="2">
        <v>0</v>
      </c>
      <c r="F303" s="2">
        <v>0</v>
      </c>
      <c r="G303" s="2">
        <v>1</v>
      </c>
      <c r="H303" s="2">
        <v>2</v>
      </c>
      <c r="I303" s="2">
        <v>6</v>
      </c>
      <c r="J303" s="2">
        <v>1</v>
      </c>
      <c r="K303" s="2">
        <v>2</v>
      </c>
      <c r="L303" s="2">
        <v>0</v>
      </c>
    </row>
    <row r="304" spans="1:12" x14ac:dyDescent="0.25">
      <c r="A304" s="1" t="s">
        <v>319</v>
      </c>
      <c r="B304" s="2" t="s">
        <v>13</v>
      </c>
      <c r="C304" s="2">
        <v>12</v>
      </c>
      <c r="D304" s="2">
        <v>23</v>
      </c>
      <c r="E304" s="2">
        <v>86</v>
      </c>
      <c r="F304" s="2">
        <v>0</v>
      </c>
      <c r="G304" s="2">
        <v>0.33300000000000002</v>
      </c>
      <c r="H304" s="2">
        <v>16</v>
      </c>
      <c r="I304" s="2">
        <v>85</v>
      </c>
      <c r="J304" s="2">
        <v>3</v>
      </c>
      <c r="K304" s="2">
        <v>24</v>
      </c>
      <c r="L304" s="2">
        <v>0</v>
      </c>
    </row>
    <row r="305" spans="1:12" x14ac:dyDescent="0.25">
      <c r="A305" s="1" t="s">
        <v>320</v>
      </c>
      <c r="B305" s="2" t="s">
        <v>13</v>
      </c>
      <c r="C305" s="2">
        <v>2</v>
      </c>
      <c r="D305" s="2">
        <v>2</v>
      </c>
      <c r="E305" s="2">
        <v>4</v>
      </c>
      <c r="F305" s="2">
        <v>2</v>
      </c>
      <c r="G305" s="2">
        <v>0.5</v>
      </c>
      <c r="H305" s="2">
        <v>1</v>
      </c>
      <c r="I305" s="2">
        <v>8</v>
      </c>
      <c r="J305" s="2">
        <v>1</v>
      </c>
      <c r="K305" s="2">
        <v>4</v>
      </c>
      <c r="L305" s="2">
        <v>0</v>
      </c>
    </row>
    <row r="306" spans="1:12" x14ac:dyDescent="0.25">
      <c r="A306" s="1" t="s">
        <v>321</v>
      </c>
      <c r="B306" s="2" t="s">
        <v>13</v>
      </c>
      <c r="C306" s="2">
        <v>11</v>
      </c>
      <c r="D306" s="2">
        <v>9</v>
      </c>
      <c r="E306" s="2">
        <v>5</v>
      </c>
      <c r="F306" s="2">
        <v>1</v>
      </c>
      <c r="G306" s="2">
        <v>1</v>
      </c>
      <c r="H306" s="2">
        <v>2</v>
      </c>
      <c r="I306" s="2">
        <v>19</v>
      </c>
      <c r="J306" s="2">
        <v>14</v>
      </c>
      <c r="K306" s="2">
        <v>9</v>
      </c>
      <c r="L306" s="2">
        <v>11</v>
      </c>
    </row>
    <row r="307" spans="1:12" x14ac:dyDescent="0.25">
      <c r="A307" s="1" t="s">
        <v>322</v>
      </c>
      <c r="B307" s="2" t="s">
        <v>13</v>
      </c>
      <c r="C307" s="2">
        <v>0</v>
      </c>
      <c r="D307" s="2">
        <v>4</v>
      </c>
      <c r="E307" s="2">
        <v>0</v>
      </c>
      <c r="F307" s="2">
        <v>1</v>
      </c>
      <c r="G307" s="2">
        <v>1</v>
      </c>
      <c r="H307" s="2">
        <v>10</v>
      </c>
      <c r="I307" s="2">
        <v>47</v>
      </c>
      <c r="J307" s="2">
        <v>1</v>
      </c>
      <c r="K307" s="2">
        <v>9</v>
      </c>
      <c r="L307" s="2">
        <v>0</v>
      </c>
    </row>
    <row r="308" spans="1:12" x14ac:dyDescent="0.25">
      <c r="A308" s="1" t="s">
        <v>323</v>
      </c>
      <c r="B308" s="2" t="s">
        <v>13</v>
      </c>
      <c r="C308" s="2">
        <v>0</v>
      </c>
      <c r="D308" s="2">
        <v>25</v>
      </c>
      <c r="E308" s="2">
        <v>269</v>
      </c>
      <c r="F308" s="2">
        <v>1</v>
      </c>
      <c r="G308" s="2">
        <v>0.5</v>
      </c>
      <c r="H308" s="2">
        <v>14</v>
      </c>
      <c r="I308" s="2">
        <v>75</v>
      </c>
      <c r="J308" s="2">
        <v>3</v>
      </c>
      <c r="K308" s="2">
        <v>28</v>
      </c>
      <c r="L308" s="2">
        <v>0</v>
      </c>
    </row>
    <row r="309" spans="1:12" x14ac:dyDescent="0.25">
      <c r="A309" s="1" t="s">
        <v>324</v>
      </c>
      <c r="B309" s="2" t="s">
        <v>13</v>
      </c>
      <c r="C309" s="2">
        <v>2</v>
      </c>
      <c r="D309" s="2">
        <v>2</v>
      </c>
      <c r="E309" s="2">
        <v>0</v>
      </c>
      <c r="F309" s="2">
        <v>0</v>
      </c>
      <c r="G309" s="2">
        <v>1</v>
      </c>
      <c r="H309" s="2">
        <v>9</v>
      </c>
      <c r="I309" s="2">
        <v>14</v>
      </c>
      <c r="J309" s="2">
        <v>1</v>
      </c>
      <c r="K309" s="2">
        <v>2</v>
      </c>
      <c r="L309" s="2">
        <v>0</v>
      </c>
    </row>
    <row r="310" spans="1:12" x14ac:dyDescent="0.25">
      <c r="A310" s="1" t="s">
        <v>325</v>
      </c>
      <c r="B310" s="2" t="s">
        <v>26</v>
      </c>
      <c r="C310" s="2">
        <v>1</v>
      </c>
      <c r="D310" s="2">
        <v>2</v>
      </c>
      <c r="E310" s="2">
        <v>0</v>
      </c>
      <c r="F310" s="2">
        <v>1</v>
      </c>
      <c r="G310" s="2">
        <v>1</v>
      </c>
      <c r="H310" s="2">
        <v>12</v>
      </c>
      <c r="I310" s="2">
        <v>67</v>
      </c>
      <c r="J310" s="2">
        <v>0</v>
      </c>
      <c r="K310" s="2">
        <v>4</v>
      </c>
      <c r="L310" s="2">
        <v>0</v>
      </c>
    </row>
    <row r="311" spans="1:12" x14ac:dyDescent="0.25">
      <c r="A311" s="1" t="s">
        <v>326</v>
      </c>
      <c r="B311" s="2" t="s">
        <v>13</v>
      </c>
      <c r="C311" s="2">
        <v>5</v>
      </c>
      <c r="D311" s="2">
        <v>2</v>
      </c>
      <c r="E311" s="2">
        <v>0</v>
      </c>
      <c r="F311" s="2">
        <v>0</v>
      </c>
      <c r="G311" s="2">
        <v>1</v>
      </c>
      <c r="H311" s="2">
        <v>8</v>
      </c>
      <c r="I311" s="2">
        <v>13</v>
      </c>
      <c r="J311" s="2">
        <v>1</v>
      </c>
      <c r="K311" s="2">
        <v>2</v>
      </c>
      <c r="L311" s="2">
        <v>0</v>
      </c>
    </row>
    <row r="312" spans="1:12" x14ac:dyDescent="0.25">
      <c r="A312" s="1" t="s">
        <v>327</v>
      </c>
      <c r="B312" s="2" t="s">
        <v>13</v>
      </c>
      <c r="C312" s="2">
        <v>26</v>
      </c>
      <c r="D312" s="2">
        <v>35</v>
      </c>
      <c r="E312" s="2">
        <v>367</v>
      </c>
      <c r="F312" s="2">
        <v>1</v>
      </c>
      <c r="G312" s="2">
        <v>0.33300000000000002</v>
      </c>
      <c r="H312" s="2">
        <v>14</v>
      </c>
      <c r="I312" s="2">
        <v>93</v>
      </c>
      <c r="J312" s="2">
        <v>32</v>
      </c>
      <c r="K312" s="2">
        <v>36</v>
      </c>
      <c r="L312" s="2">
        <v>0</v>
      </c>
    </row>
    <row r="313" spans="1:12" x14ac:dyDescent="0.25">
      <c r="A313" s="1" t="s">
        <v>328</v>
      </c>
      <c r="B313" s="2" t="s">
        <v>35</v>
      </c>
      <c r="C313" s="2">
        <v>0</v>
      </c>
      <c r="D313" s="2">
        <v>0</v>
      </c>
      <c r="E313" s="2">
        <v>0</v>
      </c>
      <c r="F313" s="2">
        <v>4</v>
      </c>
      <c r="G313" s="2">
        <v>1</v>
      </c>
      <c r="H313" s="2">
        <v>0</v>
      </c>
      <c r="I313" s="2">
        <v>3</v>
      </c>
      <c r="J313" s="2">
        <v>1</v>
      </c>
      <c r="K313" s="2">
        <v>1</v>
      </c>
      <c r="L313" s="2">
        <v>0</v>
      </c>
    </row>
    <row r="314" spans="1:12" x14ac:dyDescent="0.25">
      <c r="A314" s="1" t="s">
        <v>329</v>
      </c>
      <c r="B314" s="2" t="s">
        <v>13</v>
      </c>
      <c r="C314" s="2">
        <v>5</v>
      </c>
      <c r="D314" s="2">
        <v>2</v>
      </c>
      <c r="E314" s="2">
        <v>0</v>
      </c>
      <c r="F314" s="2">
        <v>0</v>
      </c>
      <c r="G314" s="2">
        <v>1</v>
      </c>
      <c r="H314" s="2">
        <v>8</v>
      </c>
      <c r="I314" s="2">
        <v>11</v>
      </c>
      <c r="J314" s="2">
        <v>2</v>
      </c>
      <c r="K314" s="2">
        <v>3</v>
      </c>
      <c r="L314" s="2">
        <v>0</v>
      </c>
    </row>
    <row r="315" spans="1:12" x14ac:dyDescent="0.25">
      <c r="A315" s="1" t="s">
        <v>330</v>
      </c>
      <c r="B315" s="2" t="s">
        <v>13</v>
      </c>
      <c r="C315" s="2">
        <v>0</v>
      </c>
      <c r="D315" s="2">
        <v>0</v>
      </c>
      <c r="E315" s="2">
        <v>0</v>
      </c>
      <c r="F315" s="2">
        <v>0</v>
      </c>
      <c r="G315" s="2">
        <v>1</v>
      </c>
      <c r="H315" s="2">
        <v>2</v>
      </c>
      <c r="I315" s="2">
        <v>3</v>
      </c>
      <c r="J315" s="2">
        <v>1</v>
      </c>
      <c r="K315" s="2">
        <v>1</v>
      </c>
      <c r="L315" s="2">
        <v>0</v>
      </c>
    </row>
    <row r="316" spans="1:12" x14ac:dyDescent="0.25">
      <c r="A316" s="1" t="s">
        <v>331</v>
      </c>
      <c r="B316" s="2" t="s">
        <v>13</v>
      </c>
      <c r="C316" s="2">
        <v>0</v>
      </c>
      <c r="D316" s="2">
        <v>0</v>
      </c>
      <c r="E316" s="2">
        <v>0</v>
      </c>
      <c r="F316" s="2">
        <v>0</v>
      </c>
      <c r="G316" s="2">
        <v>1</v>
      </c>
      <c r="H316" s="2">
        <v>2</v>
      </c>
      <c r="I316" s="2">
        <v>3</v>
      </c>
      <c r="J316" s="2">
        <v>1</v>
      </c>
      <c r="K316" s="2">
        <v>1</v>
      </c>
      <c r="L316" s="2">
        <v>0</v>
      </c>
    </row>
    <row r="317" spans="1:12" x14ac:dyDescent="0.25">
      <c r="A317" s="1" t="s">
        <v>332</v>
      </c>
      <c r="B317" s="2" t="s">
        <v>13</v>
      </c>
      <c r="C317" s="2">
        <v>0</v>
      </c>
      <c r="D317" s="2">
        <v>0</v>
      </c>
      <c r="E317" s="2">
        <v>0</v>
      </c>
      <c r="F317" s="2">
        <v>0</v>
      </c>
      <c r="G317" s="2">
        <v>1</v>
      </c>
      <c r="H317" s="2">
        <v>2</v>
      </c>
      <c r="I317" s="2">
        <v>3</v>
      </c>
      <c r="J317" s="2">
        <v>1</v>
      </c>
      <c r="K317" s="2">
        <v>1</v>
      </c>
      <c r="L317" s="2">
        <v>0</v>
      </c>
    </row>
    <row r="318" spans="1:12" x14ac:dyDescent="0.25">
      <c r="A318" s="1" t="s">
        <v>333</v>
      </c>
      <c r="B318" s="2" t="s">
        <v>15</v>
      </c>
      <c r="C318" s="2">
        <v>0</v>
      </c>
      <c r="D318" s="2">
        <v>7</v>
      </c>
      <c r="E318" s="2">
        <v>24</v>
      </c>
      <c r="F318" s="2">
        <v>1</v>
      </c>
      <c r="G318" s="2">
        <v>0.33300000000000002</v>
      </c>
      <c r="H318" s="2">
        <v>28</v>
      </c>
      <c r="I318" s="2">
        <v>59</v>
      </c>
      <c r="J318" s="2">
        <v>13</v>
      </c>
      <c r="K318" s="2">
        <v>10</v>
      </c>
      <c r="L318" s="2">
        <v>0</v>
      </c>
    </row>
    <row r="319" spans="1:12" x14ac:dyDescent="0.25">
      <c r="A319" s="1" t="s">
        <v>334</v>
      </c>
      <c r="B319" s="2" t="s">
        <v>15</v>
      </c>
      <c r="C319" s="2">
        <v>0</v>
      </c>
      <c r="D319" s="2">
        <v>1</v>
      </c>
      <c r="E319" s="2">
        <v>0</v>
      </c>
      <c r="F319" s="2">
        <v>0</v>
      </c>
      <c r="G319" s="2">
        <v>1</v>
      </c>
      <c r="H319" s="2">
        <v>4</v>
      </c>
      <c r="I319" s="2">
        <v>4</v>
      </c>
      <c r="J319" s="2">
        <v>1</v>
      </c>
      <c r="K319" s="2">
        <v>2</v>
      </c>
      <c r="L319" s="2">
        <v>0</v>
      </c>
    </row>
    <row r="320" spans="1:12" x14ac:dyDescent="0.25">
      <c r="A320" s="1" t="s">
        <v>335</v>
      </c>
      <c r="B320" s="2" t="s">
        <v>15</v>
      </c>
      <c r="C320" s="2">
        <v>0</v>
      </c>
      <c r="D320" s="2">
        <v>1</v>
      </c>
      <c r="E320" s="2">
        <v>0</v>
      </c>
      <c r="F320" s="2">
        <v>0</v>
      </c>
      <c r="G320" s="2">
        <v>1</v>
      </c>
      <c r="H320" s="2">
        <v>6</v>
      </c>
      <c r="I320" s="2">
        <v>6</v>
      </c>
      <c r="J320" s="2">
        <v>1</v>
      </c>
      <c r="K320" s="2">
        <v>2</v>
      </c>
      <c r="L320" s="2">
        <v>0</v>
      </c>
    </row>
    <row r="321" spans="1:12" x14ac:dyDescent="0.25">
      <c r="A321" s="1" t="s">
        <v>336</v>
      </c>
      <c r="B321" s="2" t="s">
        <v>15</v>
      </c>
      <c r="C321" s="2">
        <v>0</v>
      </c>
      <c r="D321" s="2">
        <v>1</v>
      </c>
      <c r="E321" s="2">
        <v>0</v>
      </c>
      <c r="F321" s="2">
        <v>0</v>
      </c>
      <c r="G321" s="2">
        <v>1</v>
      </c>
      <c r="H321" s="2">
        <v>6</v>
      </c>
      <c r="I321" s="2">
        <v>9</v>
      </c>
      <c r="J321" s="2">
        <v>1</v>
      </c>
      <c r="K321" s="2">
        <v>2</v>
      </c>
      <c r="L321" s="2">
        <v>0</v>
      </c>
    </row>
    <row r="322" spans="1:12" x14ac:dyDescent="0.25">
      <c r="A322" s="1" t="s">
        <v>337</v>
      </c>
      <c r="B322" s="2" t="s">
        <v>15</v>
      </c>
      <c r="C322" s="2">
        <v>0</v>
      </c>
      <c r="D322" s="2">
        <v>1</v>
      </c>
      <c r="E322" s="2">
        <v>0</v>
      </c>
      <c r="F322" s="2">
        <v>0</v>
      </c>
      <c r="G322" s="2">
        <v>1</v>
      </c>
      <c r="H322" s="2">
        <v>5</v>
      </c>
      <c r="I322" s="2">
        <v>5</v>
      </c>
      <c r="J322" s="2">
        <v>1</v>
      </c>
      <c r="K322" s="2">
        <v>2</v>
      </c>
      <c r="L322" s="2">
        <v>0</v>
      </c>
    </row>
    <row r="323" spans="1:12" x14ac:dyDescent="0.25">
      <c r="A323" s="1" t="s">
        <v>338</v>
      </c>
      <c r="B323" s="2" t="s">
        <v>15</v>
      </c>
      <c r="C323" s="2">
        <v>0</v>
      </c>
      <c r="D323" s="2">
        <v>1</v>
      </c>
      <c r="E323" s="2">
        <v>0</v>
      </c>
      <c r="F323" s="2">
        <v>0</v>
      </c>
      <c r="G323" s="2">
        <v>1</v>
      </c>
      <c r="H323" s="2">
        <v>5</v>
      </c>
      <c r="I323" s="2">
        <v>5</v>
      </c>
      <c r="J323" s="2">
        <v>1</v>
      </c>
      <c r="K323" s="2">
        <v>2</v>
      </c>
      <c r="L323" s="2">
        <v>0</v>
      </c>
    </row>
    <row r="324" spans="1:12" x14ac:dyDescent="0.25">
      <c r="A324" s="1" t="s">
        <v>339</v>
      </c>
      <c r="B324" s="2" t="s">
        <v>15</v>
      </c>
      <c r="C324" s="2">
        <v>0</v>
      </c>
      <c r="D324" s="2">
        <v>1</v>
      </c>
      <c r="E324" s="2">
        <v>0</v>
      </c>
      <c r="F324" s="2">
        <v>0</v>
      </c>
      <c r="G324" s="2">
        <v>1</v>
      </c>
      <c r="H324" s="2">
        <v>5</v>
      </c>
      <c r="I324" s="2">
        <v>10</v>
      </c>
      <c r="J324" s="2">
        <v>1</v>
      </c>
      <c r="K324" s="2">
        <v>2</v>
      </c>
      <c r="L324" s="2">
        <v>0</v>
      </c>
    </row>
    <row r="325" spans="1:12" x14ac:dyDescent="0.25">
      <c r="A325" s="1" t="s">
        <v>340</v>
      </c>
      <c r="B325" s="2" t="s">
        <v>15</v>
      </c>
      <c r="C325" s="2">
        <v>0</v>
      </c>
      <c r="D325" s="2">
        <v>1</v>
      </c>
      <c r="E325" s="2">
        <v>0</v>
      </c>
      <c r="F325" s="2">
        <v>0</v>
      </c>
      <c r="G325" s="2">
        <v>1</v>
      </c>
      <c r="H325" s="2">
        <v>6</v>
      </c>
      <c r="I325" s="2">
        <v>7</v>
      </c>
      <c r="J325" s="2">
        <v>1</v>
      </c>
      <c r="K325" s="2">
        <v>2</v>
      </c>
      <c r="L325" s="2">
        <v>0</v>
      </c>
    </row>
    <row r="326" spans="1:12" x14ac:dyDescent="0.25">
      <c r="A326" s="1" t="s">
        <v>341</v>
      </c>
      <c r="B326" s="2" t="s">
        <v>15</v>
      </c>
      <c r="C326" s="2">
        <v>0</v>
      </c>
      <c r="D326" s="2">
        <v>1</v>
      </c>
      <c r="E326" s="2">
        <v>0</v>
      </c>
      <c r="F326" s="2">
        <v>0</v>
      </c>
      <c r="G326" s="2">
        <v>1</v>
      </c>
      <c r="H326" s="2">
        <v>6</v>
      </c>
      <c r="I326" s="2">
        <v>6</v>
      </c>
      <c r="J326" s="2">
        <v>1</v>
      </c>
      <c r="K326" s="2">
        <v>2</v>
      </c>
      <c r="L326" s="2">
        <v>0</v>
      </c>
    </row>
    <row r="327" spans="1:12" x14ac:dyDescent="0.25">
      <c r="A327" s="1" t="s">
        <v>342</v>
      </c>
      <c r="B327" s="2" t="s">
        <v>15</v>
      </c>
      <c r="C327" s="2">
        <v>0</v>
      </c>
      <c r="D327" s="2">
        <v>1</v>
      </c>
      <c r="E327" s="2">
        <v>0</v>
      </c>
      <c r="F327" s="2">
        <v>0</v>
      </c>
      <c r="G327" s="2">
        <v>1</v>
      </c>
      <c r="H327" s="2">
        <v>5</v>
      </c>
      <c r="I327" s="2">
        <v>9</v>
      </c>
      <c r="J327" s="2">
        <v>1</v>
      </c>
      <c r="K327" s="2">
        <v>2</v>
      </c>
      <c r="L327" s="2">
        <v>0</v>
      </c>
    </row>
    <row r="328" spans="1:12" x14ac:dyDescent="0.25">
      <c r="A328" s="1" t="s">
        <v>343</v>
      </c>
      <c r="B328" s="2" t="s">
        <v>15</v>
      </c>
      <c r="C328" s="2">
        <v>0</v>
      </c>
      <c r="D328" s="2">
        <v>1</v>
      </c>
      <c r="E328" s="2">
        <v>0</v>
      </c>
      <c r="F328" s="2">
        <v>0</v>
      </c>
      <c r="G328" s="2">
        <v>1</v>
      </c>
      <c r="H328" s="2">
        <v>4</v>
      </c>
      <c r="I328" s="2">
        <v>10</v>
      </c>
      <c r="J328" s="2">
        <v>1</v>
      </c>
      <c r="K328" s="2">
        <v>2</v>
      </c>
      <c r="L328" s="2">
        <v>0</v>
      </c>
    </row>
    <row r="329" spans="1:12" x14ac:dyDescent="0.25">
      <c r="A329" s="1" t="s">
        <v>344</v>
      </c>
      <c r="B329" s="2" t="s">
        <v>15</v>
      </c>
      <c r="C329" s="2">
        <v>0</v>
      </c>
      <c r="D329" s="2">
        <v>1</v>
      </c>
      <c r="E329" s="2">
        <v>0</v>
      </c>
      <c r="F329" s="2">
        <v>0</v>
      </c>
      <c r="G329" s="2">
        <v>1</v>
      </c>
      <c r="H329" s="2">
        <v>4</v>
      </c>
      <c r="I329" s="2">
        <v>7</v>
      </c>
      <c r="J329" s="2">
        <v>1</v>
      </c>
      <c r="K329" s="2">
        <v>2</v>
      </c>
      <c r="L329" s="2">
        <v>0</v>
      </c>
    </row>
    <row r="330" spans="1:12" x14ac:dyDescent="0.25">
      <c r="A330" s="1" t="s">
        <v>345</v>
      </c>
      <c r="B330" s="2" t="s">
        <v>15</v>
      </c>
      <c r="C330" s="2">
        <v>0</v>
      </c>
      <c r="D330" s="2">
        <v>1</v>
      </c>
      <c r="E330" s="2">
        <v>0</v>
      </c>
      <c r="F330" s="2">
        <v>0</v>
      </c>
      <c r="G330" s="2">
        <v>1</v>
      </c>
      <c r="H330" s="2">
        <v>5</v>
      </c>
      <c r="I330" s="2">
        <v>8</v>
      </c>
      <c r="J330" s="2">
        <v>1</v>
      </c>
      <c r="K330" s="2">
        <v>2</v>
      </c>
      <c r="L330" s="2">
        <v>0</v>
      </c>
    </row>
    <row r="331" spans="1:12" x14ac:dyDescent="0.25">
      <c r="A331" s="1" t="s">
        <v>346</v>
      </c>
      <c r="B331" s="2" t="s">
        <v>15</v>
      </c>
      <c r="C331" s="2">
        <v>0</v>
      </c>
      <c r="D331" s="2">
        <v>1</v>
      </c>
      <c r="E331" s="2">
        <v>0</v>
      </c>
      <c r="F331" s="2">
        <v>0</v>
      </c>
      <c r="G331" s="2">
        <v>1</v>
      </c>
      <c r="H331" s="2">
        <v>6</v>
      </c>
      <c r="I331" s="2">
        <v>7</v>
      </c>
      <c r="J331" s="2">
        <v>1</v>
      </c>
      <c r="K331" s="2">
        <v>2</v>
      </c>
      <c r="L331" s="2">
        <v>0</v>
      </c>
    </row>
    <row r="332" spans="1:12" x14ac:dyDescent="0.25">
      <c r="A332" s="1" t="s">
        <v>347</v>
      </c>
      <c r="B332" s="2" t="s">
        <v>13</v>
      </c>
      <c r="C332" s="2">
        <v>0</v>
      </c>
      <c r="D332" s="2">
        <v>6</v>
      </c>
      <c r="E332" s="2">
        <v>0</v>
      </c>
      <c r="F332" s="2">
        <v>0</v>
      </c>
      <c r="G332" s="2">
        <v>1</v>
      </c>
      <c r="H332" s="2">
        <v>2</v>
      </c>
      <c r="I332" s="2">
        <v>12</v>
      </c>
      <c r="J332" s="2">
        <v>3</v>
      </c>
      <c r="K332" s="2">
        <v>6</v>
      </c>
      <c r="L332" s="2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38DF-D564-4A7A-BE02-90DA3A01183E}">
  <dimension ref="B4:W37"/>
  <sheetViews>
    <sheetView tabSelected="1" workbookViewId="0">
      <selection activeCell="J32" sqref="J32:P37"/>
    </sheetView>
  </sheetViews>
  <sheetFormatPr defaultRowHeight="15" x14ac:dyDescent="0.25"/>
  <cols>
    <col min="1" max="1" width="4.85546875" style="4" customWidth="1"/>
    <col min="2" max="7" width="9.140625" style="4"/>
    <col min="8" max="8" width="12.85546875" style="4" bestFit="1" customWidth="1"/>
    <col min="9" max="9" width="5" style="4" customWidth="1"/>
    <col min="10" max="15" width="9.140625" style="4"/>
    <col min="16" max="16" width="12.85546875" style="4" bestFit="1" customWidth="1"/>
    <col min="17" max="17" width="4.28515625" style="4" customWidth="1"/>
    <col min="18" max="20" width="9.140625" style="4"/>
    <col min="21" max="21" width="11.7109375" style="4" bestFit="1" customWidth="1"/>
    <col min="22" max="22" width="9.140625" style="4"/>
    <col min="23" max="23" width="10.5703125" style="4" bestFit="1" customWidth="1"/>
    <col min="24" max="16384" width="9.140625" style="4"/>
  </cols>
  <sheetData>
    <row r="4" spans="2:23" x14ac:dyDescent="0.25">
      <c r="B4" s="3"/>
      <c r="C4" s="38" t="s">
        <v>2</v>
      </c>
      <c r="D4" s="38"/>
      <c r="E4" s="38"/>
      <c r="F4" s="38"/>
      <c r="G4" s="38"/>
      <c r="H4" s="38"/>
      <c r="J4" s="3"/>
      <c r="K4" s="31" t="s">
        <v>7</v>
      </c>
      <c r="L4" s="32"/>
      <c r="M4" s="32"/>
      <c r="N4" s="32"/>
      <c r="O4" s="32"/>
      <c r="P4" s="33"/>
      <c r="R4" s="41" t="s">
        <v>348</v>
      </c>
      <c r="S4" s="41"/>
      <c r="T4" s="5" t="s">
        <v>349</v>
      </c>
      <c r="U4" s="5" t="s">
        <v>350</v>
      </c>
      <c r="V4" s="5" t="s">
        <v>351</v>
      </c>
      <c r="W4" s="5" t="s">
        <v>352</v>
      </c>
    </row>
    <row r="5" spans="2:23" x14ac:dyDescent="0.25">
      <c r="B5" s="3"/>
      <c r="C5" s="6" t="s">
        <v>13</v>
      </c>
      <c r="D5" s="6" t="s">
        <v>26</v>
      </c>
      <c r="E5" s="6" t="s">
        <v>35</v>
      </c>
      <c r="F5" s="6" t="s">
        <v>353</v>
      </c>
      <c r="G5" s="6" t="s">
        <v>56</v>
      </c>
      <c r="H5" s="6" t="s">
        <v>354</v>
      </c>
      <c r="J5" s="3"/>
      <c r="K5" s="6" t="s">
        <v>13</v>
      </c>
      <c r="L5" s="6" t="s">
        <v>26</v>
      </c>
      <c r="M5" s="6" t="s">
        <v>35</v>
      </c>
      <c r="N5" s="6" t="s">
        <v>353</v>
      </c>
      <c r="O5" s="6" t="s">
        <v>56</v>
      </c>
      <c r="P5" s="6" t="s">
        <v>354</v>
      </c>
      <c r="R5" s="7">
        <v>1</v>
      </c>
      <c r="S5" s="7" t="s">
        <v>2</v>
      </c>
      <c r="T5" s="7">
        <v>0</v>
      </c>
      <c r="U5" s="7" t="s">
        <v>355</v>
      </c>
      <c r="V5" s="7" t="s">
        <v>356</v>
      </c>
      <c r="W5" s="7" t="s">
        <v>357</v>
      </c>
    </row>
    <row r="6" spans="2:23" x14ac:dyDescent="0.25">
      <c r="B6" s="8" t="s">
        <v>349</v>
      </c>
      <c r="C6" s="9">
        <f>COUNTIFS(metricas!C2:C10000,"=0",metricas!B2:B10000,"LSCC")</f>
        <v>38</v>
      </c>
      <c r="D6" s="9">
        <f>COUNTIFS(metricas!C2:C10000,"=0",metricas!B2:B10000,"IN")</f>
        <v>16</v>
      </c>
      <c r="E6" s="9">
        <f>COUNTIFS(metricas!C2:C10000,"=0",metricas!B2:B10000,"OUT")</f>
        <v>98</v>
      </c>
      <c r="F6" s="9">
        <f>COUNTIFS(metricas!C2:C10000,"=0",metricas!B2:B10000,"TUBES")</f>
        <v>0</v>
      </c>
      <c r="G6" s="9">
        <f>COUNTIFS(metricas!C2:C10000,"=0",metricas!B2:B10000,"TENDRILS")</f>
        <v>4</v>
      </c>
      <c r="H6" s="9">
        <f>COUNTIFS(metricas!C2:C10000,"=0",metricas!B2:B10000,"DISCONNECTED")</f>
        <v>74</v>
      </c>
      <c r="J6" s="8" t="s">
        <v>349</v>
      </c>
      <c r="K6" s="10">
        <f>COUNTIFS(metricas!H2:H10000,"&lt;=7",metricas!B2:B10000,"LSCC")</f>
        <v>47</v>
      </c>
      <c r="L6" s="10">
        <f>COUNTIFS(metricas!H2:H10000,"&lt;=7",metricas!B2:B10000,"IN")</f>
        <v>14</v>
      </c>
      <c r="M6" s="10">
        <f>COUNTIFS(metricas!H2:H10000,"&lt;=7",metricas!B2:B10000,"OUT")</f>
        <v>133</v>
      </c>
      <c r="N6" s="10">
        <f>COUNTIFS(metricas!H2:H10000,"&lt;=7",metricas!B2:B10000,"TUBES")</f>
        <v>0</v>
      </c>
      <c r="O6" s="10">
        <f>COUNTIFS(metricas!H2:H10000,"&lt;=7",metricas!B2:B10000,"TENDRILS")</f>
        <v>4</v>
      </c>
      <c r="P6" s="10">
        <f>COUNTIFS(metricas!H2:H10000,"&lt;=7",metricas!B2:B10000,"DISCONNECTED")</f>
        <v>76</v>
      </c>
      <c r="R6" s="7">
        <v>2</v>
      </c>
      <c r="S6" s="7" t="s">
        <v>3</v>
      </c>
      <c r="T6" s="7" t="s">
        <v>358</v>
      </c>
      <c r="U6" s="7" t="s">
        <v>359</v>
      </c>
      <c r="V6" s="7" t="s">
        <v>360</v>
      </c>
      <c r="W6" s="7" t="s">
        <v>357</v>
      </c>
    </row>
    <row r="7" spans="2:23" x14ac:dyDescent="0.25">
      <c r="B7" s="8" t="s">
        <v>350</v>
      </c>
      <c r="C7" s="11">
        <f>COUNTIFS(metricas!C2:C10000,"&gt;=1",metricas!C2:C10000,"&lt;=10",metricas!B2:B10000,"LSCC")</f>
        <v>38</v>
      </c>
      <c r="D7" s="8">
        <f>COUNTIFS(metricas!C2:C10000,"&gt;=1",metricas!C2:C10000,"&lt;=10",metricas!B2:B10000,"IN")</f>
        <v>3</v>
      </c>
      <c r="E7" s="8">
        <f>COUNTIFS(metricas!C2:C10000,"&gt;=1",metricas!C2:C10000,"&lt;=10",metricas!B2:B10000,"OUT")</f>
        <v>35</v>
      </c>
      <c r="F7" s="8">
        <f>COUNTIFS(metricas!C2:C10000,"&gt;=1",metricas!C2:C10000,"&lt;=10",metricas!B2:B10000,"TUBES")</f>
        <v>0</v>
      </c>
      <c r="G7" s="8">
        <f>COUNTIFS(metricas!C2:C10000,"&gt;=1",metricas!C2:C10000,"&lt;=10",metricas!B2:B10000,"TENDRILS")</f>
        <v>0</v>
      </c>
      <c r="H7" s="8">
        <f>COUNTIFS(metricas!C2:C10000,"&gt;=1",metricas!C2:C10000,"&lt;=10",metricas!B2:B10000,"DISCONNECTED")</f>
        <v>3</v>
      </c>
      <c r="J7" s="8" t="s">
        <v>350</v>
      </c>
      <c r="K7" s="12">
        <f>COUNTIFS(metricas!H2:H10000,"&gt;7",metricas!H2:H10000,"&lt;=14",metricas!B2:B10000,"LSCC")</f>
        <v>26</v>
      </c>
      <c r="L7" s="13">
        <f>COUNTIFS(metricas!H2:H10000,"&gt;7",metricas!H2:H10000,"&lt;=14",metricas!B2:B10000,"IN")</f>
        <v>5</v>
      </c>
      <c r="M7" s="13">
        <f>COUNTIFS(metricas!H2:H10000,"&gt;7",metricas!H2:H10000,"&lt;=14",metricas!B2:B10000,"OUT")</f>
        <v>0</v>
      </c>
      <c r="N7" s="13">
        <f>COUNTIFS(metricas!H2:H10000,"&gt;7",metricas!H2:H10000,"&lt;=14",metricas!B2:B10000,"TUBES")</f>
        <v>0</v>
      </c>
      <c r="O7" s="13">
        <f>COUNTIFS(metricas!H2:H10000,"&gt;7",metricas!H2:H10000,"&lt;=14",metricas!B2:B10000,"TENDRILS")</f>
        <v>0</v>
      </c>
      <c r="P7" s="13">
        <f>COUNTIFS(metricas!H2:H10000,"&gt;7",metricas!H2:H10000,"&lt;=14",metricas!B2:B10000,"DISCONNECTED")</f>
        <v>1</v>
      </c>
      <c r="R7" s="7">
        <v>3</v>
      </c>
      <c r="S7" s="7" t="s">
        <v>4</v>
      </c>
      <c r="T7" s="7">
        <v>0</v>
      </c>
      <c r="U7" s="7" t="s">
        <v>361</v>
      </c>
      <c r="V7" s="7" t="s">
        <v>362</v>
      </c>
      <c r="W7" s="7" t="s">
        <v>357</v>
      </c>
    </row>
    <row r="8" spans="2:23" x14ac:dyDescent="0.25">
      <c r="B8" s="8" t="s">
        <v>351</v>
      </c>
      <c r="C8" s="8">
        <f>COUNTIFS(metricas!C2:C10000,"&gt;10",metricas!B2:B10000,"LSCC")</f>
        <v>19</v>
      </c>
      <c r="D8" s="46">
        <f>COUNTIFS(metricas!C2:C10000,"&gt;10",metricas!B2:B10000,"IN")</f>
        <v>0</v>
      </c>
      <c r="E8" s="8">
        <f>COUNTIFS(metricas!C2:C10000,"&gt;10",metricas!B2:B10000,"OUT")</f>
        <v>0</v>
      </c>
      <c r="F8" s="8">
        <f>COUNTIFS(metricas!C2:C10000,"&gt;10",metricas!B2:B10000,"TUBES")</f>
        <v>0</v>
      </c>
      <c r="G8" s="8">
        <f>COUNTIFS(metricas!C2:C10000,"&gt;10",metricas!B2:B10000,"TENDRILS")</f>
        <v>0</v>
      </c>
      <c r="H8" s="8">
        <f>COUNTIFS(metricas!C2:C10000,"&gt;10",metricas!B2:B10000,"DISCONNECTED")</f>
        <v>3</v>
      </c>
      <c r="J8" s="8" t="s">
        <v>351</v>
      </c>
      <c r="K8" s="13">
        <f>COUNTIFS(metricas!H2:H10000,"&gt;14",metricas!B2:B10000,"LSCC")</f>
        <v>22</v>
      </c>
      <c r="L8" s="46">
        <f>COUNTIFS(metricas!H2:H10000,"&gt;14",metricas!B2:B10000,"IN")</f>
        <v>0</v>
      </c>
      <c r="M8" s="13">
        <f>COUNTIFS(metricas!H2:H10000,"&gt;14",metricas!B2:B10000,"OUT")</f>
        <v>0</v>
      </c>
      <c r="N8" s="13">
        <f>COUNTIFS(metricas!H2:H10000,"&gt;14",metricas!B2:B10000,"TUBES")</f>
        <v>0</v>
      </c>
      <c r="O8" s="13">
        <f>COUNTIFS(metricas!H2:H10000,"&gt;14",metricas!B2:B10000,"TENDRILS")</f>
        <v>0</v>
      </c>
      <c r="P8" s="13">
        <f>COUNTIFS(metricas!H2:H10000,"&gt;14",metricas!B2:B10000,"DISCONNECTED")</f>
        <v>3</v>
      </c>
      <c r="R8" s="7">
        <v>4</v>
      </c>
      <c r="S8" s="7" t="s">
        <v>5</v>
      </c>
      <c r="T8" s="7" t="s">
        <v>363</v>
      </c>
      <c r="U8" s="7" t="s">
        <v>364</v>
      </c>
      <c r="V8" s="7" t="s">
        <v>365</v>
      </c>
      <c r="W8" s="7" t="s">
        <v>366</v>
      </c>
    </row>
    <row r="9" spans="2:23" x14ac:dyDescent="0.25">
      <c r="B9" s="3"/>
      <c r="C9" s="37">
        <f>SUM(C6:H8)</f>
        <v>331</v>
      </c>
      <c r="D9" s="37"/>
      <c r="E9" s="37"/>
      <c r="F9" s="37"/>
      <c r="G9" s="37"/>
      <c r="H9" s="37"/>
      <c r="J9" s="3"/>
      <c r="K9" s="34">
        <f>SUM(K6:P8)</f>
        <v>331</v>
      </c>
      <c r="L9" s="35"/>
      <c r="M9" s="35"/>
      <c r="N9" s="35"/>
      <c r="O9" s="35"/>
      <c r="P9" s="36"/>
      <c r="R9" s="7">
        <v>5</v>
      </c>
      <c r="S9" s="7" t="s">
        <v>6</v>
      </c>
      <c r="T9" s="7">
        <v>1</v>
      </c>
      <c r="U9" s="7" t="s">
        <v>367</v>
      </c>
      <c r="V9" s="7" t="s">
        <v>368</v>
      </c>
      <c r="W9" s="7" t="s">
        <v>369</v>
      </c>
    </row>
    <row r="10" spans="2:23" x14ac:dyDescent="0.25">
      <c r="R10" s="7">
        <v>6</v>
      </c>
      <c r="S10" s="7" t="s">
        <v>7</v>
      </c>
      <c r="T10" s="5" t="s">
        <v>370</v>
      </c>
      <c r="U10" s="7" t="s">
        <v>371</v>
      </c>
      <c r="V10" s="5" t="s">
        <v>372</v>
      </c>
      <c r="W10" s="5" t="s">
        <v>373</v>
      </c>
    </row>
    <row r="11" spans="2:23" x14ac:dyDescent="0.25">
      <c r="B11" s="3"/>
      <c r="C11" s="38" t="s">
        <v>3</v>
      </c>
      <c r="D11" s="38"/>
      <c r="E11" s="38"/>
      <c r="F11" s="38"/>
      <c r="G11" s="38"/>
      <c r="H11" s="38"/>
      <c r="J11" s="3"/>
      <c r="K11" s="31" t="s">
        <v>8</v>
      </c>
      <c r="L11" s="32"/>
      <c r="M11" s="32"/>
      <c r="N11" s="32"/>
      <c r="O11" s="32"/>
      <c r="P11" s="33"/>
      <c r="R11" s="7">
        <v>7</v>
      </c>
      <c r="S11" s="7" t="s">
        <v>8</v>
      </c>
      <c r="T11" s="5" t="s">
        <v>374</v>
      </c>
      <c r="U11" s="7" t="s">
        <v>375</v>
      </c>
      <c r="V11" s="5" t="s">
        <v>376</v>
      </c>
      <c r="W11" s="5" t="s">
        <v>373</v>
      </c>
    </row>
    <row r="12" spans="2:23" x14ac:dyDescent="0.25">
      <c r="B12" s="3"/>
      <c r="C12" s="6" t="s">
        <v>13</v>
      </c>
      <c r="D12" s="6" t="s">
        <v>26</v>
      </c>
      <c r="E12" s="6" t="s">
        <v>35</v>
      </c>
      <c r="F12" s="6" t="s">
        <v>353</v>
      </c>
      <c r="G12" s="6" t="s">
        <v>56</v>
      </c>
      <c r="H12" s="6" t="s">
        <v>354</v>
      </c>
      <c r="J12" s="3"/>
      <c r="K12" s="6" t="s">
        <v>13</v>
      </c>
      <c r="L12" s="6" t="s">
        <v>26</v>
      </c>
      <c r="M12" s="6" t="s">
        <v>35</v>
      </c>
      <c r="N12" s="6" t="s">
        <v>353</v>
      </c>
      <c r="O12" s="6" t="s">
        <v>56</v>
      </c>
      <c r="P12" s="6" t="s">
        <v>354</v>
      </c>
      <c r="R12" s="7">
        <v>8</v>
      </c>
      <c r="S12" s="7" t="s">
        <v>9</v>
      </c>
      <c r="T12" s="7" t="s">
        <v>370</v>
      </c>
      <c r="U12" s="7" t="s">
        <v>377</v>
      </c>
      <c r="V12" s="7" t="s">
        <v>378</v>
      </c>
      <c r="W12" s="7" t="s">
        <v>366</v>
      </c>
    </row>
    <row r="13" spans="2:23" x14ac:dyDescent="0.25">
      <c r="B13" s="8" t="s">
        <v>349</v>
      </c>
      <c r="C13" s="9">
        <f>COUNTIFS(metricas!D2:D10000,"&gt;=0",metricas!D2:D10000,"&lt;=10",metricas!B2:B10000,"LSCC")</f>
        <v>63</v>
      </c>
      <c r="D13" s="9">
        <f>COUNTIFS(metricas!D2:D10000,"&gt;=0",metricas!D2:D10000,"&lt;=10",metricas!B2:B10000,"IN")</f>
        <v>18</v>
      </c>
      <c r="E13" s="9">
        <f>COUNTIFS(metricas!D2:D10000,"&gt;=0",metricas!D2:D10000,"&lt;=10",metricas!B2:B10000,"OUT")</f>
        <v>130</v>
      </c>
      <c r="F13" s="9">
        <f>COUNTIFS(metricas!D2:D10000,"&gt;=0",metricas!D2:D10000,"&lt;=10",metricas!B2:B10000,"TUBES")</f>
        <v>0</v>
      </c>
      <c r="G13" s="9">
        <f>COUNTIFS(metricas!D2:D10000,"&gt;=0",metricas!D2:D10000,"&lt;=10",metricas!B2:B10000,"TENDRILS")</f>
        <v>3</v>
      </c>
      <c r="H13" s="9">
        <f>COUNTIFS(metricas!D2:D10000,"&gt;=0",metricas!D2:D10000,"&lt;=10",metricas!B2:B10000,"DISCONNECTED")</f>
        <v>76</v>
      </c>
      <c r="J13" s="8" t="s">
        <v>349</v>
      </c>
      <c r="K13" s="10">
        <f>COUNTIFS(metricas!I2:I10000,"&lt;=20",metricas!B2:B10000,"LSCC")</f>
        <v>45</v>
      </c>
      <c r="L13" s="10">
        <f>COUNTIFS(metricas!I2:I10000,"&lt;=20",metricas!B2:B10000,"IN")</f>
        <v>6</v>
      </c>
      <c r="M13" s="10">
        <f>COUNTIFS(metricas!I2:I10000,"&lt;=20",metricas!B2:B10000,"OUT")</f>
        <v>128</v>
      </c>
      <c r="N13" s="10">
        <f>COUNTIFS(metricas!I2:I10000,"&lt;=20",metricas!B2:B10000,"TUBES")</f>
        <v>0</v>
      </c>
      <c r="O13" s="10">
        <f>COUNTIFS(metricas!I2:I10000,"&lt;=20",metricas!B2:B10000,"TENDRILS")</f>
        <v>3</v>
      </c>
      <c r="P13" s="10">
        <f>COUNTIFS(metricas!I2:I10000,"&lt;=20",metricas!B2:B10000,"DISCONNECTED")</f>
        <v>76</v>
      </c>
      <c r="R13" s="7">
        <v>9</v>
      </c>
      <c r="S13" s="7" t="s">
        <v>10</v>
      </c>
      <c r="T13" s="7" t="s">
        <v>379</v>
      </c>
      <c r="U13" s="7" t="s">
        <v>380</v>
      </c>
      <c r="V13" s="7" t="s">
        <v>381</v>
      </c>
      <c r="W13" s="7" t="s">
        <v>366</v>
      </c>
    </row>
    <row r="14" spans="2:23" x14ac:dyDescent="0.25">
      <c r="B14" s="8" t="s">
        <v>350</v>
      </c>
      <c r="C14" s="11">
        <f>COUNTIFS(metricas!D2:D10000,"&gt;=11",metricas!D2:D10000,"&lt;=40",metricas!B2:B10000,"LSCC")</f>
        <v>21</v>
      </c>
      <c r="D14" s="8">
        <f>COUNTIFS(metricas!D2:D10000,"&gt;=11",metricas!D2:D10000,"&lt;=40",metricas!B2:B10000,"IN")</f>
        <v>1</v>
      </c>
      <c r="E14" s="8">
        <f>COUNTIFS(metricas!D2:D10000,"&gt;=11",metricas!D2:D10000,"&lt;=40",metricas!B2:B10000,"OUT")</f>
        <v>2</v>
      </c>
      <c r="F14" s="8">
        <f>COUNTIFS(metricas!D2:D10000,"&gt;=11",metricas!D2:D10000,"&lt;=40",metricas!B2:B10000,"TUBES")</f>
        <v>0</v>
      </c>
      <c r="G14" s="8">
        <f>COUNTIFS(metricas!D2:D10000,"&gt;=11",metricas!D2:D10000,"&lt;=40",metricas!B2:B10000,"TENDRILS")</f>
        <v>1</v>
      </c>
      <c r="H14" s="8">
        <f>COUNTIFS(metricas!D2:D10000,"&gt;=11",metricas!D2:D10000,"&lt;=40",metricas!B2:B10000,"DISCONNECTED")</f>
        <v>1</v>
      </c>
      <c r="J14" s="8" t="s">
        <v>350</v>
      </c>
      <c r="K14" s="12">
        <f>COUNTIFS(metricas!I2:I10000,"&gt;20",metricas!I2:I10000,"&lt;=46",metricas!B2:B10000,"LSCC")</f>
        <v>20</v>
      </c>
      <c r="L14" s="13">
        <f>COUNTIFS(metricas!I2:I10000,"&gt;20",metricas!I2:I10000,"&lt;=46",metricas!B2:B10000,"IN")</f>
        <v>12</v>
      </c>
      <c r="M14" s="13">
        <f>COUNTIFS(metricas!I2:I10000,"&gt;20",metricas!I2:I10000,"&lt;=46",metricas!B2:B10000,"OUT")</f>
        <v>4</v>
      </c>
      <c r="N14" s="13">
        <f>COUNTIFS(metricas!I2:I10000,"&gt;20",metricas!I2:I10000,"&lt;=46",metricas!B2:B10000,"TUBES")</f>
        <v>0</v>
      </c>
      <c r="O14" s="13">
        <f>COUNTIFS(metricas!I2:I10000,"&gt;20",metricas!I2:I10000,"&lt;=46",metricas!B2:B10000,"TENDRILS")</f>
        <v>1</v>
      </c>
      <c r="P14" s="13">
        <f>COUNTIFS(metricas!I2:I10000,"&gt;20",metricas!I2:I10000,"&lt;=46",metricas!B2:B10000,"DISCONNECTED")</f>
        <v>0</v>
      </c>
      <c r="R14" s="7">
        <v>10</v>
      </c>
      <c r="S14" s="7" t="s">
        <v>11</v>
      </c>
      <c r="T14" s="7" t="s">
        <v>379</v>
      </c>
      <c r="U14" s="7" t="s">
        <v>382</v>
      </c>
      <c r="V14" s="7" t="s">
        <v>383</v>
      </c>
      <c r="W14" s="7" t="s">
        <v>366</v>
      </c>
    </row>
    <row r="15" spans="2:23" x14ac:dyDescent="0.25">
      <c r="B15" s="8" t="s">
        <v>351</v>
      </c>
      <c r="C15" s="8">
        <f>COUNTIFS(metricas!D2:D10000,"&gt;40",metricas!B2:B10000,"LSCC")</f>
        <v>11</v>
      </c>
      <c r="D15" s="46">
        <f>COUNTIFS(metricas!D2:D10000,"&gt;40",metricas!B2:B10000,"IN")</f>
        <v>0</v>
      </c>
      <c r="E15" s="8">
        <f>COUNTIFS(metricas!D2:D10000,"&gt;40",metricas!B2:B10000,"OUT")</f>
        <v>1</v>
      </c>
      <c r="F15" s="8">
        <f>COUNTIFS(metricas!D2:D10000,"&gt;40",metricas!B2:B10000,"TUBES")</f>
        <v>0</v>
      </c>
      <c r="G15" s="8">
        <f>COUNTIFS(metricas!D2:D10000,"&gt;40",metricas!B2:B10000,"TENDRILS")</f>
        <v>0</v>
      </c>
      <c r="H15" s="8">
        <f>COUNTIFS(metricas!D2:D10000,"&gt;40",metricas!B2:B10000,"DISCONNECTED")</f>
        <v>3</v>
      </c>
      <c r="J15" s="8" t="s">
        <v>351</v>
      </c>
      <c r="K15" s="13">
        <f>COUNTIFS(metricas!I2:I10000,"&gt;46",metricas!B2:B10000,"LSCC")</f>
        <v>30</v>
      </c>
      <c r="L15" s="46">
        <f>COUNTIFS(metricas!I2:I10000,"&gt;46",metricas!B2:B10000,"IN")</f>
        <v>1</v>
      </c>
      <c r="M15" s="13">
        <f>COUNTIFS(metricas!I2:I10000,"&gt;46",metricas!B2:B10000,"OUT")</f>
        <v>1</v>
      </c>
      <c r="N15" s="13">
        <f>COUNTIFS(metricas!I2:I10000,"&gt;46",metricas!B2:B10000,"TUBES")</f>
        <v>0</v>
      </c>
      <c r="O15" s="13">
        <f>COUNTIFS(metricas!I2:I10000,"&gt;46",metricas!B2:B10000,"TENDRILS")</f>
        <v>0</v>
      </c>
      <c r="P15" s="13">
        <f>COUNTIFS(metricas!I2:I10000,"&gt;46",metricas!B2:B10000,"DISCONNECTED")</f>
        <v>4</v>
      </c>
    </row>
    <row r="16" spans="2:23" x14ac:dyDescent="0.25">
      <c r="B16" s="3"/>
      <c r="C16" s="37">
        <f>SUM(C13:H15)</f>
        <v>331</v>
      </c>
      <c r="D16" s="37"/>
      <c r="E16" s="37"/>
      <c r="F16" s="37"/>
      <c r="G16" s="37"/>
      <c r="H16" s="37"/>
      <c r="J16" s="3"/>
      <c r="K16" s="34">
        <f>SUM(K13:P15)</f>
        <v>331</v>
      </c>
      <c r="L16" s="35"/>
      <c r="M16" s="35"/>
      <c r="N16" s="35"/>
      <c r="O16" s="35"/>
      <c r="P16" s="36"/>
      <c r="S16" s="39" t="s">
        <v>384</v>
      </c>
      <c r="T16" s="40"/>
      <c r="U16" s="39" t="s">
        <v>385</v>
      </c>
      <c r="V16" s="40"/>
    </row>
    <row r="17" spans="2:22" x14ac:dyDescent="0.25">
      <c r="S17" s="14">
        <v>0.7</v>
      </c>
      <c r="T17" s="14">
        <v>0.9</v>
      </c>
      <c r="U17" s="14">
        <v>0.7</v>
      </c>
      <c r="V17" s="14">
        <v>0.9</v>
      </c>
    </row>
    <row r="18" spans="2:22" x14ac:dyDescent="0.25">
      <c r="B18" s="3"/>
      <c r="C18" s="38" t="s">
        <v>4</v>
      </c>
      <c r="D18" s="38"/>
      <c r="E18" s="38"/>
      <c r="F18" s="38"/>
      <c r="G18" s="38"/>
      <c r="H18" s="38"/>
      <c r="J18" s="3"/>
      <c r="K18" s="31" t="s">
        <v>9</v>
      </c>
      <c r="L18" s="32"/>
      <c r="M18" s="32"/>
      <c r="N18" s="32"/>
      <c r="O18" s="32"/>
      <c r="P18" s="33"/>
      <c r="R18" s="15" t="s">
        <v>7</v>
      </c>
      <c r="S18" s="16">
        <v>6.28</v>
      </c>
      <c r="T18" s="16">
        <v>13.73</v>
      </c>
      <c r="U18" s="16">
        <v>6.28</v>
      </c>
      <c r="V18" s="16">
        <v>13.73</v>
      </c>
    </row>
    <row r="19" spans="2:22" x14ac:dyDescent="0.25">
      <c r="B19" s="3"/>
      <c r="C19" s="6" t="s">
        <v>13</v>
      </c>
      <c r="D19" s="6" t="s">
        <v>26</v>
      </c>
      <c r="E19" s="6" t="s">
        <v>35</v>
      </c>
      <c r="F19" s="6" t="s">
        <v>353</v>
      </c>
      <c r="G19" s="6" t="s">
        <v>56</v>
      </c>
      <c r="H19" s="6" t="s">
        <v>354</v>
      </c>
      <c r="J19" s="3"/>
      <c r="K19" s="6" t="s">
        <v>13</v>
      </c>
      <c r="L19" s="6" t="s">
        <v>26</v>
      </c>
      <c r="M19" s="6" t="s">
        <v>35</v>
      </c>
      <c r="N19" s="6" t="s">
        <v>353</v>
      </c>
      <c r="O19" s="6" t="s">
        <v>56</v>
      </c>
      <c r="P19" s="6" t="s">
        <v>354</v>
      </c>
      <c r="R19" s="15" t="s">
        <v>8</v>
      </c>
      <c r="S19" s="17">
        <v>20.25</v>
      </c>
      <c r="T19" s="18">
        <v>45.88</v>
      </c>
      <c r="U19" s="17">
        <v>20.25</v>
      </c>
      <c r="V19" s="18">
        <v>45.88</v>
      </c>
    </row>
    <row r="20" spans="2:22" x14ac:dyDescent="0.25">
      <c r="B20" s="8" t="s">
        <v>349</v>
      </c>
      <c r="C20" s="9">
        <f>COUNTIFS(metricas!E2:E10000,"=0",metricas!B2:B10000,"LSCC")</f>
        <v>47</v>
      </c>
      <c r="D20" s="9">
        <f>COUNTIFS(metricas!E2:E10000,"=0",metricas!B2:B10000,"IN")</f>
        <v>5</v>
      </c>
      <c r="E20" s="9">
        <f>COUNTIFS(metricas!E2:E10000,"=0",metricas!B2:B10000,"OUT")</f>
        <v>66</v>
      </c>
      <c r="F20" s="9">
        <f>COUNTIFS(metricas!E2:E10000,"=0",metricas!B2:B10000,"TUBES")</f>
        <v>0</v>
      </c>
      <c r="G20" s="9">
        <f>COUNTIFS(metricas!E2:E10000,"=0",metricas!B2:B10000,"TENDRILS")</f>
        <v>4</v>
      </c>
      <c r="H20" s="9">
        <f>COUNTIFS(metricas!E2:E10000,"=0",metricas!B2:B10000,"DISCONNECTED")</f>
        <v>22</v>
      </c>
      <c r="J20" s="8" t="s">
        <v>349</v>
      </c>
      <c r="K20" s="9">
        <f>COUNTIFS(metricas!J2:J10000,"&lt;=7",metricas!B2:B10000,"LSCC")</f>
        <v>75</v>
      </c>
      <c r="L20" s="9">
        <f>COUNTIFS(metricas!J2:J10000,"&lt;=7",metricas!B2:B10000,"IN")</f>
        <v>19</v>
      </c>
      <c r="M20" s="9">
        <f>COUNTIFS(metricas!J2:J10000,"&lt;=7",metricas!B2:B10000,"OUT")</f>
        <v>130</v>
      </c>
      <c r="N20" s="9">
        <f>COUNTIFS(metricas!J2:J10000,"&lt;=7",metricas!B2:B10000,"TUBES")</f>
        <v>0</v>
      </c>
      <c r="O20" s="9">
        <f>COUNTIFS(metricas!J2:J10000,"&lt;=7",metricas!B2:B10000,"TENDRILS")</f>
        <v>4</v>
      </c>
      <c r="P20" s="9">
        <f>COUNTIFS(metricas!J2:J10000,"&lt;=7",metricas!B2:B10000,"DISCONNECTED")</f>
        <v>78</v>
      </c>
    </row>
    <row r="21" spans="2:22" x14ac:dyDescent="0.25">
      <c r="B21" s="8" t="s">
        <v>350</v>
      </c>
      <c r="C21" s="11">
        <f>COUNTIFS(metricas!E2:E10000,"&gt;=1",metricas!E2:E10000,"&lt;=20",metricas!B2:B10000,"LSCC")</f>
        <v>30</v>
      </c>
      <c r="D21" s="8">
        <f>COUNTIFS(metricas!E2:E10000,"&gt;=1",metricas!E2:E10000,"&lt;=20",metricas!B2:B10000,"IN")</f>
        <v>9</v>
      </c>
      <c r="E21" s="8">
        <f>COUNTIFS(metricas!E2:E10000,"&gt;=1",metricas!E2:E10000,"&lt;=20",metricas!B2:B10000,"OUT")</f>
        <v>66</v>
      </c>
      <c r="F21" s="8">
        <f>COUNTIFS(metricas!E2:E10000,"&gt;=1",metricas!E2:E10000,"&lt;=20",metricas!B2:B10000,"TUBES")</f>
        <v>0</v>
      </c>
      <c r="G21" s="8">
        <f>COUNTIFS(metricas!E2:E10000,"&gt;=1",metricas!E2:E10000,"&lt;=20",metricas!B2:B10000,"TENDRILS")</f>
        <v>0</v>
      </c>
      <c r="H21" s="8">
        <f>COUNTIFS(metricas!E2:E10000,"&gt;=1",metricas!E2:E10000,"&lt;=20",metricas!B2:B10000,"DISCONNECTED")</f>
        <v>57</v>
      </c>
      <c r="J21" s="8" t="s">
        <v>350</v>
      </c>
      <c r="K21" s="11">
        <f>COUNTIFS(metricas!J2:J10000,"&gt;7",metricas!J2:J10000,"&lt;=39",metricas!B2:B10000,"LSCC")</f>
        <v>18</v>
      </c>
      <c r="L21" s="8">
        <f>COUNTIFS(metricas!J2:J10000,"&gt;7",metricas!J2:J10000,"&lt;=39",metricas!B2:B10000,"IN")</f>
        <v>0</v>
      </c>
      <c r="M21" s="8">
        <f>COUNTIFS(metricas!J2:J10000,"&gt;7",metricas!J2:J10000,"&lt;=39",metricas!B2:B10000,"OUT")</f>
        <v>3</v>
      </c>
      <c r="N21" s="8">
        <f>COUNTIFS(metricas!J2:J10000,"&gt;7",metricas!J2:J10000,"&lt;=39",metricas!B2:B10000,"TUBES")</f>
        <v>0</v>
      </c>
      <c r="O21" s="8">
        <f>COUNTIFS(metricas!J2:J10000,"&gt;7",metricas!J2:J10000,"&lt;=39",metricas!B2:B10000,"TENDRILS")</f>
        <v>0</v>
      </c>
      <c r="P21" s="8">
        <f>COUNTIFS(metricas!J2:J10000,"&gt;7",metricas!J2:J10000,"&lt;=39",metricas!B2:B10000,"DISCONNECTED")</f>
        <v>2</v>
      </c>
    </row>
    <row r="22" spans="2:22" x14ac:dyDescent="0.25">
      <c r="B22" s="8" t="s">
        <v>351</v>
      </c>
      <c r="C22" s="8">
        <f>COUNTIFS(metricas!E2:E10000,"&gt;20",metricas!B2:B10000,"LSCC")</f>
        <v>18</v>
      </c>
      <c r="D22" s="46">
        <f>COUNTIFS(metricas!E2:E10000,"&gt;20",metricas!B2:B10000,"IN")</f>
        <v>5</v>
      </c>
      <c r="E22" s="8">
        <f>COUNTIFS(metricas!E2:E10000,"&gt;20",metricas!B2:B10000,"OUT")</f>
        <v>1</v>
      </c>
      <c r="F22" s="8">
        <f>COUNTIFS(metricas!E2:E10000,"&gt;20",metricas!B2:B10000,"TUBES")</f>
        <v>0</v>
      </c>
      <c r="G22" s="8">
        <f>COUNTIFS(metricas!E2:E10000,"&gt;20",metricas!B2:B10000,"TENDRILS")</f>
        <v>0</v>
      </c>
      <c r="H22" s="8">
        <f>COUNTIFS(metricas!E2:E10000,"&gt;20",metricas!B2:B10000,"DISCONNECTED")</f>
        <v>1</v>
      </c>
      <c r="J22" s="8" t="s">
        <v>351</v>
      </c>
      <c r="K22" s="8">
        <f>COUNTIFS(metricas!J2:J10000,"&gt;39",metricas!B2:B10000,"LSCC")</f>
        <v>2</v>
      </c>
      <c r="L22" s="46">
        <f>COUNTIFS(metricas!J2:J10000,"&gt;39",metricas!B2:B10000,"IN")</f>
        <v>0</v>
      </c>
      <c r="M22" s="8">
        <f>COUNTIFS(metricas!J2:J10000,"&gt;39",metricas!B2:B10000,"OUT")</f>
        <v>0</v>
      </c>
      <c r="N22" s="8">
        <f>COUNTIFS(metricas!J2:J10000,"&gt;39",metricas!B2:B10000,"TUBES")</f>
        <v>0</v>
      </c>
      <c r="O22" s="8">
        <f>COUNTIFS(metricas!J2:J10000,"&gt;39",metricas!B2:B10000,"TENDRILS")</f>
        <v>0</v>
      </c>
      <c r="P22" s="8">
        <f>COUNTIFS(metricas!J2:J10000,"&gt;39",metricas!B2:B10000,"DISCONNECTED")</f>
        <v>0</v>
      </c>
    </row>
    <row r="23" spans="2:22" x14ac:dyDescent="0.25">
      <c r="B23" s="3"/>
      <c r="C23" s="37">
        <f>SUM(C20:H22)</f>
        <v>331</v>
      </c>
      <c r="D23" s="37"/>
      <c r="E23" s="37"/>
      <c r="F23" s="37"/>
      <c r="G23" s="37"/>
      <c r="H23" s="37"/>
      <c r="J23" s="3"/>
      <c r="K23" s="34">
        <f>SUM(K20:P22)</f>
        <v>331</v>
      </c>
      <c r="L23" s="35"/>
      <c r="M23" s="35"/>
      <c r="N23" s="35"/>
      <c r="O23" s="35"/>
      <c r="P23" s="36"/>
    </row>
    <row r="25" spans="2:22" x14ac:dyDescent="0.25">
      <c r="B25" s="3"/>
      <c r="C25" s="38" t="s">
        <v>5</v>
      </c>
      <c r="D25" s="38"/>
      <c r="E25" s="38"/>
      <c r="F25" s="38"/>
      <c r="G25" s="38"/>
      <c r="H25" s="38"/>
      <c r="J25" s="3"/>
      <c r="K25" s="31" t="s">
        <v>10</v>
      </c>
      <c r="L25" s="32"/>
      <c r="M25" s="32"/>
      <c r="N25" s="32"/>
      <c r="O25" s="32"/>
      <c r="P25" s="33"/>
    </row>
    <row r="26" spans="2:22" x14ac:dyDescent="0.25">
      <c r="B26" s="3"/>
      <c r="C26" s="6" t="s">
        <v>13</v>
      </c>
      <c r="D26" s="6" t="s">
        <v>26</v>
      </c>
      <c r="E26" s="6" t="s">
        <v>35</v>
      </c>
      <c r="F26" s="6" t="s">
        <v>353</v>
      </c>
      <c r="G26" s="6" t="s">
        <v>56</v>
      </c>
      <c r="H26" s="6" t="s">
        <v>354</v>
      </c>
      <c r="J26" s="3"/>
      <c r="K26" s="6" t="s">
        <v>13</v>
      </c>
      <c r="L26" s="6" t="s">
        <v>26</v>
      </c>
      <c r="M26" s="6" t="s">
        <v>35</v>
      </c>
      <c r="N26" s="6" t="s">
        <v>353</v>
      </c>
      <c r="O26" s="6" t="s">
        <v>56</v>
      </c>
      <c r="P26" s="6" t="s">
        <v>354</v>
      </c>
    </row>
    <row r="27" spans="2:22" x14ac:dyDescent="0.25">
      <c r="B27" s="8" t="s">
        <v>349</v>
      </c>
      <c r="C27" s="9">
        <f>COUNTIFS(metricas!F2:F10000,"&lt;=2",metricas!B2:B10000,"LSCC")</f>
        <v>95</v>
      </c>
      <c r="D27" s="9">
        <f>COUNTIFS(metricas!F2:F10000,"&lt;=2",metricas!B2:B10000,"IN")</f>
        <v>19</v>
      </c>
      <c r="E27" s="9">
        <f>COUNTIFS(metricas!F2:F10000,"&lt;=2",metricas!B2:B10000,"OUT")</f>
        <v>117</v>
      </c>
      <c r="F27" s="9">
        <f>COUNTIFS(metricas!F2:F10000,"&lt;=2",metricas!B2:B10000,"TUBES")</f>
        <v>0</v>
      </c>
      <c r="G27" s="9">
        <f>COUNTIFS(metricas!F2:F10000,"&lt;=2",metricas!B2:B10000,"TENDRILS")</f>
        <v>1</v>
      </c>
      <c r="H27" s="9">
        <f>COUNTIFS(metricas!F2:F10000,"&lt;=2",metricas!B2:B10000,"DISCONNECTED")</f>
        <v>78</v>
      </c>
      <c r="J27" s="8" t="s">
        <v>349</v>
      </c>
      <c r="K27" s="9">
        <f>COUNTIFS(metricas!K2:K10000,"&lt;=11",metricas!B2:B10000,"LSCC")</f>
        <v>62</v>
      </c>
      <c r="L27" s="9">
        <f>COUNTIFS(metricas!K2:K10000,"&lt;=11",metricas!B2:B10000,"IN")</f>
        <v>17</v>
      </c>
      <c r="M27" s="9">
        <f>COUNTIFS(metricas!K2:K10000,"&lt;=11",metricas!B2:B10000,"OUT")</f>
        <v>130</v>
      </c>
      <c r="N27" s="9">
        <f>COUNTIFS(metricas!K2:K10000,"&lt;=11",metricas!B2:B10000,"TUBES")</f>
        <v>0</v>
      </c>
      <c r="O27" s="9">
        <f>COUNTIFS(metricas!K2:K10000,"&lt;=11",metricas!B2:B10000,"TENDRILS")</f>
        <v>3</v>
      </c>
      <c r="P27" s="9">
        <f>COUNTIFS(metricas!K2:K10000,"&lt;=11",metricas!B2:B10000,"DISCONNECTED")</f>
        <v>76</v>
      </c>
    </row>
    <row r="28" spans="2:22" x14ac:dyDescent="0.25">
      <c r="B28" s="8" t="s">
        <v>350</v>
      </c>
      <c r="C28" s="11">
        <f>COUNTIFS(metricas!F2:F10000,"&gt;2",metricas!F2:F10000,"&lt;=4",metricas!B2:B10000,"LSCC")</f>
        <v>0</v>
      </c>
      <c r="D28" s="8">
        <f>COUNTIFS(metricas!F2:F10000,"&gt;2",metricas!F2:F10000,"&lt;=4",metricas!B2:B10000,"IN")</f>
        <v>0</v>
      </c>
      <c r="E28" s="8">
        <f>COUNTIFS(metricas!F2:F10000,"&gt;2",metricas!F2:F10000,"&lt;=4",metricas!B2:B10000,"OUT")</f>
        <v>15</v>
      </c>
      <c r="F28" s="8">
        <f>COUNTIFS(metricas!F2:F10000,"&gt;2",metricas!F2:F10000,"&lt;=4",metricas!B2:B10000,"TUBES")</f>
        <v>0</v>
      </c>
      <c r="G28" s="8">
        <f>COUNTIFS(metricas!F2:F10000,"&gt;2",metricas!F2:F10000,"&lt;=4",metricas!B2:B10000,"TENDRILS")</f>
        <v>3</v>
      </c>
      <c r="H28" s="8">
        <f>COUNTIFS(metricas!F2:F10000,"&gt;2",metricas!F2:F10000,"&lt;=4",metricas!B2:B10000,"DISCONNECTED")</f>
        <v>2</v>
      </c>
      <c r="J28" s="8" t="s">
        <v>350</v>
      </c>
      <c r="K28" s="11">
        <f>COUNTIFS(metricas!K2:K10000,"&gt;11",metricas!K2:K10000,"&lt;=34",metricas!B2:B10000,"LSCC")</f>
        <v>16</v>
      </c>
      <c r="L28" s="8">
        <f>COUNTIFS(metricas!K2:K10000,"&gt;11",metricas!K2:K10000,"&lt;=34",metricas!B2:B10000,"IN")</f>
        <v>2</v>
      </c>
      <c r="M28" s="8">
        <f>COUNTIFS(metricas!K2:K10000,"&gt;11",metricas!K2:K10000,"&lt;=34",metricas!B2:B10000,"OUT")</f>
        <v>2</v>
      </c>
      <c r="N28" s="8">
        <f>COUNTIFS(metricas!K2:K10000,"&gt;11",metricas!K2:K10000,"&lt;=34",metricas!B2:B10000,"TUBES")</f>
        <v>0</v>
      </c>
      <c r="O28" s="8">
        <f>COUNTIFS(metricas!K2:K10000,"&gt;11",metricas!K2:K10000,"&lt;=34",metricas!B2:B10000,"TENDRILS")</f>
        <v>1</v>
      </c>
      <c r="P28" s="8">
        <f>COUNTIFS(metricas!K2:K10000,"&gt;11",metricas!K2:K10000,"&lt;=34",metricas!B2:B10000,"DISCONNECTED")</f>
        <v>1</v>
      </c>
    </row>
    <row r="29" spans="2:22" x14ac:dyDescent="0.25">
      <c r="B29" s="8" t="s">
        <v>351</v>
      </c>
      <c r="C29" s="8">
        <f>COUNTIFS(metricas!F2:F10000,"&gt;4",metricas!B2:B10000,"LSCC")</f>
        <v>0</v>
      </c>
      <c r="D29" s="46">
        <f>COUNTIFS(metricas!F2:F10000,"&gt;4",metricas!B2:B10000,"IN")</f>
        <v>0</v>
      </c>
      <c r="E29" s="8">
        <f>COUNTIFS(metricas!F2:F10000,"&gt;4",metricas!B2:B10000,"OUT")</f>
        <v>1</v>
      </c>
      <c r="F29" s="8">
        <f>COUNTIFS(metricas!F2:F10000,"&gt;4",metricas!B2:B10000,"TUBES")</f>
        <v>0</v>
      </c>
      <c r="G29" s="8">
        <f>COUNTIFS(metricas!F2:F10000,"&gt;4",metricas!B2:B10000,"TENDRILS")</f>
        <v>0</v>
      </c>
      <c r="H29" s="8">
        <f>COUNTIFS(metricas!F2:F10000,"&gt;4",metricas!B2:B10000,"DISCONNECTED")</f>
        <v>0</v>
      </c>
      <c r="J29" s="8" t="s">
        <v>351</v>
      </c>
      <c r="K29" s="8">
        <f>COUNTIFS(metricas!K2:K10000,"&gt;34",metricas!B2:B10000,"LSCC")</f>
        <v>17</v>
      </c>
      <c r="L29" s="46">
        <f>COUNTIFS(metricas!K2:K10000,"&gt;34",metricas!B2:B10000,"IN")</f>
        <v>0</v>
      </c>
      <c r="M29" s="8">
        <f>COUNTIFS(metricas!K2:K10000,"&gt;34",metricas!B2:B10000,"OUT")</f>
        <v>1</v>
      </c>
      <c r="N29" s="8">
        <f>COUNTIFS(metricas!K2:K10000,"&gt;34",metricas!B2:B10000,"TUBES")</f>
        <v>0</v>
      </c>
      <c r="O29" s="8">
        <f>COUNTIFS(metricas!K2:K10000,"&gt;34",metricas!B2:B10000,"TENDRILS")</f>
        <v>0</v>
      </c>
      <c r="P29" s="8">
        <f>COUNTIFS(metricas!K2:K10000,"&gt;34",metricas!B2:B10000,"DISCONNECTED")</f>
        <v>3</v>
      </c>
    </row>
    <row r="30" spans="2:22" x14ac:dyDescent="0.25">
      <c r="B30" s="3"/>
      <c r="C30" s="37">
        <f>SUM(C27:H29)</f>
        <v>331</v>
      </c>
      <c r="D30" s="37"/>
      <c r="E30" s="37"/>
      <c r="F30" s="37"/>
      <c r="G30" s="37"/>
      <c r="H30" s="37"/>
      <c r="J30" s="3"/>
      <c r="K30" s="34">
        <f>SUM(K27:P29)</f>
        <v>331</v>
      </c>
      <c r="L30" s="35"/>
      <c r="M30" s="35"/>
      <c r="N30" s="35"/>
      <c r="O30" s="35"/>
      <c r="P30" s="36"/>
    </row>
    <row r="32" spans="2:22" x14ac:dyDescent="0.25">
      <c r="B32" s="3"/>
      <c r="C32" s="31" t="s">
        <v>6</v>
      </c>
      <c r="D32" s="32"/>
      <c r="E32" s="32"/>
      <c r="F32" s="32"/>
      <c r="G32" s="32"/>
      <c r="H32" s="33"/>
      <c r="J32" s="3"/>
      <c r="K32" s="31" t="s">
        <v>11</v>
      </c>
      <c r="L32" s="32"/>
      <c r="M32" s="32"/>
      <c r="N32" s="32"/>
      <c r="O32" s="32"/>
      <c r="P32" s="33"/>
    </row>
    <row r="33" spans="2:16" x14ac:dyDescent="0.25">
      <c r="B33" s="3"/>
      <c r="C33" s="6" t="s">
        <v>13</v>
      </c>
      <c r="D33" s="6" t="s">
        <v>26</v>
      </c>
      <c r="E33" s="6" t="s">
        <v>35</v>
      </c>
      <c r="F33" s="6" t="s">
        <v>353</v>
      </c>
      <c r="G33" s="6" t="s">
        <v>56</v>
      </c>
      <c r="H33" s="6" t="s">
        <v>354</v>
      </c>
      <c r="J33" s="3"/>
      <c r="K33" s="6" t="s">
        <v>13</v>
      </c>
      <c r="L33" s="6" t="s">
        <v>26</v>
      </c>
      <c r="M33" s="6" t="s">
        <v>35</v>
      </c>
      <c r="N33" s="6" t="s">
        <v>353</v>
      </c>
      <c r="O33" s="6" t="s">
        <v>56</v>
      </c>
      <c r="P33" s="6" t="s">
        <v>354</v>
      </c>
    </row>
    <row r="34" spans="2:16" x14ac:dyDescent="0.25">
      <c r="B34" s="8" t="s">
        <v>349</v>
      </c>
      <c r="C34" s="9">
        <f>COUNTIFS(metricas!G2:G10000,"=1",metricas!B2:B10000,"LSCC")</f>
        <v>52</v>
      </c>
      <c r="D34" s="9">
        <f>COUNTIFS(metricas!G2:G10000,"=1",metricas!B2:B10000,"IN")</f>
        <v>6</v>
      </c>
      <c r="E34" s="9">
        <f>COUNTIFS(metricas!G2:G10000,"=1",metricas!B2:B10000,"OUT")</f>
        <v>127</v>
      </c>
      <c r="F34" s="9">
        <f>COUNTIFS(metricas!G2:G10000,"=1",metricas!B2:B10000,"TUBES")</f>
        <v>0</v>
      </c>
      <c r="G34" s="9">
        <f>COUNTIFS(metricas!G2:G10000,"=1",metricas!B2:B10000,"TENDRILS")</f>
        <v>4</v>
      </c>
      <c r="H34" s="9">
        <f>COUNTIFS(metricas!G2:G10000,"=1",metricas!B2:B10000,"DISCONNECTED")</f>
        <v>76</v>
      </c>
      <c r="J34" s="8" t="s">
        <v>349</v>
      </c>
      <c r="K34" s="9">
        <f>COUNTIFS(metricas!L2:L10000,"&lt;=11",metricas!B2:B10000,"LSCC")</f>
        <v>95</v>
      </c>
      <c r="L34" s="9">
        <f>COUNTIFS(metricas!L2:L10000,"&lt;=11",metricas!B2:B10000,"IN")</f>
        <v>19</v>
      </c>
      <c r="M34" s="9">
        <f>COUNTIFS(metricas!L2:L10000,"&lt;=11",metricas!B2:B10000,"OUT")</f>
        <v>133</v>
      </c>
      <c r="N34" s="9">
        <f>COUNTIFS(metricas!L2:L10000,"&lt;=11",metricas!B2:B10000,"TUBES")</f>
        <v>0</v>
      </c>
      <c r="O34" s="9">
        <f>COUNTIFS(metricas!L2:L10000,"&lt;=11",metricas!B2:B10000,"TENDRILS")</f>
        <v>4</v>
      </c>
      <c r="P34" s="9">
        <f>COUNTIFS(metricas!L2:L10000,"&lt;=11",metricas!B2:B10000,"DISCONNECTED")</f>
        <v>80</v>
      </c>
    </row>
    <row r="35" spans="2:16" x14ac:dyDescent="0.25">
      <c r="B35" s="8" t="s">
        <v>350</v>
      </c>
      <c r="C35" s="11">
        <f>COUNTIFS(metricas!G2:G10000,"&gt;=0,2",metricas!G2:G10000,"&lt;=0,5",metricas!B2:B10000,"LSCC")</f>
        <v>33</v>
      </c>
      <c r="D35" s="8">
        <f>COUNTIFS(metricas!G2:G10000,"&gt;=0,2",metricas!G2:G10000,"&lt;=0,5",metricas!B2:B10000,"IN")</f>
        <v>10</v>
      </c>
      <c r="E35" s="8">
        <f>COUNTIFS(metricas!G2:G10000,"&gt;=0,2",metricas!G2:G10000,"&lt;=0,5",metricas!B2:B10000,"OUT")</f>
        <v>6</v>
      </c>
      <c r="F35" s="8">
        <f>COUNTIFS(metricas!G2:G10000,"&gt;=0,2",metricas!G2:G10000,"&lt;=0,5",metricas!B2:B10000,"TUBES")</f>
        <v>0</v>
      </c>
      <c r="G35" s="8">
        <f>COUNTIFS(metricas!G2:G10000,"&gt;=0,2",metricas!G2:G10000,"&lt;=0,5",metricas!B2:B10000,"TENDRILS")</f>
        <v>0</v>
      </c>
      <c r="H35" s="8">
        <f>COUNTIFS(metricas!G2:G10000,"&gt;=0,2",metricas!G2:G10000,"&lt;=0,5",metricas!B2:B10000,"DISCONNECTED")</f>
        <v>4</v>
      </c>
      <c r="J35" s="8" t="s">
        <v>350</v>
      </c>
      <c r="K35" s="11">
        <f>COUNTIFS(metricas!L2:L10000,"&gt;11",metricas!L2:L10000,"&lt;=28",metricas!B2:B10000,"LSCC")</f>
        <v>0</v>
      </c>
      <c r="L35" s="8">
        <f>COUNTIFS(metricas!L2:L10000,"&gt;11",metricas!L2:L10000,"&lt;=28",metricas!B2:B10000,"IN")</f>
        <v>0</v>
      </c>
      <c r="M35" s="8">
        <f>COUNTIFS(metricas!L2:L10000,"&gt;11",metricas!L2:L10000,"&lt;=28",metricas!B2:B10000,"OUT")</f>
        <v>0</v>
      </c>
      <c r="N35" s="8">
        <f>COUNTIFS(metricas!L2:L10000,"&gt;11",metricas!L2:L10000,"&lt;=28",metricas!B2:B10000,"TUBES")</f>
        <v>0</v>
      </c>
      <c r="O35" s="8">
        <f>COUNTIFS(metricas!L2:L10000,"&gt;11",metricas!L2:L10000,"&lt;=28",metricas!B2:B10000,"TENDRILS")</f>
        <v>0</v>
      </c>
      <c r="P35" s="8">
        <f>COUNTIFS(metricas!L2:L10000,"&gt;11",metricas!L2:L10000,"&lt;=28",metricas!B2:B10000,"DISCONNECTED")</f>
        <v>0</v>
      </c>
    </row>
    <row r="36" spans="2:16" x14ac:dyDescent="0.25">
      <c r="B36" s="8" t="s">
        <v>351</v>
      </c>
      <c r="C36" s="8">
        <f>COUNTIFS(metricas!G2:G10000,"&lt;0,2",metricas!B2:B10000,"LSCC")</f>
        <v>10</v>
      </c>
      <c r="D36" s="46">
        <f>COUNTIFS(metricas!G2:G10000,"&lt;0,2",metricas!B2:B10000,"IN")</f>
        <v>3</v>
      </c>
      <c r="E36" s="8">
        <f>COUNTIFS(metricas!G2:G10000,"&lt;0,2",metricas!B2:B10000,"OUT")</f>
        <v>0</v>
      </c>
      <c r="F36" s="8">
        <f>COUNTIFS(metricas!G2:G10000,"&lt;0,2",metricas!B2:B10000,"TUBES")</f>
        <v>0</v>
      </c>
      <c r="G36" s="8">
        <f>COUNTIFS(metricas!G2:G10000,"&lt;0,2",metricas!B2:B10000,"TENDRILS")</f>
        <v>0</v>
      </c>
      <c r="H36" s="8">
        <f>COUNTIFS(metricas!G2:G10000,"&lt;0,2",metricas!B2:B10000,"DISCONNECTED")</f>
        <v>0</v>
      </c>
      <c r="J36" s="8" t="s">
        <v>351</v>
      </c>
      <c r="K36" s="8">
        <f>COUNTIFS(metricas!L2:L10000,"&gt;28",metricas!B2:B10000,"LSCC")</f>
        <v>0</v>
      </c>
      <c r="L36" s="8">
        <f>COUNTIFS(metricas!L2:L10000,"&gt;28",metricas!B2:B10000,"IN")</f>
        <v>0</v>
      </c>
      <c r="M36" s="8">
        <f>COUNTIFS(metricas!L2:L10000,"&gt;28",metricas!B2:B10000,"OUT")</f>
        <v>0</v>
      </c>
      <c r="N36" s="8">
        <f>COUNTIFS(metricas!L2:L10000,"&gt;28",metricas!B2:B10000,"TUBES")</f>
        <v>0</v>
      </c>
      <c r="O36" s="8">
        <f>COUNTIFS(metricas!L2:L10000,"&gt;28",metricas!B2:B10000,"TENDRILS")</f>
        <v>0</v>
      </c>
      <c r="P36" s="8"/>
    </row>
    <row r="37" spans="2:16" x14ac:dyDescent="0.25">
      <c r="B37" s="3"/>
      <c r="C37" s="34">
        <f>SUM(C34:H36)</f>
        <v>331</v>
      </c>
      <c r="D37" s="35"/>
      <c r="E37" s="35"/>
      <c r="F37" s="35"/>
      <c r="G37" s="35"/>
      <c r="H37" s="36"/>
      <c r="J37" s="3"/>
      <c r="K37" s="37">
        <f>SUM(K34:P36)</f>
        <v>331</v>
      </c>
      <c r="L37" s="37"/>
      <c r="M37" s="37"/>
      <c r="N37" s="37"/>
      <c r="O37" s="37"/>
      <c r="P37" s="37"/>
    </row>
  </sheetData>
  <mergeCells count="23">
    <mergeCell ref="C11:H11"/>
    <mergeCell ref="K11:P11"/>
    <mergeCell ref="C4:H4"/>
    <mergeCell ref="K4:P4"/>
    <mergeCell ref="R4:S4"/>
    <mergeCell ref="C9:H9"/>
    <mergeCell ref="K9:P9"/>
    <mergeCell ref="C16:H16"/>
    <mergeCell ref="K16:P16"/>
    <mergeCell ref="S16:T16"/>
    <mergeCell ref="U16:V16"/>
    <mergeCell ref="C18:H18"/>
    <mergeCell ref="K18:P18"/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2D4C-C29D-416C-9859-935181EEEEE1}">
  <dimension ref="A1:AM14"/>
  <sheetViews>
    <sheetView workbookViewId="0">
      <selection activeCell="AG25" sqref="AG25"/>
    </sheetView>
  </sheetViews>
  <sheetFormatPr defaultRowHeight="12.75" x14ac:dyDescent="0.2"/>
  <cols>
    <col min="1" max="1" width="7.140625" style="30" bestFit="1" customWidth="1"/>
    <col min="2" max="2" width="3" style="19" bestFit="1" customWidth="1"/>
    <col min="3" max="3" width="6.7109375" style="19" bestFit="1" customWidth="1"/>
    <col min="4" max="4" width="3" style="19" bestFit="1" customWidth="1"/>
    <col min="5" max="5" width="6.7109375" style="19" bestFit="1" customWidth="1"/>
    <col min="6" max="6" width="3" style="19" bestFit="1" customWidth="1"/>
    <col min="7" max="7" width="5.7109375" style="19" bestFit="1" customWidth="1"/>
    <col min="8" max="8" width="3" style="19" bestFit="1" customWidth="1"/>
    <col min="9" max="9" width="5.7109375" style="19" bestFit="1" customWidth="1"/>
    <col min="10" max="10" width="3" style="19" bestFit="1" customWidth="1"/>
    <col min="11" max="11" width="5.7109375" style="19" bestFit="1" customWidth="1"/>
    <col min="12" max="12" width="2" style="19" bestFit="1" customWidth="1"/>
    <col min="13" max="13" width="5.7109375" style="19" bestFit="1" customWidth="1"/>
    <col min="14" max="14" width="4" style="19" bestFit="1" customWidth="1"/>
    <col min="15" max="15" width="6.7109375" style="19" bestFit="1" customWidth="1"/>
    <col min="16" max="16" width="3" style="19" bestFit="1" customWidth="1"/>
    <col min="17" max="17" width="6.7109375" style="19" bestFit="1" customWidth="1"/>
    <col min="18" max="18" width="2" style="19" bestFit="1" customWidth="1"/>
    <col min="19" max="19" width="5.7109375" style="19" bestFit="1" customWidth="1"/>
    <col min="20" max="20" width="2" style="19" bestFit="1" customWidth="1"/>
    <col min="21" max="21" width="5.7109375" style="19" bestFit="1" customWidth="1"/>
    <col min="22" max="22" width="2" style="19" bestFit="1" customWidth="1"/>
    <col min="23" max="23" width="5.7109375" style="19" bestFit="1" customWidth="1"/>
    <col min="24" max="24" width="2" style="19" bestFit="1" customWidth="1"/>
    <col min="25" max="25" width="5.7109375" style="19" bestFit="1" customWidth="1"/>
    <col min="26" max="26" width="2" style="19" bestFit="1" customWidth="1"/>
    <col min="27" max="27" width="5.7109375" style="19" bestFit="1" customWidth="1"/>
    <col min="28" max="28" width="2" style="19" bestFit="1" customWidth="1"/>
    <col min="29" max="29" width="5.7109375" style="19" bestFit="1" customWidth="1"/>
    <col min="30" max="30" width="2" style="19" bestFit="1" customWidth="1"/>
    <col min="31" max="31" width="5.7109375" style="19" bestFit="1" customWidth="1"/>
    <col min="32" max="32" width="3" style="19" bestFit="1" customWidth="1"/>
    <col min="33" max="33" width="6.7109375" style="19" bestFit="1" customWidth="1"/>
    <col min="34" max="34" width="3" style="19" bestFit="1" customWidth="1"/>
    <col min="35" max="35" width="6.7109375" style="19" bestFit="1" customWidth="1"/>
    <col min="36" max="36" width="2" style="19" bestFit="1" customWidth="1"/>
    <col min="37" max="37" width="5.7109375" style="19" bestFit="1" customWidth="1"/>
    <col min="38" max="38" width="4" style="19" bestFit="1" customWidth="1"/>
    <col min="39" max="39" width="7.7109375" style="19" bestFit="1" customWidth="1"/>
    <col min="40" max="16384" width="9.140625" style="19"/>
  </cols>
  <sheetData>
    <row r="1" spans="1:39" x14ac:dyDescent="0.2">
      <c r="A1" s="44" t="s">
        <v>348</v>
      </c>
      <c r="B1" s="43" t="s">
        <v>13</v>
      </c>
      <c r="C1" s="43"/>
      <c r="D1" s="43"/>
      <c r="E1" s="43"/>
      <c r="F1" s="43"/>
      <c r="G1" s="43"/>
      <c r="H1" s="43" t="s">
        <v>26</v>
      </c>
      <c r="I1" s="43"/>
      <c r="J1" s="43"/>
      <c r="K1" s="43"/>
      <c r="L1" s="43"/>
      <c r="M1" s="43"/>
      <c r="N1" s="43" t="s">
        <v>35</v>
      </c>
      <c r="O1" s="43"/>
      <c r="P1" s="43"/>
      <c r="Q1" s="43"/>
      <c r="R1" s="43"/>
      <c r="S1" s="43"/>
      <c r="T1" s="43" t="s">
        <v>353</v>
      </c>
      <c r="U1" s="43"/>
      <c r="V1" s="43"/>
      <c r="W1" s="43"/>
      <c r="X1" s="43"/>
      <c r="Y1" s="43"/>
      <c r="Z1" s="43" t="s">
        <v>56</v>
      </c>
      <c r="AA1" s="43"/>
      <c r="AB1" s="43"/>
      <c r="AC1" s="43"/>
      <c r="AD1" s="43"/>
      <c r="AE1" s="43"/>
      <c r="AF1" s="43" t="s">
        <v>354</v>
      </c>
      <c r="AG1" s="43"/>
      <c r="AH1" s="43"/>
      <c r="AI1" s="43"/>
      <c r="AJ1" s="43"/>
      <c r="AK1" s="43"/>
    </row>
    <row r="2" spans="1:39" ht="23.25" customHeight="1" x14ac:dyDescent="0.2">
      <c r="A2" s="45"/>
      <c r="B2" s="42" t="s">
        <v>386</v>
      </c>
      <c r="C2" s="43"/>
      <c r="D2" s="42" t="s">
        <v>387</v>
      </c>
      <c r="E2" s="43"/>
      <c r="F2" s="42" t="s">
        <v>388</v>
      </c>
      <c r="G2" s="43"/>
      <c r="H2" s="42" t="s">
        <v>386</v>
      </c>
      <c r="I2" s="43"/>
      <c r="J2" s="42" t="s">
        <v>387</v>
      </c>
      <c r="K2" s="43"/>
      <c r="L2" s="42" t="s">
        <v>388</v>
      </c>
      <c r="M2" s="43"/>
      <c r="N2" s="42" t="s">
        <v>386</v>
      </c>
      <c r="O2" s="43"/>
      <c r="P2" s="42" t="s">
        <v>387</v>
      </c>
      <c r="Q2" s="43"/>
      <c r="R2" s="42" t="s">
        <v>388</v>
      </c>
      <c r="S2" s="43"/>
      <c r="T2" s="42" t="s">
        <v>386</v>
      </c>
      <c r="U2" s="43"/>
      <c r="V2" s="42" t="s">
        <v>387</v>
      </c>
      <c r="W2" s="43"/>
      <c r="X2" s="42" t="s">
        <v>388</v>
      </c>
      <c r="Y2" s="43"/>
      <c r="Z2" s="42" t="s">
        <v>386</v>
      </c>
      <c r="AA2" s="43"/>
      <c r="AB2" s="42" t="s">
        <v>387</v>
      </c>
      <c r="AC2" s="43"/>
      <c r="AD2" s="42" t="s">
        <v>388</v>
      </c>
      <c r="AE2" s="43"/>
      <c r="AF2" s="42" t="s">
        <v>386</v>
      </c>
      <c r="AG2" s="43"/>
      <c r="AH2" s="42" t="s">
        <v>387</v>
      </c>
      <c r="AI2" s="43"/>
      <c r="AJ2" s="42" t="s">
        <v>388</v>
      </c>
      <c r="AK2" s="43"/>
    </row>
    <row r="3" spans="1:39" x14ac:dyDescent="0.2">
      <c r="A3" s="20" t="s">
        <v>2</v>
      </c>
      <c r="B3" s="21">
        <f>distribuicao!C6</f>
        <v>38</v>
      </c>
      <c r="C3" s="22">
        <f>distribuicao!C6/distribuicao!C9</f>
        <v>0.11480362537764351</v>
      </c>
      <c r="D3" s="21">
        <f>distribuicao!C7</f>
        <v>38</v>
      </c>
      <c r="E3" s="22">
        <f>distribuicao!C7/distribuicao!C9</f>
        <v>0.11480362537764351</v>
      </c>
      <c r="F3" s="21">
        <f>distribuicao!C8</f>
        <v>19</v>
      </c>
      <c r="G3" s="22">
        <f>distribuicao!C8/distribuicao!C9</f>
        <v>5.7401812688821753E-2</v>
      </c>
      <c r="H3" s="21">
        <f>distribuicao!D6</f>
        <v>16</v>
      </c>
      <c r="I3" s="22">
        <f>distribuicao!D6/distribuicao!C9</f>
        <v>4.8338368580060423E-2</v>
      </c>
      <c r="J3" s="21">
        <f>distribuicao!D7</f>
        <v>3</v>
      </c>
      <c r="K3" s="22">
        <f>distribuicao!D7/distribuicao!C9</f>
        <v>9.0634441087613302E-3</v>
      </c>
      <c r="L3" s="21">
        <f>distribuicao!D8</f>
        <v>0</v>
      </c>
      <c r="M3" s="22">
        <f>distribuicao!D8/distribuicao!C9</f>
        <v>0</v>
      </c>
      <c r="N3" s="21">
        <f>distribuicao!E6</f>
        <v>98</v>
      </c>
      <c r="O3" s="22">
        <f>distribuicao!E6/distribuicao!C9</f>
        <v>0.29607250755287007</v>
      </c>
      <c r="P3" s="21">
        <f>distribuicao!E7</f>
        <v>35</v>
      </c>
      <c r="Q3" s="22">
        <f>distribuicao!E7/distribuicao!C9</f>
        <v>0.10574018126888217</v>
      </c>
      <c r="R3" s="21">
        <f>distribuicao!E8</f>
        <v>0</v>
      </c>
      <c r="S3" s="22">
        <f>distribuicao!E8/distribuicao!C9</f>
        <v>0</v>
      </c>
      <c r="T3" s="21">
        <f>distribuicao!F6</f>
        <v>0</v>
      </c>
      <c r="U3" s="22">
        <f>distribuicao!F6/distribuicao!C9</f>
        <v>0</v>
      </c>
      <c r="V3" s="21">
        <f>distribuicao!F7</f>
        <v>0</v>
      </c>
      <c r="W3" s="22">
        <f>distribuicao!F7/distribuicao!C9</f>
        <v>0</v>
      </c>
      <c r="X3" s="21">
        <f>distribuicao!F8</f>
        <v>0</v>
      </c>
      <c r="Y3" s="22">
        <f>distribuicao!F8/distribuicao!C9</f>
        <v>0</v>
      </c>
      <c r="Z3" s="21">
        <f>distribuicao!G6</f>
        <v>4</v>
      </c>
      <c r="AA3" s="22">
        <f>distribuicao!G6/distribuicao!C9</f>
        <v>1.2084592145015106E-2</v>
      </c>
      <c r="AB3" s="21">
        <f>distribuicao!G7</f>
        <v>0</v>
      </c>
      <c r="AC3" s="22">
        <f>distribuicao!G7/distribuicao!C9</f>
        <v>0</v>
      </c>
      <c r="AD3" s="21">
        <f>distribuicao!G8</f>
        <v>0</v>
      </c>
      <c r="AE3" s="22">
        <f>distribuicao!G8/distribuicao!C9</f>
        <v>0</v>
      </c>
      <c r="AF3" s="21">
        <f>distribuicao!H6</f>
        <v>74</v>
      </c>
      <c r="AG3" s="22">
        <f>distribuicao!H6/distribuicao!C9</f>
        <v>0.22356495468277945</v>
      </c>
      <c r="AH3" s="21">
        <f>distribuicao!H7</f>
        <v>3</v>
      </c>
      <c r="AI3" s="22">
        <f>distribuicao!H7/distribuicao!C9</f>
        <v>9.0634441087613302E-3</v>
      </c>
      <c r="AJ3" s="21">
        <f>distribuicao!H8</f>
        <v>3</v>
      </c>
      <c r="AK3" s="22">
        <f>distribuicao!H8/distribuicao!C9</f>
        <v>9.0634441087613302E-3</v>
      </c>
      <c r="AL3" s="23">
        <f>SUM(B3,D3,F3,H3,J3,L3,N3,P3,R3,T3,V3,X3,Z3,AB3,AD3,AF3,AH3,AJ3)</f>
        <v>331</v>
      </c>
      <c r="AM3" s="24">
        <f>SUM(C3,E3,G3,I3,K3,M3,O3,Q3,S3,U3,W3,Y3,AA3,AC3,AE3,AG3,AI3,AK3)</f>
        <v>1</v>
      </c>
    </row>
    <row r="4" spans="1:39" ht="15" x14ac:dyDescent="0.25">
      <c r="A4" s="20" t="s">
        <v>3</v>
      </c>
      <c r="B4" s="21">
        <f>distribuicao!C13</f>
        <v>63</v>
      </c>
      <c r="C4" s="22">
        <f>distribuicao!C13/distribuicao!C9</f>
        <v>0.19033232628398791</v>
      </c>
      <c r="D4" s="21">
        <f>distribuicao!C14</f>
        <v>21</v>
      </c>
      <c r="E4" s="22">
        <f>distribuicao!C14/distribuicao!C9</f>
        <v>6.3444108761329304E-2</v>
      </c>
      <c r="F4" s="21">
        <f>distribuicao!C15</f>
        <v>11</v>
      </c>
      <c r="G4" s="22">
        <f>distribuicao!C15/distribuicao!C9</f>
        <v>3.3232628398791542E-2</v>
      </c>
      <c r="H4" s="21">
        <f>distribuicao!D13</f>
        <v>18</v>
      </c>
      <c r="I4" s="22">
        <f>distribuicao!D13/distribuicao!C9</f>
        <v>5.4380664652567974E-2</v>
      </c>
      <c r="J4" s="21">
        <f>distribuicao!D14</f>
        <v>1</v>
      </c>
      <c r="K4" s="22">
        <f>distribuicao!D14/distribuicao!C9</f>
        <v>3.0211480362537764E-3</v>
      </c>
      <c r="L4" s="16">
        <f>distribuicao!D15</f>
        <v>0</v>
      </c>
      <c r="M4" s="22">
        <f>distribuicao!D15/distribuicao!C9</f>
        <v>0</v>
      </c>
      <c r="N4" s="21">
        <f>distribuicao!E13</f>
        <v>130</v>
      </c>
      <c r="O4" s="22">
        <f>distribuicao!E13/distribuicao!C9</f>
        <v>0.39274924471299094</v>
      </c>
      <c r="P4" s="21">
        <f>distribuicao!E14</f>
        <v>2</v>
      </c>
      <c r="Q4" s="22">
        <f>distribuicao!E14/distribuicao!C9</f>
        <v>6.0422960725075529E-3</v>
      </c>
      <c r="R4" s="21">
        <f>distribuicao!E15</f>
        <v>1</v>
      </c>
      <c r="S4" s="22">
        <f>distribuicao!E15/distribuicao!C9</f>
        <v>3.0211480362537764E-3</v>
      </c>
      <c r="T4" s="21">
        <f>distribuicao!F13</f>
        <v>0</v>
      </c>
      <c r="U4" s="22">
        <f>distribuicao!F13/distribuicao!C9</f>
        <v>0</v>
      </c>
      <c r="V4" s="21">
        <f>distribuicao!F14</f>
        <v>0</v>
      </c>
      <c r="W4" s="22">
        <f>distribuicao!F14/distribuicao!C9</f>
        <v>0</v>
      </c>
      <c r="X4" s="21">
        <f>distribuicao!F15</f>
        <v>0</v>
      </c>
      <c r="Y4" s="22">
        <f>distribuicao!F15/distribuicao!C9</f>
        <v>0</v>
      </c>
      <c r="Z4" s="21">
        <f>distribuicao!G13</f>
        <v>3</v>
      </c>
      <c r="AA4" s="22">
        <f>distribuicao!G13/distribuicao!C9</f>
        <v>9.0634441087613302E-3</v>
      </c>
      <c r="AB4" s="21">
        <f>distribuicao!G14</f>
        <v>1</v>
      </c>
      <c r="AC4" s="22">
        <f>distribuicao!G14/distribuicao!C9</f>
        <v>3.0211480362537764E-3</v>
      </c>
      <c r="AD4" s="21">
        <f>distribuicao!G15</f>
        <v>0</v>
      </c>
      <c r="AE4" s="22">
        <f>distribuicao!G15/distribuicao!C9</f>
        <v>0</v>
      </c>
      <c r="AF4" s="21">
        <f>distribuicao!H13</f>
        <v>76</v>
      </c>
      <c r="AG4" s="22">
        <f>distribuicao!H13/distribuicao!C9</f>
        <v>0.22960725075528701</v>
      </c>
      <c r="AH4" s="21">
        <f>distribuicao!H14</f>
        <v>1</v>
      </c>
      <c r="AI4" s="22">
        <f>distribuicao!H14/distribuicao!C9</f>
        <v>3.0211480362537764E-3</v>
      </c>
      <c r="AJ4" s="21">
        <f>distribuicao!H15</f>
        <v>3</v>
      </c>
      <c r="AK4" s="22">
        <f>distribuicao!H15/distribuicao!C9</f>
        <v>9.0634441087613302E-3</v>
      </c>
      <c r="AL4" s="23">
        <f>SUM(B4,D4,F4,H4,J4,L4,N4,P4,R4,T4,V4,X4,Z4,AB4,AD4,AF4,AH4,AJ4)</f>
        <v>331</v>
      </c>
      <c r="AM4" s="24">
        <f t="shared" ref="AM4:AM11" si="0">SUM(C4,E4,G4,I4,K4,M4,O4,Q4,S4,U4,W4,Y4,AA4,AC4,AE4,AG4,AI4,AK4)</f>
        <v>0.99999999999999989</v>
      </c>
    </row>
    <row r="5" spans="1:39" x14ac:dyDescent="0.2">
      <c r="A5" s="20" t="s">
        <v>4</v>
      </c>
      <c r="B5" s="21">
        <f>distribuicao!C20</f>
        <v>47</v>
      </c>
      <c r="C5" s="22">
        <f>distribuicao!C20/distribuicao!C9</f>
        <v>0.1419939577039275</v>
      </c>
      <c r="D5" s="21">
        <f>distribuicao!C21</f>
        <v>30</v>
      </c>
      <c r="E5" s="22">
        <f>distribuicao!C21/distribuicao!C9</f>
        <v>9.0634441087613288E-2</v>
      </c>
      <c r="F5" s="21">
        <f>distribuicao!C22</f>
        <v>18</v>
      </c>
      <c r="G5" s="22">
        <f>distribuicao!C22/distribuicao!C9</f>
        <v>5.4380664652567974E-2</v>
      </c>
      <c r="H5" s="21">
        <f>distribuicao!D20</f>
        <v>5</v>
      </c>
      <c r="I5" s="22">
        <f>distribuicao!D20/distribuicao!C9</f>
        <v>1.5105740181268883E-2</v>
      </c>
      <c r="J5" s="21">
        <f>distribuicao!D21</f>
        <v>9</v>
      </c>
      <c r="K5" s="22">
        <f>distribuicao!D21/distribuicao!C9</f>
        <v>2.7190332326283987E-2</v>
      </c>
      <c r="L5" s="21">
        <f>distribuicao!D22</f>
        <v>5</v>
      </c>
      <c r="M5" s="22">
        <f>distribuicao!D22/distribuicao!C9</f>
        <v>1.5105740181268883E-2</v>
      </c>
      <c r="N5" s="21">
        <f>distribuicao!E20</f>
        <v>66</v>
      </c>
      <c r="O5" s="22">
        <f>distribuicao!E20/distribuicao!C9</f>
        <v>0.19939577039274925</v>
      </c>
      <c r="P5" s="21">
        <f>distribuicao!E21</f>
        <v>66</v>
      </c>
      <c r="Q5" s="22">
        <f>distribuicao!E21/distribuicao!C9</f>
        <v>0.19939577039274925</v>
      </c>
      <c r="R5" s="21">
        <f>distribuicao!E22</f>
        <v>1</v>
      </c>
      <c r="S5" s="22">
        <f>distribuicao!E22/distribuicao!C9</f>
        <v>3.0211480362537764E-3</v>
      </c>
      <c r="T5" s="21">
        <f>distribuicao!F20</f>
        <v>0</v>
      </c>
      <c r="U5" s="22">
        <f>distribuicao!F20/distribuicao!C9</f>
        <v>0</v>
      </c>
      <c r="V5" s="21">
        <f>distribuicao!F21</f>
        <v>0</v>
      </c>
      <c r="W5" s="22">
        <f>distribuicao!F21/distribuicao!C9</f>
        <v>0</v>
      </c>
      <c r="X5" s="21">
        <f>distribuicao!F22</f>
        <v>0</v>
      </c>
      <c r="Y5" s="22">
        <f>distribuicao!F22/distribuicao!C9</f>
        <v>0</v>
      </c>
      <c r="Z5" s="21">
        <f>distribuicao!G20</f>
        <v>4</v>
      </c>
      <c r="AA5" s="22">
        <f>distribuicao!G20/distribuicao!C9</f>
        <v>1.2084592145015106E-2</v>
      </c>
      <c r="AB5" s="21">
        <f>distribuicao!G21</f>
        <v>0</v>
      </c>
      <c r="AC5" s="22">
        <f>distribuicao!G21/distribuicao!C9</f>
        <v>0</v>
      </c>
      <c r="AD5" s="21">
        <f>distribuicao!G22</f>
        <v>0</v>
      </c>
      <c r="AE5" s="22">
        <f>distribuicao!G22/distribuicao!C9</f>
        <v>0</v>
      </c>
      <c r="AF5" s="21">
        <f>distribuicao!H20</f>
        <v>22</v>
      </c>
      <c r="AG5" s="22">
        <f>distribuicao!H20/distribuicao!C9</f>
        <v>6.6465256797583083E-2</v>
      </c>
      <c r="AH5" s="21">
        <f>distribuicao!H21</f>
        <v>57</v>
      </c>
      <c r="AI5" s="22">
        <f>distribuicao!H21/distribuicao!C9</f>
        <v>0.17220543806646527</v>
      </c>
      <c r="AJ5" s="21">
        <f>distribuicao!H22</f>
        <v>1</v>
      </c>
      <c r="AK5" s="22">
        <f>distribuicao!H22/distribuicao!C9</f>
        <v>3.0211480362537764E-3</v>
      </c>
      <c r="AL5" s="23">
        <f t="shared" ref="AL5:AL12" si="1">SUM(B5,D5,F5,H5,J5,L5,N5,P5,R5,T5,V5,X5,Z5,AB5,AD5,AF5,AH5,AJ5)</f>
        <v>331</v>
      </c>
      <c r="AM5" s="24">
        <f t="shared" si="0"/>
        <v>0.99999999999999989</v>
      </c>
    </row>
    <row r="6" spans="1:39" x14ac:dyDescent="0.2">
      <c r="A6" s="20" t="s">
        <v>5</v>
      </c>
      <c r="B6" s="25">
        <f>distribuicao!C27</f>
        <v>95</v>
      </c>
      <c r="C6" s="26">
        <f>distribuicao!C27/distribuicao!C9</f>
        <v>0.28700906344410876</v>
      </c>
      <c r="D6" s="25">
        <f>distribuicao!C28</f>
        <v>0</v>
      </c>
      <c r="E6" s="26">
        <f>distribuicao!C28/distribuicao!C9</f>
        <v>0</v>
      </c>
      <c r="F6" s="25">
        <f>distribuicao!C29</f>
        <v>0</v>
      </c>
      <c r="G6" s="26">
        <f>distribuicao!C29/distribuicao!C9</f>
        <v>0</v>
      </c>
      <c r="H6" s="25">
        <f>distribuicao!D27</f>
        <v>19</v>
      </c>
      <c r="I6" s="26">
        <f>distribuicao!D27/distribuicao!C9</f>
        <v>5.7401812688821753E-2</v>
      </c>
      <c r="J6" s="25">
        <f>distribuicao!D28</f>
        <v>0</v>
      </c>
      <c r="K6" s="26">
        <f>distribuicao!D28/distribuicao!C9</f>
        <v>0</v>
      </c>
      <c r="L6" s="25">
        <f>distribuicao!D29</f>
        <v>0</v>
      </c>
      <c r="M6" s="26">
        <f>distribuicao!D29/distribuicao!C9</f>
        <v>0</v>
      </c>
      <c r="N6" s="25">
        <f>distribuicao!E27</f>
        <v>117</v>
      </c>
      <c r="O6" s="26">
        <f>distribuicao!E27/distribuicao!C9</f>
        <v>0.35347432024169184</v>
      </c>
      <c r="P6" s="25">
        <f>distribuicao!E28</f>
        <v>15</v>
      </c>
      <c r="Q6" s="26">
        <f>distribuicao!E28/distribuicao!C9</f>
        <v>4.5317220543806644E-2</v>
      </c>
      <c r="R6" s="25">
        <f>distribuicao!E29</f>
        <v>1</v>
      </c>
      <c r="S6" s="26">
        <f>distribuicao!E29/distribuicao!C9</f>
        <v>3.0211480362537764E-3</v>
      </c>
      <c r="T6" s="25">
        <f>distribuicao!F27</f>
        <v>0</v>
      </c>
      <c r="U6" s="26">
        <f>distribuicao!F27/distribuicao!C9</f>
        <v>0</v>
      </c>
      <c r="V6" s="25">
        <f>distribuicao!F28</f>
        <v>0</v>
      </c>
      <c r="W6" s="26">
        <f>distribuicao!F28/distribuicao!C9</f>
        <v>0</v>
      </c>
      <c r="X6" s="25">
        <f>distribuicao!F29</f>
        <v>0</v>
      </c>
      <c r="Y6" s="26">
        <f>distribuicao!F29/distribuicao!C9</f>
        <v>0</v>
      </c>
      <c r="Z6" s="25">
        <f>distribuicao!G27</f>
        <v>1</v>
      </c>
      <c r="AA6" s="26">
        <f>distribuicao!G27/distribuicao!C9</f>
        <v>3.0211480362537764E-3</v>
      </c>
      <c r="AB6" s="25">
        <f>distribuicao!G28</f>
        <v>3</v>
      </c>
      <c r="AC6" s="26">
        <f>distribuicao!G28/distribuicao!C9</f>
        <v>9.0634441087613302E-3</v>
      </c>
      <c r="AD6" s="25">
        <f>distribuicao!G29</f>
        <v>0</v>
      </c>
      <c r="AE6" s="26">
        <f>distribuicao!G29/distribuicao!C9</f>
        <v>0</v>
      </c>
      <c r="AF6" s="25">
        <f>distribuicao!H27</f>
        <v>78</v>
      </c>
      <c r="AG6" s="26">
        <f>distribuicao!H27/distribuicao!C9</f>
        <v>0.23564954682779457</v>
      </c>
      <c r="AH6" s="25">
        <f>distribuicao!H28</f>
        <v>2</v>
      </c>
      <c r="AI6" s="26">
        <f>distribuicao!H28/distribuicao!C9</f>
        <v>6.0422960725075529E-3</v>
      </c>
      <c r="AJ6" s="25">
        <f>distribuicao!H29</f>
        <v>0</v>
      </c>
      <c r="AK6" s="26">
        <f>distribuicao!H29/distribuicao!C9</f>
        <v>0</v>
      </c>
      <c r="AL6" s="23">
        <f t="shared" si="1"/>
        <v>331</v>
      </c>
      <c r="AM6" s="24">
        <f t="shared" si="0"/>
        <v>1</v>
      </c>
    </row>
    <row r="7" spans="1:39" x14ac:dyDescent="0.2">
      <c r="A7" s="20" t="s">
        <v>6</v>
      </c>
      <c r="B7" s="27">
        <f>distribuicao!C34</f>
        <v>52</v>
      </c>
      <c r="C7" s="28">
        <f>distribuicao!C34/distribuicao!C9</f>
        <v>0.15709969788519637</v>
      </c>
      <c r="D7" s="29">
        <f>distribuicao!C35</f>
        <v>33</v>
      </c>
      <c r="E7" s="28">
        <f>distribuicao!C35/distribuicao!C9</f>
        <v>9.9697885196374625E-2</v>
      </c>
      <c r="F7" s="29">
        <f>distribuicao!C36</f>
        <v>10</v>
      </c>
      <c r="G7" s="28">
        <f>distribuicao!C36/distribuicao!C9</f>
        <v>3.0211480362537766E-2</v>
      </c>
      <c r="H7" s="29">
        <f>distribuicao!D34</f>
        <v>6</v>
      </c>
      <c r="I7" s="28">
        <f>distribuicao!D34/distribuicao!C9</f>
        <v>1.812688821752266E-2</v>
      </c>
      <c r="J7" s="29">
        <f>distribuicao!D35</f>
        <v>10</v>
      </c>
      <c r="K7" s="28">
        <f>distribuicao!D35/distribuicao!C9</f>
        <v>3.0211480362537766E-2</v>
      </c>
      <c r="L7" s="29">
        <f>distribuicao!D36</f>
        <v>3</v>
      </c>
      <c r="M7" s="28">
        <f>distribuicao!D36/distribuicao!C9</f>
        <v>9.0634441087613302E-3</v>
      </c>
      <c r="N7" s="29">
        <f>distribuicao!E34</f>
        <v>127</v>
      </c>
      <c r="O7" s="28">
        <f>distribuicao!E34/distribuicao!C9</f>
        <v>0.38368580060422963</v>
      </c>
      <c r="P7" s="29">
        <f>distribuicao!E35</f>
        <v>6</v>
      </c>
      <c r="Q7" s="28">
        <f>distribuicao!E35/distribuicao!C9</f>
        <v>1.812688821752266E-2</v>
      </c>
      <c r="R7" s="29">
        <f>distribuicao!E36</f>
        <v>0</v>
      </c>
      <c r="S7" s="28">
        <f>distribuicao!E36/distribuicao!C9</f>
        <v>0</v>
      </c>
      <c r="T7" s="29">
        <f>distribuicao!F34</f>
        <v>0</v>
      </c>
      <c r="U7" s="28">
        <f>distribuicao!F34/distribuicao!C9</f>
        <v>0</v>
      </c>
      <c r="V7" s="29">
        <f>distribuicao!F35</f>
        <v>0</v>
      </c>
      <c r="W7" s="28">
        <f>distribuicao!F35/distribuicao!C9</f>
        <v>0</v>
      </c>
      <c r="X7" s="29">
        <f>distribuicao!F36</f>
        <v>0</v>
      </c>
      <c r="Y7" s="28">
        <f>distribuicao!F36/distribuicao!C9</f>
        <v>0</v>
      </c>
      <c r="Z7" s="29">
        <f>distribuicao!G34</f>
        <v>4</v>
      </c>
      <c r="AA7" s="28">
        <f>distribuicao!G34/distribuicao!C9</f>
        <v>1.2084592145015106E-2</v>
      </c>
      <c r="AB7" s="29">
        <f>distribuicao!G35</f>
        <v>0</v>
      </c>
      <c r="AC7" s="28">
        <f>distribuicao!G35/distribuicao!C9</f>
        <v>0</v>
      </c>
      <c r="AD7" s="29">
        <f>distribuicao!G36</f>
        <v>0</v>
      </c>
      <c r="AE7" s="28">
        <f>distribuicao!G36/distribuicao!C9</f>
        <v>0</v>
      </c>
      <c r="AF7" s="29">
        <f>distribuicao!H34</f>
        <v>76</v>
      </c>
      <c r="AG7" s="28">
        <f>distribuicao!H34/distribuicao!C9</f>
        <v>0.22960725075528701</v>
      </c>
      <c r="AH7" s="29">
        <f>distribuicao!H35</f>
        <v>4</v>
      </c>
      <c r="AI7" s="28">
        <f>distribuicao!H35/distribuicao!C9</f>
        <v>1.2084592145015106E-2</v>
      </c>
      <c r="AJ7" s="29">
        <f>distribuicao!H36</f>
        <v>0</v>
      </c>
      <c r="AK7" s="28">
        <f>distribuicao!H36/distribuicao!C9</f>
        <v>0</v>
      </c>
      <c r="AL7" s="23">
        <f t="shared" si="1"/>
        <v>331</v>
      </c>
      <c r="AM7" s="24">
        <f t="shared" si="0"/>
        <v>1</v>
      </c>
    </row>
    <row r="8" spans="1:39" x14ac:dyDescent="0.2">
      <c r="A8" s="20" t="s">
        <v>7</v>
      </c>
      <c r="B8" s="21">
        <f>distribuicao!K6</f>
        <v>47</v>
      </c>
      <c r="C8" s="22">
        <f>distribuicao!K6/distribuicao!C9</f>
        <v>0.1419939577039275</v>
      </c>
      <c r="D8" s="21">
        <f>distribuicao!K7</f>
        <v>26</v>
      </c>
      <c r="E8" s="22">
        <f>distribuicao!K7/distribuicao!C9</f>
        <v>7.8549848942598186E-2</v>
      </c>
      <c r="F8" s="21">
        <f>distribuicao!K8</f>
        <v>22</v>
      </c>
      <c r="G8" s="22">
        <f>distribuicao!K8/distribuicao!C9</f>
        <v>6.6465256797583083E-2</v>
      </c>
      <c r="H8" s="21">
        <f>distribuicao!L6</f>
        <v>14</v>
      </c>
      <c r="I8" s="22">
        <f>distribuicao!L6/distribuicao!C9</f>
        <v>4.2296072507552872E-2</v>
      </c>
      <c r="J8" s="21">
        <f>distribuicao!L7</f>
        <v>5</v>
      </c>
      <c r="K8" s="22">
        <f>distribuicao!L7/distribuicao!C9</f>
        <v>1.5105740181268883E-2</v>
      </c>
      <c r="L8" s="21">
        <f>distribuicao!L8</f>
        <v>0</v>
      </c>
      <c r="M8" s="22">
        <f>distribuicao!L8/distribuicao!C9</f>
        <v>0</v>
      </c>
      <c r="N8" s="21">
        <f>distribuicao!M6</f>
        <v>133</v>
      </c>
      <c r="O8" s="22">
        <f>distribuicao!M6/distribuicao!C9</f>
        <v>0.40181268882175225</v>
      </c>
      <c r="P8" s="21">
        <f>distribuicao!M7</f>
        <v>0</v>
      </c>
      <c r="Q8" s="22">
        <f>distribuicao!M7/distribuicao!C9</f>
        <v>0</v>
      </c>
      <c r="R8" s="21">
        <f>distribuicao!M8</f>
        <v>0</v>
      </c>
      <c r="S8" s="22">
        <f>distribuicao!M8/distribuicao!C9</f>
        <v>0</v>
      </c>
      <c r="T8" s="21">
        <f>distribuicao!N6</f>
        <v>0</v>
      </c>
      <c r="U8" s="22">
        <f>distribuicao!N6/distribuicao!C9</f>
        <v>0</v>
      </c>
      <c r="V8" s="21">
        <f>distribuicao!N7</f>
        <v>0</v>
      </c>
      <c r="W8" s="22">
        <f>distribuicao!N7/distribuicao!C9</f>
        <v>0</v>
      </c>
      <c r="X8" s="21">
        <f>distribuicao!N8</f>
        <v>0</v>
      </c>
      <c r="Y8" s="22">
        <f>distribuicao!N8/distribuicao!C9</f>
        <v>0</v>
      </c>
      <c r="Z8" s="21">
        <f>distribuicao!O6</f>
        <v>4</v>
      </c>
      <c r="AA8" s="22">
        <f>distribuicao!O6/distribuicao!C9</f>
        <v>1.2084592145015106E-2</v>
      </c>
      <c r="AB8" s="21">
        <f>distribuicao!O7</f>
        <v>0</v>
      </c>
      <c r="AC8" s="22">
        <f>distribuicao!O7/distribuicao!C9</f>
        <v>0</v>
      </c>
      <c r="AD8" s="21">
        <f>distribuicao!O8</f>
        <v>0</v>
      </c>
      <c r="AE8" s="22">
        <f>distribuicao!O8/distribuicao!C9</f>
        <v>0</v>
      </c>
      <c r="AF8" s="21">
        <f>distribuicao!P6</f>
        <v>76</v>
      </c>
      <c r="AG8" s="22">
        <f>distribuicao!P6/distribuicao!C9</f>
        <v>0.22960725075528701</v>
      </c>
      <c r="AH8" s="21">
        <f>distribuicao!P7</f>
        <v>1</v>
      </c>
      <c r="AI8" s="22">
        <f>distribuicao!P7/distribuicao!C9</f>
        <v>3.0211480362537764E-3</v>
      </c>
      <c r="AJ8" s="21">
        <f>distribuicao!P8</f>
        <v>3</v>
      </c>
      <c r="AK8" s="22">
        <f>distribuicao!P8/distribuicao!C9</f>
        <v>9.0634441087613302E-3</v>
      </c>
      <c r="AL8" s="23">
        <f t="shared" si="1"/>
        <v>331</v>
      </c>
      <c r="AM8" s="24">
        <f t="shared" si="0"/>
        <v>0.99999999999999989</v>
      </c>
    </row>
    <row r="9" spans="1:39" x14ac:dyDescent="0.2">
      <c r="A9" s="20" t="s">
        <v>8</v>
      </c>
      <c r="B9" s="29">
        <f>distribuicao!K13</f>
        <v>45</v>
      </c>
      <c r="C9" s="28">
        <f>distribuicao!K13/distribuicao!C9</f>
        <v>0.13595166163141995</v>
      </c>
      <c r="D9" s="29">
        <f>distribuicao!K14</f>
        <v>20</v>
      </c>
      <c r="E9" s="28">
        <f>distribuicao!K14/distribuicao!C9</f>
        <v>6.0422960725075532E-2</v>
      </c>
      <c r="F9" s="29">
        <f>distribuicao!K15</f>
        <v>30</v>
      </c>
      <c r="G9" s="28">
        <f>distribuicao!K15/distribuicao!C9</f>
        <v>9.0634441087613288E-2</v>
      </c>
      <c r="H9" s="29">
        <f>distribuicao!L13</f>
        <v>6</v>
      </c>
      <c r="I9" s="28">
        <f>distribuicao!L13/distribuicao!C9</f>
        <v>1.812688821752266E-2</v>
      </c>
      <c r="J9" s="29">
        <f>distribuicao!L14</f>
        <v>12</v>
      </c>
      <c r="K9" s="28">
        <f>distribuicao!L14/distribuicao!C9</f>
        <v>3.6253776435045321E-2</v>
      </c>
      <c r="L9" s="29">
        <f>distribuicao!L15</f>
        <v>1</v>
      </c>
      <c r="M9" s="28">
        <f>distribuicao!L15/distribuicao!C9</f>
        <v>3.0211480362537764E-3</v>
      </c>
      <c r="N9" s="29">
        <f>distribuicao!M13</f>
        <v>128</v>
      </c>
      <c r="O9" s="28">
        <f>distribuicao!M13/distribuicao!C9</f>
        <v>0.38670694864048338</v>
      </c>
      <c r="P9" s="29">
        <f>distribuicao!M14</f>
        <v>4</v>
      </c>
      <c r="Q9" s="28">
        <f>distribuicao!M14/distribuicao!C9</f>
        <v>1.2084592145015106E-2</v>
      </c>
      <c r="R9" s="29">
        <f>distribuicao!M15</f>
        <v>1</v>
      </c>
      <c r="S9" s="28">
        <f>distribuicao!M15/distribuicao!C9</f>
        <v>3.0211480362537764E-3</v>
      </c>
      <c r="T9" s="29">
        <f>distribuicao!N13</f>
        <v>0</v>
      </c>
      <c r="U9" s="28">
        <f>distribuicao!N13/distribuicao!C9</f>
        <v>0</v>
      </c>
      <c r="V9" s="29">
        <f>distribuicao!N14</f>
        <v>0</v>
      </c>
      <c r="W9" s="28">
        <f>distribuicao!N14/distribuicao!C9</f>
        <v>0</v>
      </c>
      <c r="X9" s="29">
        <f>distribuicao!N15</f>
        <v>0</v>
      </c>
      <c r="Y9" s="28">
        <f>distribuicao!N15/distribuicao!C9</f>
        <v>0</v>
      </c>
      <c r="Z9" s="29">
        <f>distribuicao!O13</f>
        <v>3</v>
      </c>
      <c r="AA9" s="28">
        <f>distribuicao!O13/distribuicao!C9</f>
        <v>9.0634441087613302E-3</v>
      </c>
      <c r="AB9" s="29">
        <f>distribuicao!O14</f>
        <v>1</v>
      </c>
      <c r="AC9" s="28">
        <f>distribuicao!O14/distribuicao!C9</f>
        <v>3.0211480362537764E-3</v>
      </c>
      <c r="AD9" s="29">
        <f>distribuicao!O15</f>
        <v>0</v>
      </c>
      <c r="AE9" s="28">
        <f>distribuicao!O15/distribuicao!C9</f>
        <v>0</v>
      </c>
      <c r="AF9" s="29">
        <f>distribuicao!P13</f>
        <v>76</v>
      </c>
      <c r="AG9" s="28">
        <f>distribuicao!P13/distribuicao!C9</f>
        <v>0.22960725075528701</v>
      </c>
      <c r="AH9" s="29">
        <f>distribuicao!P14</f>
        <v>0</v>
      </c>
      <c r="AI9" s="28">
        <f>distribuicao!P14/distribuicao!C9</f>
        <v>0</v>
      </c>
      <c r="AJ9" s="29">
        <f>distribuicao!P15</f>
        <v>4</v>
      </c>
      <c r="AK9" s="28">
        <f>distribuicao!P15/distribuicao!C9</f>
        <v>1.2084592145015106E-2</v>
      </c>
      <c r="AL9" s="23">
        <f t="shared" si="1"/>
        <v>331</v>
      </c>
      <c r="AM9" s="24">
        <f t="shared" si="0"/>
        <v>1</v>
      </c>
    </row>
    <row r="10" spans="1:39" x14ac:dyDescent="0.2">
      <c r="A10" s="20" t="s">
        <v>9</v>
      </c>
      <c r="B10" s="29">
        <f>distribuicao!K20</f>
        <v>75</v>
      </c>
      <c r="C10" s="28">
        <f>distribuicao!K20/distribuicao!C9</f>
        <v>0.22658610271903323</v>
      </c>
      <c r="D10" s="29">
        <f>distribuicao!K21</f>
        <v>18</v>
      </c>
      <c r="E10" s="28">
        <f>distribuicao!K21/distribuicao!C9</f>
        <v>5.4380664652567974E-2</v>
      </c>
      <c r="F10" s="29">
        <f>distribuicao!K22</f>
        <v>2</v>
      </c>
      <c r="G10" s="28">
        <f>distribuicao!K22/distribuicao!C9</f>
        <v>6.0422960725075529E-3</v>
      </c>
      <c r="H10" s="29">
        <f>distribuicao!L20</f>
        <v>19</v>
      </c>
      <c r="I10" s="28">
        <f>distribuicao!L20/distribuicao!C9</f>
        <v>5.7401812688821753E-2</v>
      </c>
      <c r="J10" s="29">
        <f>distribuicao!L21</f>
        <v>0</v>
      </c>
      <c r="K10" s="28">
        <f>distribuicao!L21/distribuicao!C9</f>
        <v>0</v>
      </c>
      <c r="L10" s="29">
        <f>distribuicao!L22</f>
        <v>0</v>
      </c>
      <c r="M10" s="28">
        <f>distribuicao!L22/distribuicao!C9</f>
        <v>0</v>
      </c>
      <c r="N10" s="29">
        <f>distribuicao!M20</f>
        <v>130</v>
      </c>
      <c r="O10" s="28">
        <f>distribuicao!M20/distribuicao!C9</f>
        <v>0.39274924471299094</v>
      </c>
      <c r="P10" s="29">
        <f>distribuicao!M21</f>
        <v>3</v>
      </c>
      <c r="Q10" s="28">
        <f>distribuicao!M21/distribuicao!C9</f>
        <v>9.0634441087613302E-3</v>
      </c>
      <c r="R10" s="29">
        <f>distribuicao!M22</f>
        <v>0</v>
      </c>
      <c r="S10" s="28">
        <f>distribuicao!M22/distribuicao!C9</f>
        <v>0</v>
      </c>
      <c r="T10" s="29">
        <f>distribuicao!N20</f>
        <v>0</v>
      </c>
      <c r="U10" s="28">
        <f>distribuicao!N20/distribuicao!C9</f>
        <v>0</v>
      </c>
      <c r="V10" s="29">
        <f>distribuicao!N21</f>
        <v>0</v>
      </c>
      <c r="W10" s="28">
        <f>distribuicao!N21/distribuicao!C9</f>
        <v>0</v>
      </c>
      <c r="X10" s="29">
        <f>distribuicao!N22</f>
        <v>0</v>
      </c>
      <c r="Y10" s="28">
        <f>distribuicao!N22/distribuicao!C9</f>
        <v>0</v>
      </c>
      <c r="Z10" s="29">
        <f>distribuicao!O20</f>
        <v>4</v>
      </c>
      <c r="AA10" s="28">
        <f>distribuicao!O20/distribuicao!C9</f>
        <v>1.2084592145015106E-2</v>
      </c>
      <c r="AB10" s="29">
        <f>distribuicao!O21</f>
        <v>0</v>
      </c>
      <c r="AC10" s="28">
        <f>distribuicao!O21/distribuicao!C9</f>
        <v>0</v>
      </c>
      <c r="AD10" s="29">
        <f>distribuicao!O22</f>
        <v>0</v>
      </c>
      <c r="AE10" s="28">
        <f>distribuicao!O22/distribuicao!C9</f>
        <v>0</v>
      </c>
      <c r="AF10" s="29">
        <f>distribuicao!P20</f>
        <v>78</v>
      </c>
      <c r="AG10" s="28">
        <f>distribuicao!P20/distribuicao!C9</f>
        <v>0.23564954682779457</v>
      </c>
      <c r="AH10" s="29">
        <f>distribuicao!P21</f>
        <v>2</v>
      </c>
      <c r="AI10" s="28">
        <f>distribuicao!P21/distribuicao!C9</f>
        <v>6.0422960725075529E-3</v>
      </c>
      <c r="AJ10" s="29">
        <f>distribuicao!P22</f>
        <v>0</v>
      </c>
      <c r="AK10" s="28">
        <f>distribuicao!P22/distribuicao!C9</f>
        <v>0</v>
      </c>
      <c r="AL10" s="23">
        <f t="shared" si="1"/>
        <v>331</v>
      </c>
      <c r="AM10" s="24">
        <f t="shared" si="0"/>
        <v>1.0000000000000002</v>
      </c>
    </row>
    <row r="11" spans="1:39" x14ac:dyDescent="0.2">
      <c r="A11" s="20" t="s">
        <v>10</v>
      </c>
      <c r="B11" s="21">
        <f>distribuicao!K27</f>
        <v>62</v>
      </c>
      <c r="C11" s="22">
        <f>distribuicao!K27/distribuicao!C9</f>
        <v>0.18731117824773413</v>
      </c>
      <c r="D11" s="21">
        <f>distribuicao!K28</f>
        <v>16</v>
      </c>
      <c r="E11" s="22">
        <f>distribuicao!K28/distribuicao!C9</f>
        <v>4.8338368580060423E-2</v>
      </c>
      <c r="F11" s="21">
        <f>distribuicao!K29</f>
        <v>17</v>
      </c>
      <c r="G11" s="22">
        <f>distribuicao!K29/distribuicao!C9</f>
        <v>5.1359516616314202E-2</v>
      </c>
      <c r="H11" s="21">
        <f>distribuicao!L27</f>
        <v>17</v>
      </c>
      <c r="I11" s="22">
        <f>distribuicao!L27/distribuicao!C9</f>
        <v>5.1359516616314202E-2</v>
      </c>
      <c r="J11" s="21">
        <f>distribuicao!L28</f>
        <v>2</v>
      </c>
      <c r="K11" s="22">
        <f>distribuicao!L28/distribuicao!C9</f>
        <v>6.0422960725075529E-3</v>
      </c>
      <c r="L11" s="21">
        <f>distribuicao!L29</f>
        <v>0</v>
      </c>
      <c r="M11" s="22">
        <f>distribuicao!L29/distribuicao!C9</f>
        <v>0</v>
      </c>
      <c r="N11" s="21">
        <f>distribuicao!M27</f>
        <v>130</v>
      </c>
      <c r="O11" s="22">
        <f>distribuicao!M27/distribuicao!C9</f>
        <v>0.39274924471299094</v>
      </c>
      <c r="P11" s="21">
        <f>distribuicao!M28</f>
        <v>2</v>
      </c>
      <c r="Q11" s="22">
        <f>distribuicao!M28/distribuicao!C9</f>
        <v>6.0422960725075529E-3</v>
      </c>
      <c r="R11" s="21">
        <f>distribuicao!M29</f>
        <v>1</v>
      </c>
      <c r="S11" s="22">
        <f>distribuicao!M29/distribuicao!C9</f>
        <v>3.0211480362537764E-3</v>
      </c>
      <c r="T11" s="21">
        <f>distribuicao!N27</f>
        <v>0</v>
      </c>
      <c r="U11" s="22">
        <f>distribuicao!N27/distribuicao!C9</f>
        <v>0</v>
      </c>
      <c r="V11" s="21">
        <f>distribuicao!N28</f>
        <v>0</v>
      </c>
      <c r="W11" s="22">
        <f>distribuicao!N28/distribuicao!C9</f>
        <v>0</v>
      </c>
      <c r="X11" s="21">
        <f>distribuicao!N29</f>
        <v>0</v>
      </c>
      <c r="Y11" s="22">
        <f>distribuicao!N29/distribuicao!C9</f>
        <v>0</v>
      </c>
      <c r="Z11" s="21">
        <f>distribuicao!O27</f>
        <v>3</v>
      </c>
      <c r="AA11" s="22">
        <f>distribuicao!O27/distribuicao!C9</f>
        <v>9.0634441087613302E-3</v>
      </c>
      <c r="AB11" s="21">
        <f>distribuicao!O28</f>
        <v>1</v>
      </c>
      <c r="AC11" s="22">
        <f>distribuicao!O28/distribuicao!C9</f>
        <v>3.0211480362537764E-3</v>
      </c>
      <c r="AD11" s="21">
        <f>distribuicao!O29</f>
        <v>0</v>
      </c>
      <c r="AE11" s="22">
        <f>distribuicao!O29/distribuicao!C9</f>
        <v>0</v>
      </c>
      <c r="AF11" s="21">
        <f>distribuicao!P27</f>
        <v>76</v>
      </c>
      <c r="AG11" s="22">
        <f>distribuicao!P27/distribuicao!C9</f>
        <v>0.22960725075528701</v>
      </c>
      <c r="AH11" s="21">
        <f>distribuicao!P28</f>
        <v>1</v>
      </c>
      <c r="AI11" s="22">
        <f>distribuicao!P28/distribuicao!C9</f>
        <v>3.0211480362537764E-3</v>
      </c>
      <c r="AJ11" s="21">
        <f>distribuicao!P29</f>
        <v>3</v>
      </c>
      <c r="AK11" s="22">
        <f>distribuicao!P29/distribuicao!C9</f>
        <v>9.0634441087613302E-3</v>
      </c>
      <c r="AL11" s="23">
        <f t="shared" si="1"/>
        <v>331</v>
      </c>
      <c r="AM11" s="24">
        <f t="shared" si="0"/>
        <v>1</v>
      </c>
    </row>
    <row r="12" spans="1:39" x14ac:dyDescent="0.2">
      <c r="A12" s="20" t="s">
        <v>11</v>
      </c>
      <c r="B12" s="29">
        <f>distribuicao!K34</f>
        <v>95</v>
      </c>
      <c r="C12" s="28">
        <f>distribuicao!K34/distribuicao!C9</f>
        <v>0.28700906344410876</v>
      </c>
      <c r="D12" s="29">
        <f>distribuicao!K35</f>
        <v>0</v>
      </c>
      <c r="E12" s="28">
        <f>distribuicao!K35/distribuicao!C9</f>
        <v>0</v>
      </c>
      <c r="F12" s="29">
        <f>distribuicao!K36</f>
        <v>0</v>
      </c>
      <c r="G12" s="28">
        <f>distribuicao!K36/distribuicao!C9</f>
        <v>0</v>
      </c>
      <c r="H12" s="29">
        <f>distribuicao!L34</f>
        <v>19</v>
      </c>
      <c r="I12" s="28">
        <f>distribuicao!L34/distribuicao!C9</f>
        <v>5.7401812688821753E-2</v>
      </c>
      <c r="J12" s="29">
        <f>distribuicao!L35</f>
        <v>0</v>
      </c>
      <c r="K12" s="28">
        <f>distribuicao!L35/distribuicao!C9</f>
        <v>0</v>
      </c>
      <c r="L12" s="29">
        <f>distribuicao!L36</f>
        <v>0</v>
      </c>
      <c r="M12" s="28">
        <f>distribuicao!L36/distribuicao!C9</f>
        <v>0</v>
      </c>
      <c r="N12" s="29">
        <f>distribuicao!M34</f>
        <v>133</v>
      </c>
      <c r="O12" s="28">
        <f>distribuicao!M34/distribuicao!C9</f>
        <v>0.40181268882175225</v>
      </c>
      <c r="P12" s="29">
        <f>distribuicao!M35</f>
        <v>0</v>
      </c>
      <c r="Q12" s="28">
        <f>distribuicao!M35/distribuicao!C9</f>
        <v>0</v>
      </c>
      <c r="R12" s="29">
        <f>distribuicao!M36</f>
        <v>0</v>
      </c>
      <c r="S12" s="28">
        <f>distribuicao!M36/distribuicao!C9</f>
        <v>0</v>
      </c>
      <c r="T12" s="29">
        <f>distribuicao!N34</f>
        <v>0</v>
      </c>
      <c r="U12" s="28">
        <f>distribuicao!N34/distribuicao!C9</f>
        <v>0</v>
      </c>
      <c r="V12" s="29">
        <f>distribuicao!N35</f>
        <v>0</v>
      </c>
      <c r="W12" s="28">
        <f>distribuicao!N35/distribuicao!C9</f>
        <v>0</v>
      </c>
      <c r="X12" s="29">
        <f>distribuicao!N36</f>
        <v>0</v>
      </c>
      <c r="Y12" s="28">
        <f>distribuicao!N36/distribuicao!C9</f>
        <v>0</v>
      </c>
      <c r="Z12" s="29">
        <f>distribuicao!O34</f>
        <v>4</v>
      </c>
      <c r="AA12" s="28">
        <f>distribuicao!O34/distribuicao!C9</f>
        <v>1.2084592145015106E-2</v>
      </c>
      <c r="AB12" s="29">
        <f>distribuicao!O35</f>
        <v>0</v>
      </c>
      <c r="AC12" s="28">
        <f>distribuicao!O35/distribuicao!C9</f>
        <v>0</v>
      </c>
      <c r="AD12" s="29">
        <f>distribuicao!O36</f>
        <v>0</v>
      </c>
      <c r="AE12" s="28">
        <f>distribuicao!O36/distribuicao!C9</f>
        <v>0</v>
      </c>
      <c r="AF12" s="29">
        <f>distribuicao!P34</f>
        <v>80</v>
      </c>
      <c r="AG12" s="28">
        <f>distribuicao!P34/distribuicao!C9</f>
        <v>0.24169184290030213</v>
      </c>
      <c r="AH12" s="29">
        <f>distribuicao!P35</f>
        <v>0</v>
      </c>
      <c r="AI12" s="28">
        <f>distribuicao!P35/distribuicao!C9</f>
        <v>0</v>
      </c>
      <c r="AJ12" s="29">
        <f>distribuicao!P36</f>
        <v>0</v>
      </c>
      <c r="AK12" s="28">
        <f>distribuicao!P36/distribuicao!C9</f>
        <v>0</v>
      </c>
      <c r="AL12" s="23">
        <f t="shared" si="1"/>
        <v>331</v>
      </c>
      <c r="AM12" s="24">
        <f>SUM(C12,E12,G12,I12,K12,M12,O12,Q12,S12,U12,W12,Y12,AA12,AC12,AE12,AG12,AI12,AK12)</f>
        <v>1</v>
      </c>
    </row>
    <row r="13" spans="1:39" x14ac:dyDescent="0.2">
      <c r="AM13" s="24"/>
    </row>
    <row r="14" spans="1:39" x14ac:dyDescent="0.2">
      <c r="B14" s="23"/>
    </row>
  </sheetData>
  <mergeCells count="25">
    <mergeCell ref="A1:A2"/>
    <mergeCell ref="B1:G1"/>
    <mergeCell ref="H1:M1"/>
    <mergeCell ref="N1:S1"/>
    <mergeCell ref="T1:Y1"/>
    <mergeCell ref="T2:U2"/>
    <mergeCell ref="V2:W2"/>
    <mergeCell ref="X2:Y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Z1:AE1"/>
    <mergeCell ref="Z2:AA2"/>
    <mergeCell ref="AB2:AC2"/>
    <mergeCell ref="AD2:AE2"/>
    <mergeCell ref="AF2:AG2"/>
    <mergeCell ref="AH2:AI2"/>
    <mergeCell ref="AJ2:A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3</cp:revision>
  <dcterms:created xsi:type="dcterms:W3CDTF">2019-04-03T14:39:08Z</dcterms:created>
  <dcterms:modified xsi:type="dcterms:W3CDTF">2019-06-02T21:01:08Z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