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045F74B7-39C0-4E21-BBF9-DFD373170580}" xr6:coauthVersionLast="43" xr6:coauthVersionMax="43" xr10:uidLastSave="{00000000-0000-0000-0000-000000000000}"/>
  <bookViews>
    <workbookView xWindow="810" yWindow="-120" windowWidth="19800" windowHeight="11760" tabRatio="500" activeTab="1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12" i="3" l="1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M12" i="3"/>
  <c r="AL12" i="3"/>
  <c r="AM11" i="3"/>
  <c r="AL11" i="3"/>
  <c r="AM10" i="3"/>
  <c r="AL10" i="3"/>
  <c r="AM9" i="3"/>
  <c r="AL9" i="3"/>
  <c r="AM8" i="3"/>
  <c r="AL8" i="3"/>
  <c r="AM7" i="3"/>
  <c r="AL7" i="3"/>
  <c r="AM6" i="3"/>
  <c r="AL6" i="3"/>
  <c r="AM5" i="3"/>
  <c r="AL5" i="3"/>
  <c r="AM4" i="3"/>
  <c r="AL4" i="3"/>
  <c r="AM3" i="3"/>
  <c r="AL3" i="3"/>
  <c r="P15" i="2"/>
  <c r="O15" i="2"/>
  <c r="N15" i="2"/>
  <c r="M15" i="2"/>
  <c r="L15" i="2"/>
  <c r="K15" i="2"/>
  <c r="H15" i="2"/>
  <c r="G15" i="2"/>
  <c r="F15" i="2"/>
  <c r="E15" i="2"/>
  <c r="D15" i="2"/>
  <c r="C15" i="2"/>
  <c r="P14" i="2"/>
  <c r="O14" i="2"/>
  <c r="N14" i="2"/>
  <c r="M14" i="2"/>
  <c r="L14" i="2"/>
  <c r="K14" i="2"/>
  <c r="H14" i="2"/>
  <c r="G14" i="2"/>
  <c r="F14" i="2"/>
  <c r="E14" i="2"/>
  <c r="D14" i="2"/>
  <c r="C14" i="2"/>
  <c r="P13" i="2"/>
  <c r="O13" i="2"/>
  <c r="N13" i="2"/>
  <c r="M13" i="2"/>
  <c r="L13" i="2"/>
  <c r="K13" i="2"/>
  <c r="H13" i="2"/>
  <c r="G13" i="2"/>
  <c r="F13" i="2"/>
  <c r="E13" i="2"/>
  <c r="D13" i="2"/>
  <c r="C13" i="2"/>
  <c r="P22" i="2"/>
  <c r="O22" i="2"/>
  <c r="N22" i="2"/>
  <c r="M22" i="2"/>
  <c r="L22" i="2"/>
  <c r="K22" i="2"/>
  <c r="H22" i="2"/>
  <c r="G22" i="2"/>
  <c r="F22" i="2"/>
  <c r="E22" i="2"/>
  <c r="D22" i="2"/>
  <c r="C22" i="2"/>
  <c r="P21" i="2"/>
  <c r="O21" i="2"/>
  <c r="N21" i="2"/>
  <c r="M21" i="2"/>
  <c r="L21" i="2"/>
  <c r="K21" i="2"/>
  <c r="H21" i="2"/>
  <c r="G21" i="2"/>
  <c r="F21" i="2"/>
  <c r="E21" i="2"/>
  <c r="D21" i="2"/>
  <c r="C21" i="2"/>
  <c r="P20" i="2"/>
  <c r="O20" i="2"/>
  <c r="N20" i="2"/>
  <c r="M20" i="2"/>
  <c r="L20" i="2"/>
  <c r="K20" i="2"/>
  <c r="H20" i="2"/>
  <c r="G20" i="2"/>
  <c r="F20" i="2"/>
  <c r="E20" i="2"/>
  <c r="D20" i="2"/>
  <c r="C20" i="2"/>
  <c r="P29" i="2"/>
  <c r="O29" i="2"/>
  <c r="N29" i="2"/>
  <c r="M29" i="2"/>
  <c r="L29" i="2"/>
  <c r="K29" i="2"/>
  <c r="H29" i="2"/>
  <c r="G29" i="2"/>
  <c r="F29" i="2"/>
  <c r="E29" i="2"/>
  <c r="D29" i="2"/>
  <c r="C29" i="2"/>
  <c r="P28" i="2"/>
  <c r="O28" i="2"/>
  <c r="N28" i="2"/>
  <c r="M28" i="2"/>
  <c r="L28" i="2"/>
  <c r="K28" i="2"/>
  <c r="H28" i="2"/>
  <c r="G28" i="2"/>
  <c r="F28" i="2"/>
  <c r="E28" i="2"/>
  <c r="D28" i="2"/>
  <c r="C28" i="2"/>
  <c r="P27" i="2"/>
  <c r="O27" i="2"/>
  <c r="N27" i="2"/>
  <c r="M27" i="2"/>
  <c r="L27" i="2"/>
  <c r="K27" i="2"/>
  <c r="H27" i="2"/>
  <c r="G27" i="2"/>
  <c r="F27" i="2"/>
  <c r="E27" i="2"/>
  <c r="D27" i="2"/>
  <c r="C27" i="2"/>
  <c r="P8" i="2"/>
  <c r="O8" i="2"/>
  <c r="N8" i="2"/>
  <c r="M8" i="2"/>
  <c r="L8" i="2"/>
  <c r="K8" i="2"/>
  <c r="H8" i="2"/>
  <c r="G8" i="2"/>
  <c r="F8" i="2"/>
  <c r="E8" i="2"/>
  <c r="D8" i="2"/>
  <c r="C8" i="2"/>
  <c r="P7" i="2"/>
  <c r="O7" i="2"/>
  <c r="N7" i="2"/>
  <c r="M7" i="2"/>
  <c r="L7" i="2"/>
  <c r="K7" i="2"/>
  <c r="H7" i="2"/>
  <c r="G7" i="2"/>
  <c r="F7" i="2"/>
  <c r="E7" i="2"/>
  <c r="D7" i="2"/>
  <c r="C7" i="2"/>
  <c r="P6" i="2"/>
  <c r="O6" i="2"/>
  <c r="N6" i="2"/>
  <c r="M6" i="2"/>
  <c r="L6" i="2"/>
  <c r="K6" i="2"/>
  <c r="H6" i="2"/>
  <c r="G6" i="2"/>
  <c r="F6" i="2"/>
  <c r="E6" i="2"/>
  <c r="D6" i="2"/>
  <c r="C9" i="2" s="1"/>
  <c r="C6" i="2"/>
  <c r="O36" i="2"/>
  <c r="N36" i="2"/>
  <c r="M36" i="2"/>
  <c r="L36" i="2"/>
  <c r="K36" i="2"/>
  <c r="H36" i="2"/>
  <c r="G36" i="2"/>
  <c r="F36" i="2"/>
  <c r="E36" i="2"/>
  <c r="D36" i="2"/>
  <c r="C36" i="2"/>
  <c r="P35" i="2"/>
  <c r="O35" i="2"/>
  <c r="N35" i="2"/>
  <c r="M35" i="2"/>
  <c r="L35" i="2"/>
  <c r="K35" i="2"/>
  <c r="H35" i="2"/>
  <c r="G35" i="2"/>
  <c r="F35" i="2"/>
  <c r="E35" i="2"/>
  <c r="D35" i="2"/>
  <c r="C35" i="2"/>
  <c r="P34" i="2"/>
  <c r="O34" i="2"/>
  <c r="N34" i="2"/>
  <c r="M34" i="2"/>
  <c r="L34" i="2"/>
  <c r="K34" i="2"/>
  <c r="H34" i="2"/>
  <c r="G34" i="2"/>
  <c r="F34" i="2"/>
  <c r="E34" i="2"/>
  <c r="D34" i="2"/>
  <c r="C34" i="2"/>
  <c r="C37" i="2" s="1"/>
  <c r="K37" i="2"/>
  <c r="K30" i="2"/>
  <c r="C30" i="2"/>
  <c r="K23" i="2"/>
  <c r="C23" i="2"/>
  <c r="K16" i="2"/>
  <c r="C16" i="2"/>
  <c r="K9" i="2"/>
</calcChain>
</file>

<file path=xl/sharedStrings.xml><?xml version="1.0" encoding="utf-8"?>
<sst xmlns="http://schemas.openxmlformats.org/spreadsheetml/2006/main" count="437" uniqueCount="175">
  <si>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</si>
  <si>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</si>
  <si>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</si>
  <si>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</si>
  <si>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</si>
  <si>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</si>
  <si>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</si>
  <si>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</si>
  <si>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</si>
  <si>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</si>
  <si>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</si>
  <si>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</si>
  <si>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org.argouml.model.euml.ActivityGraphsFactoryEUMLlImpl</t>
  </si>
  <si>
    <t>TUBES</t>
  </si>
  <si>
    <t>org.argouml.model.euml.ActivityGraphsFactoryEUMLlImpl$1</t>
  </si>
  <si>
    <t>org.argouml.model.euml.ActivityGraphsHelperEUMLImpl</t>
  </si>
  <si>
    <t>Disconnected</t>
  </si>
  <si>
    <t>org.argouml.model.euml.AggregationKindEUMLImpl</t>
  </si>
  <si>
    <t>org.argouml.model.euml.ChangeableKindEUMLImpl</t>
  </si>
  <si>
    <t>OUT</t>
  </si>
  <si>
    <t>org.argouml.model.euml.ChangeCommand</t>
  </si>
  <si>
    <t>org.argouml.model.euml.CollaborationsFactoryEUMLImpl</t>
  </si>
  <si>
    <t>IN</t>
  </si>
  <si>
    <t>org.argouml.model.euml.CollaborationsHelperEUMLImpl</t>
  </si>
  <si>
    <t>org.argouml.model.euml.CommandStackImpl</t>
  </si>
  <si>
    <t>TENDRILS</t>
  </si>
  <si>
    <t>org.argouml.model.euml.CommonBehaviorFactoryEUMLImpl</t>
  </si>
  <si>
    <t>org.argouml.model.euml.CommonBehaviorHelperEUMLImpl</t>
  </si>
  <si>
    <t>org.argouml.model.euml.ConcurrencyKindEUMLImpl</t>
  </si>
  <si>
    <t>org.argouml.model.euml.CopyHelperEUMLImpl</t>
  </si>
  <si>
    <t>org.argouml.model.euml.CoreFactoryEUMLImpl</t>
  </si>
  <si>
    <t>org.argouml.model.euml.CoreFactoryEUMLImpl$1</t>
  </si>
  <si>
    <t>org.argouml.model.euml.CoreFactoryEUMLImpl$10</t>
  </si>
  <si>
    <t>org.argouml.model.euml.CoreFactoryEUMLImpl$11</t>
  </si>
  <si>
    <t>org.argouml.model.euml.CoreFactoryEUMLImpl$12</t>
  </si>
  <si>
    <t>org.argouml.model.euml.CoreFactoryEUMLImpl$13</t>
  </si>
  <si>
    <t>org.argouml.model.euml.CoreFactoryEUMLImpl$14</t>
  </si>
  <si>
    <t>org.argouml.model.euml.CoreFactoryEUMLImpl$15</t>
  </si>
  <si>
    <t>org.argouml.model.euml.CoreFactoryEUMLImpl$16</t>
  </si>
  <si>
    <t>org.argouml.model.euml.CoreFactoryEUMLImpl$17</t>
  </si>
  <si>
    <t>org.argouml.model.euml.CoreFactoryEUMLImpl$18</t>
  </si>
  <si>
    <t>org.argouml.model.euml.CoreFactoryEUMLImpl$19</t>
  </si>
  <si>
    <t>org.argouml.model.euml.CoreFactoryEUMLImpl$2</t>
  </si>
  <si>
    <t>org.argouml.model.euml.CoreFactoryEUMLImpl$20</t>
  </si>
  <si>
    <t>org.argouml.model.euml.CoreFactoryEUMLImpl$21</t>
  </si>
  <si>
    <t>org.argouml.model.euml.CoreFactoryEUMLImpl$22</t>
  </si>
  <si>
    <t>org.argouml.model.euml.CoreFactoryEUMLImpl$3</t>
  </si>
  <si>
    <t>org.argouml.model.euml.CoreFactoryEUMLImpl$4</t>
  </si>
  <si>
    <t>org.argouml.model.euml.CoreFactoryEUMLImpl$5</t>
  </si>
  <si>
    <t>org.argouml.model.euml.CoreFactoryEUMLImpl$6</t>
  </si>
  <si>
    <t>org.argouml.model.euml.CoreFactoryEUMLImpl$7</t>
  </si>
  <si>
    <t>org.argouml.model.euml.CoreFactoryEUMLImpl$8</t>
  </si>
  <si>
    <t>org.argouml.model.euml.CoreFactoryEUMLImpl$9</t>
  </si>
  <si>
    <t>org.argouml.model.euml.CoreHelperEUMLImpl</t>
  </si>
  <si>
    <t>LSCC</t>
  </si>
  <si>
    <t>org.argouml.model.euml.CoreHelperEUMLImpl$1</t>
  </si>
  <si>
    <t>org.argouml.model.euml.CoreHelperEUMLImpl$10</t>
  </si>
  <si>
    <t>org.argouml.model.euml.CoreHelperEUMLImpl$11</t>
  </si>
  <si>
    <t>org.argouml.model.euml.CoreHelperEUMLImpl$12</t>
  </si>
  <si>
    <t>org.argouml.model.euml.CoreHelperEUMLImpl$13</t>
  </si>
  <si>
    <t>org.argouml.model.euml.CoreHelperEUMLImpl$14</t>
  </si>
  <si>
    <t>org.argouml.model.euml.CoreHelperEUMLImpl$15</t>
  </si>
  <si>
    <t>org.argouml.model.euml.CoreHelperEUMLImpl$16</t>
  </si>
  <si>
    <t>org.argouml.model.euml.CoreHelperEUMLImpl$17</t>
  </si>
  <si>
    <t>org.argouml.model.euml.CoreHelperEUMLImpl$18</t>
  </si>
  <si>
    <t>org.argouml.model.euml.CoreHelperEUMLImpl$19</t>
  </si>
  <si>
    <t>org.argouml.model.euml.CoreHelperEUMLImpl$2</t>
  </si>
  <si>
    <t>org.argouml.model.euml.CoreHelperEUMLImpl$20</t>
  </si>
  <si>
    <t>org.argouml.model.euml.CoreHelperEUMLImpl$21</t>
  </si>
  <si>
    <t>org.argouml.model.euml.CoreHelperEUMLImpl$22</t>
  </si>
  <si>
    <t>org.argouml.model.euml.CoreHelperEUMLImpl$23</t>
  </si>
  <si>
    <t>org.argouml.model.euml.CoreHelperEUMLImpl$24</t>
  </si>
  <si>
    <t>org.argouml.model.euml.CoreHelperEUMLImpl$25</t>
  </si>
  <si>
    <t>org.argouml.model.euml.CoreHelperEUMLImpl$26</t>
  </si>
  <si>
    <t>org.argouml.model.euml.CoreHelperEUMLImpl$27</t>
  </si>
  <si>
    <t>org.argouml.model.euml.CoreHelperEUMLImpl$28</t>
  </si>
  <si>
    <t>org.argouml.model.euml.CoreHelperEUMLImpl$29</t>
  </si>
  <si>
    <t>org.argouml.model.euml.CoreHelperEUMLImpl$3</t>
  </si>
  <si>
    <t>org.argouml.model.euml.CoreHelperEUMLImpl$30</t>
  </si>
  <si>
    <t>org.argouml.model.euml.CoreHelperEUMLImpl$4</t>
  </si>
  <si>
    <t>org.argouml.model.euml.CoreHelperEUMLImpl$5</t>
  </si>
  <si>
    <t>org.argouml.model.euml.CoreHelperEUMLImpl$6</t>
  </si>
  <si>
    <t>org.argouml.model.euml.CoreHelperEUMLImpl$7</t>
  </si>
  <si>
    <t>org.argouml.model.euml.CoreHelperEUMLImpl$8</t>
  </si>
  <si>
    <t>org.argouml.model.euml.CoreHelperEUMLImpl$9</t>
  </si>
  <si>
    <t>org.argouml.model.euml.DataTypesFactoryEUMLImpl</t>
  </si>
  <si>
    <t>org.argouml.model.euml.DataTypesHelperEUMLImpl</t>
  </si>
  <si>
    <t>org.argouml.model.euml.DirectionKindEUMLImpl</t>
  </si>
  <si>
    <t>org.argouml.model.euml.EUMLModelImplementation</t>
  </si>
  <si>
    <t>org.argouml.model.euml.EUMLModelImplementation$1</t>
  </si>
  <si>
    <t>org.argouml.model.euml.ExtensionMechanismsFactoryEUMLImpl</t>
  </si>
  <si>
    <t>org.argouml.model.euml.ExtensionMechanismsFactoryEUMLImpl$1</t>
  </si>
  <si>
    <t>org.argouml.model.euml.ExtensionMechanismsFactoryEUMLImpl$2</t>
  </si>
  <si>
    <t>org.argouml.model.euml.ExtensionMechanismsHelperEUMLImpl</t>
  </si>
  <si>
    <t>org.argouml.model.euml.FacadeEUMLImpl</t>
  </si>
  <si>
    <t>org.argouml.model.euml.MessageSortEUMLImpl</t>
  </si>
  <si>
    <t>org.argouml.model.euml.MetaTypesEUMLImpl</t>
  </si>
  <si>
    <t>org.argouml.model.euml.ModelEventPumpEUMLImpl</t>
  </si>
  <si>
    <t>org.argouml.model.euml.ModelEventPumpEUMLImpl$1</t>
  </si>
  <si>
    <t>org.argouml.model.euml.ModelEventPumpEUMLImpl$1EventAndListeners</t>
  </si>
  <si>
    <t>org.argouml.model.euml.ModelEventPumpEUMLImpl$Listener</t>
  </si>
  <si>
    <t>org.argouml.model.euml.ModelManagementFactoryEUMLImpl</t>
  </si>
  <si>
    <t>org.argouml.model.euml.ModelManagementFactoryEUMLImpl$1</t>
  </si>
  <si>
    <t>org.argouml.model.euml.ModelManagementFactoryEUMLImpl$2</t>
  </si>
  <si>
    <t>org.argouml.model.euml.ModelManagementFactoryEUMLImpl$3</t>
  </si>
  <si>
    <t>org.argouml.model.euml.ModelManagementFactoryEUMLImpl$4</t>
  </si>
  <si>
    <t>org.argouml.model.euml.ModelManagementFactoryEUMLImpl$5</t>
  </si>
  <si>
    <t>org.argouml.model.euml.ModelManagementFactoryEUMLImpl$6</t>
  </si>
  <si>
    <t>org.argouml.model.euml.ModelManagementHelperEUMLImpl</t>
  </si>
  <si>
    <t>org.argouml.model.euml.NotYetImplementedException</t>
  </si>
  <si>
    <t>org.argouml.model.euml.OrderingKindEUMLImpl</t>
  </si>
  <si>
    <t>org.argouml.model.euml.PseudostateKindEUMLImpl</t>
  </si>
  <si>
    <t>org.argouml.model.euml.RootContainerAdapter</t>
  </si>
  <si>
    <t>org.argouml.model.euml.RunnableClass</t>
  </si>
  <si>
    <t>org.argouml.model.euml.ScopeKindEUMLImpl</t>
  </si>
  <si>
    <t>org.argouml.model.euml.StateMachinesFactoryEUMLImpl</t>
  </si>
  <si>
    <t>org.argouml.model.euml.StateMachinesHelperEUMLImpl</t>
  </si>
  <si>
    <t>org.argouml.model.euml.UmlFactoryEUMLImpl</t>
  </si>
  <si>
    <t>org.argouml.model.euml.UmlFactoryEUMLImpl$1</t>
  </si>
  <si>
    <t>org.argouml.model.euml.UmlHelperEUMLImpl</t>
  </si>
  <si>
    <t>org.argouml.model.euml.UMLUtil</t>
  </si>
  <si>
    <t>org.argouml.model.euml.UMLUtil$1</t>
  </si>
  <si>
    <t>org.argouml.model.euml.UseCasesFactoryEUMLImpl</t>
  </si>
  <si>
    <t>org.argouml.model.euml.UseCasesFactoryEUMLImpl$1</t>
  </si>
  <si>
    <t>org.argouml.model.euml.UseCasesFactoryEUMLImpl$2</t>
  </si>
  <si>
    <t>org.argouml.model.euml.UseCasesHelperEUMLImpl</t>
  </si>
  <si>
    <t>org.argouml.model.euml.UseCasesHelperEUMLImpl$1</t>
  </si>
  <si>
    <t>org.argouml.model.euml.UseCasesHelperEUMLImpl$2</t>
  </si>
  <si>
    <t>org.argouml.model.euml.UseCasesHelperEUMLImpl$3</t>
  </si>
  <si>
    <t>org.argouml.model.euml.UseCasesHelperEUMLImpl$4</t>
  </si>
  <si>
    <t>org.argouml.model.euml.UseCasesHelperEUMLImpl$5</t>
  </si>
  <si>
    <t>org.argouml.model.euml.UseCasesHelperEUMLImpl$6</t>
  </si>
  <si>
    <t>org.argouml.model.euml.VisibilityKindEUMLImpl</t>
  </si>
  <si>
    <t>org.argouml.model.euml.XmiReaderEUMLImpl</t>
  </si>
  <si>
    <t>org.argouml.model.euml.XmiWriterEUMLImpl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</si>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</sst>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118"/>
  <sheetViews>
    <sheetView zoomScaleNormal="100" workbookViewId="0">
      <selection activeCell="F5" sqref="F5"/>
    </sheetView>
  </sheetViews>
  <sheetFormatPr defaultRowHeight="15" x14ac:dyDescent="0.25"/>
  <cols>
    <col min="1" max="1023" width="9.140625" style="1" customWidth="1"/>
    <col min="1024" max="1025" width="11.5703125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>
        <v>0</v>
      </c>
      <c r="D2" s="1">
        <v>11</v>
      </c>
      <c r="E2" s="1">
        <v>53</v>
      </c>
      <c r="F2" s="1">
        <v>1</v>
      </c>
      <c r="G2" s="1">
        <v>0.1</v>
      </c>
      <c r="H2" s="1">
        <v>13</v>
      </c>
      <c r="I2" s="1">
        <v>27</v>
      </c>
      <c r="J2" s="1">
        <v>3</v>
      </c>
      <c r="K2" s="1">
        <v>11</v>
      </c>
      <c r="L2" s="1">
        <v>0</v>
      </c>
    </row>
    <row r="3" spans="1:12" x14ac:dyDescent="0.25">
      <c r="A3" s="1" t="s">
        <v>14</v>
      </c>
      <c r="B3" s="1" t="s">
        <v>13</v>
      </c>
      <c r="C3" s="1">
        <v>0</v>
      </c>
      <c r="D3" s="1">
        <v>1</v>
      </c>
      <c r="E3" s="1">
        <v>0</v>
      </c>
      <c r="F3" s="1">
        <v>0</v>
      </c>
      <c r="G3" s="1">
        <v>1</v>
      </c>
      <c r="H3" s="1">
        <v>4</v>
      </c>
      <c r="I3" s="1">
        <v>7</v>
      </c>
      <c r="J3" s="1">
        <v>1</v>
      </c>
      <c r="K3" s="1">
        <v>2</v>
      </c>
      <c r="L3" s="1">
        <v>0</v>
      </c>
    </row>
    <row r="4" spans="1:12" x14ac:dyDescent="0.25">
      <c r="A4" s="1" t="s">
        <v>15</v>
      </c>
      <c r="B4" s="1" t="s">
        <v>16</v>
      </c>
      <c r="C4" s="1">
        <v>0</v>
      </c>
      <c r="D4" s="1">
        <v>13</v>
      </c>
      <c r="E4" s="1">
        <v>78</v>
      </c>
      <c r="F4" s="1">
        <v>1</v>
      </c>
      <c r="G4" s="1">
        <v>8.3000000000000004E-2</v>
      </c>
      <c r="H4" s="1">
        <v>3</v>
      </c>
      <c r="I4" s="1">
        <v>14</v>
      </c>
      <c r="J4" s="1">
        <v>1</v>
      </c>
      <c r="K4" s="1">
        <v>13</v>
      </c>
      <c r="L4" s="1">
        <v>0</v>
      </c>
    </row>
    <row r="5" spans="1:12" x14ac:dyDescent="0.25">
      <c r="A5" s="1" t="s">
        <v>17</v>
      </c>
      <c r="B5" s="1" t="s">
        <v>16</v>
      </c>
      <c r="C5" s="1">
        <v>0</v>
      </c>
      <c r="D5" s="1">
        <v>3</v>
      </c>
      <c r="E5" s="1">
        <v>6</v>
      </c>
      <c r="F5" s="1">
        <v>1</v>
      </c>
      <c r="G5" s="1">
        <v>0.33300000000000002</v>
      </c>
      <c r="H5" s="1">
        <v>2</v>
      </c>
      <c r="I5" s="1">
        <v>5</v>
      </c>
      <c r="J5" s="1">
        <v>1</v>
      </c>
      <c r="K5" s="1">
        <v>4</v>
      </c>
      <c r="L5" s="1">
        <v>0</v>
      </c>
    </row>
    <row r="6" spans="1:12" x14ac:dyDescent="0.25">
      <c r="A6" s="1" t="s">
        <v>18</v>
      </c>
      <c r="B6" s="1" t="s">
        <v>19</v>
      </c>
      <c r="C6" s="1">
        <v>0</v>
      </c>
      <c r="D6" s="1">
        <v>3</v>
      </c>
      <c r="E6" s="1">
        <v>6</v>
      </c>
      <c r="F6" s="1">
        <v>1</v>
      </c>
      <c r="G6" s="1">
        <v>0.33300000000000002</v>
      </c>
      <c r="H6" s="1">
        <v>1</v>
      </c>
      <c r="I6" s="1">
        <v>5</v>
      </c>
      <c r="J6" s="1">
        <v>2</v>
      </c>
      <c r="K6" s="1">
        <v>4</v>
      </c>
      <c r="L6" s="1">
        <v>0</v>
      </c>
    </row>
    <row r="7" spans="1:12" x14ac:dyDescent="0.25">
      <c r="A7" s="1" t="s">
        <v>20</v>
      </c>
      <c r="B7" s="1" t="s">
        <v>19</v>
      </c>
      <c r="C7" s="1">
        <v>0</v>
      </c>
      <c r="D7" s="1">
        <v>4</v>
      </c>
      <c r="E7" s="1">
        <v>0</v>
      </c>
      <c r="F7" s="1">
        <v>0</v>
      </c>
      <c r="G7" s="1">
        <v>0.5</v>
      </c>
      <c r="H7" s="1">
        <v>7</v>
      </c>
      <c r="I7" s="1">
        <v>18</v>
      </c>
      <c r="J7" s="1">
        <v>7</v>
      </c>
      <c r="K7" s="1">
        <v>5</v>
      </c>
      <c r="L7" s="1">
        <v>0</v>
      </c>
    </row>
    <row r="8" spans="1:12" x14ac:dyDescent="0.25">
      <c r="A8" s="1" t="s">
        <v>21</v>
      </c>
      <c r="B8" s="1" t="s">
        <v>22</v>
      </c>
      <c r="C8" s="1">
        <v>0</v>
      </c>
      <c r="D8" s="1">
        <v>31</v>
      </c>
      <c r="E8" s="1">
        <v>151</v>
      </c>
      <c r="F8" s="1">
        <v>1</v>
      </c>
      <c r="G8" s="1">
        <v>6.7000000000000004E-2</v>
      </c>
      <c r="H8" s="1">
        <v>18</v>
      </c>
      <c r="I8" s="1">
        <v>49</v>
      </c>
      <c r="J8" s="1">
        <v>2</v>
      </c>
      <c r="K8" s="1">
        <v>32</v>
      </c>
      <c r="L8" s="1">
        <v>0</v>
      </c>
    </row>
    <row r="9" spans="1:12" x14ac:dyDescent="0.25">
      <c r="A9" s="1" t="s">
        <v>23</v>
      </c>
      <c r="B9" s="1" t="s">
        <v>16</v>
      </c>
      <c r="C9" s="1">
        <v>0</v>
      </c>
      <c r="D9" s="1">
        <v>35</v>
      </c>
      <c r="E9" s="1">
        <v>595</v>
      </c>
      <c r="F9" s="1">
        <v>1</v>
      </c>
      <c r="G9" s="1">
        <v>0.03</v>
      </c>
      <c r="H9" s="1">
        <v>4</v>
      </c>
      <c r="I9" s="1">
        <v>37</v>
      </c>
      <c r="J9" s="1">
        <v>1</v>
      </c>
      <c r="K9" s="1">
        <v>35</v>
      </c>
      <c r="L9" s="1">
        <v>0</v>
      </c>
    </row>
    <row r="10" spans="1:12" x14ac:dyDescent="0.25">
      <c r="A10" s="1" t="s">
        <v>24</v>
      </c>
      <c r="B10" s="1" t="s">
        <v>25</v>
      </c>
      <c r="C10" s="1">
        <v>0</v>
      </c>
      <c r="D10" s="1">
        <v>8</v>
      </c>
      <c r="E10" s="1">
        <v>0</v>
      </c>
      <c r="F10" s="1">
        <v>1</v>
      </c>
      <c r="G10" s="1">
        <v>0.5</v>
      </c>
      <c r="H10" s="1">
        <v>4</v>
      </c>
      <c r="I10" s="1">
        <v>19</v>
      </c>
      <c r="J10" s="1">
        <v>1</v>
      </c>
      <c r="K10" s="1">
        <v>8</v>
      </c>
      <c r="L10" s="1">
        <v>0</v>
      </c>
    </row>
    <row r="11" spans="1:12" x14ac:dyDescent="0.25">
      <c r="A11" s="1" t="s">
        <v>26</v>
      </c>
      <c r="B11" s="1" t="s">
        <v>25</v>
      </c>
      <c r="C11" s="1">
        <v>0</v>
      </c>
      <c r="D11" s="1">
        <v>32</v>
      </c>
      <c r="E11" s="1">
        <v>435</v>
      </c>
      <c r="F11" s="1">
        <v>1</v>
      </c>
      <c r="G11" s="1">
        <v>3.4000000000000002E-2</v>
      </c>
      <c r="H11" s="1">
        <v>10</v>
      </c>
      <c r="I11" s="1">
        <v>36</v>
      </c>
      <c r="J11" s="1">
        <v>2</v>
      </c>
      <c r="K11" s="1">
        <v>32</v>
      </c>
      <c r="L11" s="1">
        <v>0</v>
      </c>
    </row>
    <row r="12" spans="1:12" x14ac:dyDescent="0.25">
      <c r="A12" s="1" t="s">
        <v>27</v>
      </c>
      <c r="B12" s="1" t="s">
        <v>16</v>
      </c>
      <c r="C12" s="1">
        <v>0</v>
      </c>
      <c r="D12" s="1">
        <v>37</v>
      </c>
      <c r="E12" s="1">
        <v>595</v>
      </c>
      <c r="F12" s="1">
        <v>1</v>
      </c>
      <c r="G12" s="1">
        <v>2.9000000000000001E-2</v>
      </c>
      <c r="H12" s="1">
        <v>4</v>
      </c>
      <c r="I12" s="1">
        <v>42</v>
      </c>
      <c r="J12" s="1">
        <v>1</v>
      </c>
      <c r="K12" s="1">
        <v>37</v>
      </c>
      <c r="L12" s="1">
        <v>0</v>
      </c>
    </row>
    <row r="13" spans="1:12" x14ac:dyDescent="0.25">
      <c r="A13" s="1" t="s">
        <v>28</v>
      </c>
      <c r="B13" s="1" t="s">
        <v>16</v>
      </c>
      <c r="C13" s="1">
        <v>0</v>
      </c>
      <c r="D13" s="1">
        <v>3</v>
      </c>
      <c r="E13" s="1">
        <v>6</v>
      </c>
      <c r="F13" s="1">
        <v>1</v>
      </c>
      <c r="G13" s="1">
        <v>0.33300000000000002</v>
      </c>
      <c r="H13" s="1">
        <v>2</v>
      </c>
      <c r="I13" s="1">
        <v>5</v>
      </c>
      <c r="J13" s="1">
        <v>1</v>
      </c>
      <c r="K13" s="1">
        <v>4</v>
      </c>
      <c r="L13" s="1">
        <v>0</v>
      </c>
    </row>
    <row r="14" spans="1:12" x14ac:dyDescent="0.25">
      <c r="A14" s="1" t="s">
        <v>29</v>
      </c>
      <c r="B14" s="1" t="s">
        <v>25</v>
      </c>
      <c r="C14" s="1">
        <v>0</v>
      </c>
      <c r="D14" s="1">
        <v>3</v>
      </c>
      <c r="E14" s="1">
        <v>1</v>
      </c>
      <c r="F14" s="1">
        <v>1</v>
      </c>
      <c r="G14" s="1">
        <v>1</v>
      </c>
      <c r="H14" s="1">
        <v>4</v>
      </c>
      <c r="I14" s="1">
        <v>10</v>
      </c>
      <c r="J14" s="1">
        <v>2</v>
      </c>
      <c r="K14" s="1">
        <v>3</v>
      </c>
      <c r="L14" s="1">
        <v>0</v>
      </c>
    </row>
    <row r="15" spans="1:12" x14ac:dyDescent="0.25">
      <c r="A15" s="1" t="s">
        <v>30</v>
      </c>
      <c r="B15" s="1" t="s">
        <v>13</v>
      </c>
      <c r="C15" s="1">
        <v>0</v>
      </c>
      <c r="D15" s="1">
        <v>144</v>
      </c>
      <c r="E15" s="1">
        <v>2103</v>
      </c>
      <c r="F15" s="1">
        <v>1</v>
      </c>
      <c r="G15" s="1">
        <v>1.7000000000000001E-2</v>
      </c>
      <c r="H15" s="1">
        <v>83</v>
      </c>
      <c r="I15" s="1">
        <v>196</v>
      </c>
      <c r="J15" s="1">
        <v>24</v>
      </c>
      <c r="K15" s="1">
        <v>149</v>
      </c>
      <c r="L15" s="1">
        <v>0</v>
      </c>
    </row>
    <row r="16" spans="1:12" x14ac:dyDescent="0.25">
      <c r="A16" s="1" t="s">
        <v>31</v>
      </c>
      <c r="B16" s="1" t="s">
        <v>13</v>
      </c>
      <c r="C16" s="1">
        <v>0</v>
      </c>
      <c r="D16" s="1">
        <v>1</v>
      </c>
      <c r="E16" s="1">
        <v>0</v>
      </c>
      <c r="F16" s="1">
        <v>0</v>
      </c>
      <c r="G16" s="1">
        <v>1</v>
      </c>
      <c r="H16" s="1">
        <v>6</v>
      </c>
      <c r="I16" s="1">
        <v>12</v>
      </c>
      <c r="J16" s="1">
        <v>1</v>
      </c>
      <c r="K16" s="1">
        <v>2</v>
      </c>
      <c r="L16" s="1">
        <v>0</v>
      </c>
    </row>
    <row r="17" spans="1:12" x14ac:dyDescent="0.25">
      <c r="A17" s="1" t="s">
        <v>32</v>
      </c>
      <c r="B17" s="1" t="s">
        <v>13</v>
      </c>
      <c r="C17" s="1">
        <v>0</v>
      </c>
      <c r="D17" s="1">
        <v>1</v>
      </c>
      <c r="E17" s="1">
        <v>0</v>
      </c>
      <c r="F17" s="1">
        <v>0</v>
      </c>
      <c r="G17" s="1">
        <v>1</v>
      </c>
      <c r="H17" s="1">
        <v>7</v>
      </c>
      <c r="I17" s="1">
        <v>11</v>
      </c>
      <c r="J17" s="1">
        <v>1</v>
      </c>
      <c r="K17" s="1">
        <v>2</v>
      </c>
      <c r="L17" s="1">
        <v>0</v>
      </c>
    </row>
    <row r="18" spans="1:12" x14ac:dyDescent="0.25">
      <c r="A18" s="1" t="s">
        <v>33</v>
      </c>
      <c r="B18" s="1" t="s">
        <v>13</v>
      </c>
      <c r="C18" s="1">
        <v>0</v>
      </c>
      <c r="D18" s="1">
        <v>1</v>
      </c>
      <c r="E18" s="1">
        <v>0</v>
      </c>
      <c r="F18" s="1">
        <v>0</v>
      </c>
      <c r="G18" s="1">
        <v>1</v>
      </c>
      <c r="H18" s="1">
        <v>6</v>
      </c>
      <c r="I18" s="1">
        <v>11</v>
      </c>
      <c r="J18" s="1">
        <v>1</v>
      </c>
      <c r="K18" s="1">
        <v>2</v>
      </c>
      <c r="L18" s="1">
        <v>0</v>
      </c>
    </row>
    <row r="19" spans="1:12" x14ac:dyDescent="0.25">
      <c r="A19" s="1" t="s">
        <v>34</v>
      </c>
      <c r="B19" s="1" t="s">
        <v>13</v>
      </c>
      <c r="C19" s="1">
        <v>0</v>
      </c>
      <c r="D19" s="1">
        <v>1</v>
      </c>
      <c r="E19" s="1">
        <v>0</v>
      </c>
      <c r="F19" s="1">
        <v>0</v>
      </c>
      <c r="G19" s="1">
        <v>1</v>
      </c>
      <c r="H19" s="1">
        <v>7</v>
      </c>
      <c r="I19" s="1">
        <v>11</v>
      </c>
      <c r="J19" s="1">
        <v>1</v>
      </c>
      <c r="K19" s="1">
        <v>2</v>
      </c>
      <c r="L19" s="1">
        <v>0</v>
      </c>
    </row>
    <row r="20" spans="1:12" x14ac:dyDescent="0.25">
      <c r="A20" s="1" t="s">
        <v>35</v>
      </c>
      <c r="B20" s="1" t="s">
        <v>13</v>
      </c>
      <c r="C20" s="1">
        <v>0</v>
      </c>
      <c r="D20" s="1">
        <v>1</v>
      </c>
      <c r="E20" s="1">
        <v>0</v>
      </c>
      <c r="F20" s="1">
        <v>0</v>
      </c>
      <c r="G20" s="1">
        <v>1</v>
      </c>
      <c r="H20" s="1">
        <v>7</v>
      </c>
      <c r="I20" s="1">
        <v>11</v>
      </c>
      <c r="J20" s="1">
        <v>1</v>
      </c>
      <c r="K20" s="1">
        <v>2</v>
      </c>
      <c r="L20" s="1">
        <v>0</v>
      </c>
    </row>
    <row r="21" spans="1:12" x14ac:dyDescent="0.25">
      <c r="A21" s="1" t="s">
        <v>36</v>
      </c>
      <c r="B21" s="1" t="s">
        <v>13</v>
      </c>
      <c r="C21" s="1">
        <v>0</v>
      </c>
      <c r="D21" s="1">
        <v>1</v>
      </c>
      <c r="E21" s="1">
        <v>0</v>
      </c>
      <c r="F21" s="1">
        <v>0</v>
      </c>
      <c r="G21" s="1">
        <v>1</v>
      </c>
      <c r="H21" s="1">
        <v>4</v>
      </c>
      <c r="I21" s="1">
        <v>8</v>
      </c>
      <c r="J21" s="1">
        <v>1</v>
      </c>
      <c r="K21" s="1">
        <v>2</v>
      </c>
      <c r="L21" s="1">
        <v>0</v>
      </c>
    </row>
    <row r="22" spans="1:12" x14ac:dyDescent="0.25">
      <c r="A22" s="1" t="s">
        <v>37</v>
      </c>
      <c r="B22" s="1" t="s">
        <v>13</v>
      </c>
      <c r="C22" s="1">
        <v>0</v>
      </c>
      <c r="D22" s="1">
        <v>1</v>
      </c>
      <c r="E22" s="1">
        <v>0</v>
      </c>
      <c r="F22" s="1">
        <v>0</v>
      </c>
      <c r="G22" s="1">
        <v>1</v>
      </c>
      <c r="H22" s="1">
        <v>4</v>
      </c>
      <c r="I22" s="1">
        <v>8</v>
      </c>
      <c r="J22" s="1">
        <v>1</v>
      </c>
      <c r="K22" s="1">
        <v>2</v>
      </c>
      <c r="L22" s="1">
        <v>0</v>
      </c>
    </row>
    <row r="23" spans="1:12" x14ac:dyDescent="0.25">
      <c r="A23" s="1" t="s">
        <v>38</v>
      </c>
      <c r="B23" s="1" t="s">
        <v>13</v>
      </c>
      <c r="C23" s="1">
        <v>0</v>
      </c>
      <c r="D23" s="1">
        <v>1</v>
      </c>
      <c r="E23" s="1">
        <v>0</v>
      </c>
      <c r="F23" s="1">
        <v>0</v>
      </c>
      <c r="G23" s="1">
        <v>1</v>
      </c>
      <c r="H23" s="1">
        <v>6</v>
      </c>
      <c r="I23" s="1">
        <v>11</v>
      </c>
      <c r="J23" s="1">
        <v>1</v>
      </c>
      <c r="K23" s="1">
        <v>2</v>
      </c>
      <c r="L23" s="1">
        <v>0</v>
      </c>
    </row>
    <row r="24" spans="1:12" x14ac:dyDescent="0.25">
      <c r="A24" s="1" t="s">
        <v>39</v>
      </c>
      <c r="B24" s="1" t="s">
        <v>13</v>
      </c>
      <c r="C24" s="1">
        <v>0</v>
      </c>
      <c r="D24" s="1">
        <v>1</v>
      </c>
      <c r="E24" s="1">
        <v>0</v>
      </c>
      <c r="F24" s="1">
        <v>0</v>
      </c>
      <c r="G24" s="1">
        <v>1</v>
      </c>
      <c r="H24" s="1">
        <v>7</v>
      </c>
      <c r="I24" s="1">
        <v>10</v>
      </c>
      <c r="J24" s="1">
        <v>1</v>
      </c>
      <c r="K24" s="1">
        <v>2</v>
      </c>
      <c r="L24" s="1">
        <v>0</v>
      </c>
    </row>
    <row r="25" spans="1:12" x14ac:dyDescent="0.25">
      <c r="A25" s="1" t="s">
        <v>40</v>
      </c>
      <c r="B25" s="1" t="s">
        <v>13</v>
      </c>
      <c r="C25" s="1">
        <v>0</v>
      </c>
      <c r="D25" s="1">
        <v>1</v>
      </c>
      <c r="E25" s="1">
        <v>0</v>
      </c>
      <c r="F25" s="1">
        <v>0</v>
      </c>
      <c r="G25" s="1">
        <v>1</v>
      </c>
      <c r="H25" s="1">
        <v>6</v>
      </c>
      <c r="I25" s="1">
        <v>15</v>
      </c>
      <c r="J25" s="1">
        <v>1</v>
      </c>
      <c r="K25" s="1">
        <v>2</v>
      </c>
      <c r="L25" s="1">
        <v>0</v>
      </c>
    </row>
    <row r="26" spans="1:12" x14ac:dyDescent="0.25">
      <c r="A26" s="1" t="s">
        <v>41</v>
      </c>
      <c r="B26" s="1" t="s">
        <v>13</v>
      </c>
      <c r="C26" s="1">
        <v>0</v>
      </c>
      <c r="D26" s="1">
        <v>1</v>
      </c>
      <c r="E26" s="1">
        <v>0</v>
      </c>
      <c r="F26" s="1">
        <v>0</v>
      </c>
      <c r="G26" s="1">
        <v>1</v>
      </c>
      <c r="H26" s="1">
        <v>6</v>
      </c>
      <c r="I26" s="1">
        <v>9</v>
      </c>
      <c r="J26" s="1">
        <v>1</v>
      </c>
      <c r="K26" s="1">
        <v>2</v>
      </c>
      <c r="L26" s="1">
        <v>0</v>
      </c>
    </row>
    <row r="27" spans="1:12" x14ac:dyDescent="0.25">
      <c r="A27" s="1" t="s">
        <v>42</v>
      </c>
      <c r="B27" s="1" t="s">
        <v>13</v>
      </c>
      <c r="C27" s="1">
        <v>0</v>
      </c>
      <c r="D27" s="1">
        <v>1</v>
      </c>
      <c r="E27" s="1">
        <v>0</v>
      </c>
      <c r="F27" s="1">
        <v>0</v>
      </c>
      <c r="G27" s="1">
        <v>1</v>
      </c>
      <c r="H27" s="1">
        <v>10</v>
      </c>
      <c r="I27" s="1">
        <v>12</v>
      </c>
      <c r="J27" s="1">
        <v>1</v>
      </c>
      <c r="K27" s="1">
        <v>2</v>
      </c>
      <c r="L27" s="1">
        <v>0</v>
      </c>
    </row>
    <row r="28" spans="1:12" x14ac:dyDescent="0.25">
      <c r="A28" s="1" t="s">
        <v>43</v>
      </c>
      <c r="B28" s="1" t="s">
        <v>25</v>
      </c>
      <c r="C28" s="1">
        <v>0</v>
      </c>
      <c r="D28" s="1">
        <v>1</v>
      </c>
      <c r="E28" s="1">
        <v>0</v>
      </c>
      <c r="F28" s="1">
        <v>0</v>
      </c>
      <c r="G28" s="1">
        <v>1</v>
      </c>
      <c r="H28" s="1">
        <v>7</v>
      </c>
      <c r="I28" s="1">
        <v>10</v>
      </c>
      <c r="J28" s="1">
        <v>1</v>
      </c>
      <c r="K28" s="1">
        <v>2</v>
      </c>
      <c r="L28" s="1">
        <v>0</v>
      </c>
    </row>
    <row r="29" spans="1:12" x14ac:dyDescent="0.25">
      <c r="A29" s="1" t="s">
        <v>44</v>
      </c>
      <c r="B29" s="1" t="s">
        <v>13</v>
      </c>
      <c r="C29" s="1">
        <v>0</v>
      </c>
      <c r="D29" s="1">
        <v>1</v>
      </c>
      <c r="E29" s="1">
        <v>0</v>
      </c>
      <c r="F29" s="1">
        <v>0</v>
      </c>
      <c r="G29" s="1">
        <v>1</v>
      </c>
      <c r="H29" s="1">
        <v>6</v>
      </c>
      <c r="I29" s="1">
        <v>11</v>
      </c>
      <c r="J29" s="1">
        <v>1</v>
      </c>
      <c r="K29" s="1">
        <v>2</v>
      </c>
      <c r="L29" s="1">
        <v>0</v>
      </c>
    </row>
    <row r="30" spans="1:12" x14ac:dyDescent="0.25">
      <c r="A30" s="1" t="s">
        <v>45</v>
      </c>
      <c r="B30" s="1" t="s">
        <v>25</v>
      </c>
      <c r="C30" s="1">
        <v>0</v>
      </c>
      <c r="D30" s="1">
        <v>1</v>
      </c>
      <c r="E30" s="1">
        <v>1</v>
      </c>
      <c r="F30" s="1">
        <v>0</v>
      </c>
      <c r="G30" s="1">
        <v>1</v>
      </c>
      <c r="H30" s="1">
        <v>4</v>
      </c>
      <c r="I30" s="1">
        <v>6</v>
      </c>
      <c r="J30" s="1">
        <v>1</v>
      </c>
      <c r="K30" s="1">
        <v>2</v>
      </c>
      <c r="L30" s="1">
        <v>0</v>
      </c>
    </row>
    <row r="31" spans="1:12" x14ac:dyDescent="0.25">
      <c r="A31" s="1" t="s">
        <v>46</v>
      </c>
      <c r="B31" s="1" t="s">
        <v>13</v>
      </c>
      <c r="C31" s="1">
        <v>0</v>
      </c>
      <c r="D31" s="1">
        <v>1</v>
      </c>
      <c r="E31" s="1">
        <v>0</v>
      </c>
      <c r="F31" s="1">
        <v>0</v>
      </c>
      <c r="G31" s="1">
        <v>1</v>
      </c>
      <c r="H31" s="1">
        <v>9</v>
      </c>
      <c r="I31" s="1">
        <v>14</v>
      </c>
      <c r="J31" s="1">
        <v>1</v>
      </c>
      <c r="K31" s="1">
        <v>2</v>
      </c>
      <c r="L31" s="1">
        <v>0</v>
      </c>
    </row>
    <row r="32" spans="1:12" x14ac:dyDescent="0.25">
      <c r="A32" s="1" t="s">
        <v>47</v>
      </c>
      <c r="B32" s="1" t="s">
        <v>13</v>
      </c>
      <c r="C32" s="1">
        <v>0</v>
      </c>
      <c r="D32" s="1">
        <v>1</v>
      </c>
      <c r="E32" s="1">
        <v>0</v>
      </c>
      <c r="F32" s="1">
        <v>0</v>
      </c>
      <c r="G32" s="1">
        <v>1</v>
      </c>
      <c r="H32" s="1">
        <v>8</v>
      </c>
      <c r="I32" s="1">
        <v>7</v>
      </c>
      <c r="J32" s="1">
        <v>1</v>
      </c>
      <c r="K32" s="1">
        <v>2</v>
      </c>
      <c r="L32" s="1">
        <v>0</v>
      </c>
    </row>
    <row r="33" spans="1:12" x14ac:dyDescent="0.25">
      <c r="A33" s="1" t="s">
        <v>48</v>
      </c>
      <c r="B33" s="1" t="s">
        <v>13</v>
      </c>
      <c r="C33" s="1">
        <v>0</v>
      </c>
      <c r="D33" s="1">
        <v>1</v>
      </c>
      <c r="E33" s="1">
        <v>0</v>
      </c>
      <c r="F33" s="1">
        <v>0</v>
      </c>
      <c r="G33" s="1">
        <v>1</v>
      </c>
      <c r="H33" s="1">
        <v>6</v>
      </c>
      <c r="I33" s="1">
        <v>10</v>
      </c>
      <c r="J33" s="1">
        <v>1</v>
      </c>
      <c r="K33" s="1">
        <v>2</v>
      </c>
      <c r="L33" s="1">
        <v>0</v>
      </c>
    </row>
    <row r="34" spans="1:12" x14ac:dyDescent="0.25">
      <c r="A34" s="1" t="s">
        <v>49</v>
      </c>
      <c r="B34" s="1" t="s">
        <v>13</v>
      </c>
      <c r="C34" s="1">
        <v>0</v>
      </c>
      <c r="D34" s="1">
        <v>1</v>
      </c>
      <c r="E34" s="1">
        <v>0</v>
      </c>
      <c r="F34" s="1">
        <v>0</v>
      </c>
      <c r="G34" s="1">
        <v>1</v>
      </c>
      <c r="H34" s="1">
        <v>7</v>
      </c>
      <c r="I34" s="1">
        <v>13</v>
      </c>
      <c r="J34" s="1">
        <v>1</v>
      </c>
      <c r="K34" s="1">
        <v>2</v>
      </c>
      <c r="L34" s="1">
        <v>0</v>
      </c>
    </row>
    <row r="35" spans="1:12" x14ac:dyDescent="0.25">
      <c r="A35" s="1" t="s">
        <v>50</v>
      </c>
      <c r="B35" s="1" t="s">
        <v>13</v>
      </c>
      <c r="C35" s="1">
        <v>0</v>
      </c>
      <c r="D35" s="1">
        <v>1</v>
      </c>
      <c r="E35" s="1">
        <v>0</v>
      </c>
      <c r="F35" s="1">
        <v>0</v>
      </c>
      <c r="G35" s="1">
        <v>1</v>
      </c>
      <c r="H35" s="1">
        <v>6</v>
      </c>
      <c r="I35" s="1">
        <v>11</v>
      </c>
      <c r="J35" s="1">
        <v>1</v>
      </c>
      <c r="K35" s="1">
        <v>2</v>
      </c>
      <c r="L35" s="1">
        <v>0</v>
      </c>
    </row>
    <row r="36" spans="1:12" x14ac:dyDescent="0.25">
      <c r="A36" s="1" t="s">
        <v>51</v>
      </c>
      <c r="B36" s="1" t="s">
        <v>13</v>
      </c>
      <c r="C36" s="1">
        <v>0</v>
      </c>
      <c r="D36" s="1">
        <v>1</v>
      </c>
      <c r="E36" s="1">
        <v>0</v>
      </c>
      <c r="F36" s="1">
        <v>0</v>
      </c>
      <c r="G36" s="1">
        <v>1</v>
      </c>
      <c r="H36" s="1">
        <v>6</v>
      </c>
      <c r="I36" s="1">
        <v>9</v>
      </c>
      <c r="J36" s="1">
        <v>1</v>
      </c>
      <c r="K36" s="1">
        <v>2</v>
      </c>
      <c r="L36" s="1">
        <v>0</v>
      </c>
    </row>
    <row r="37" spans="1:12" x14ac:dyDescent="0.25">
      <c r="A37" s="1" t="s">
        <v>52</v>
      </c>
      <c r="B37" s="1" t="s">
        <v>13</v>
      </c>
      <c r="C37" s="1">
        <v>0</v>
      </c>
      <c r="D37" s="1">
        <v>1</v>
      </c>
      <c r="E37" s="1">
        <v>0</v>
      </c>
      <c r="F37" s="1">
        <v>0</v>
      </c>
      <c r="G37" s="1">
        <v>1</v>
      </c>
      <c r="H37" s="1">
        <v>5</v>
      </c>
      <c r="I37" s="1">
        <v>8</v>
      </c>
      <c r="J37" s="1">
        <v>1</v>
      </c>
      <c r="K37" s="1">
        <v>2</v>
      </c>
      <c r="L37" s="1">
        <v>0</v>
      </c>
    </row>
    <row r="38" spans="1:12" x14ac:dyDescent="0.25">
      <c r="A38" s="1" t="s">
        <v>53</v>
      </c>
      <c r="B38" s="1" t="s">
        <v>54</v>
      </c>
      <c r="C38" s="1">
        <v>0</v>
      </c>
      <c r="D38" s="1">
        <v>156</v>
      </c>
      <c r="E38" s="1">
        <v>8498</v>
      </c>
      <c r="F38" s="1">
        <v>1</v>
      </c>
      <c r="G38" s="1">
        <v>1.0999999999999999E-2</v>
      </c>
      <c r="H38" s="1">
        <v>88</v>
      </c>
      <c r="I38" s="1">
        <v>304</v>
      </c>
      <c r="J38" s="1">
        <v>38</v>
      </c>
      <c r="K38" s="1">
        <v>161</v>
      </c>
      <c r="L38" s="1">
        <v>0</v>
      </c>
    </row>
    <row r="39" spans="1:12" x14ac:dyDescent="0.25">
      <c r="A39" s="1" t="s">
        <v>55</v>
      </c>
      <c r="B39" s="1" t="s">
        <v>19</v>
      </c>
      <c r="C39" s="1">
        <v>0</v>
      </c>
      <c r="D39" s="1">
        <v>1</v>
      </c>
      <c r="E39" s="1">
        <v>1</v>
      </c>
      <c r="F39" s="1">
        <v>0</v>
      </c>
      <c r="G39" s="1">
        <v>1</v>
      </c>
      <c r="H39" s="1">
        <v>10</v>
      </c>
      <c r="I39" s="1">
        <v>12</v>
      </c>
      <c r="J39" s="1">
        <v>1</v>
      </c>
      <c r="K39" s="1">
        <v>3</v>
      </c>
      <c r="L39" s="1">
        <v>0</v>
      </c>
    </row>
    <row r="40" spans="1:12" x14ac:dyDescent="0.25">
      <c r="A40" s="1" t="s">
        <v>56</v>
      </c>
      <c r="B40" s="1" t="s">
        <v>19</v>
      </c>
      <c r="C40" s="1">
        <v>0</v>
      </c>
      <c r="D40" s="1">
        <v>1</v>
      </c>
      <c r="E40" s="1">
        <v>0</v>
      </c>
      <c r="F40" s="1">
        <v>0</v>
      </c>
      <c r="G40" s="1">
        <v>1</v>
      </c>
      <c r="H40" s="1">
        <v>4</v>
      </c>
      <c r="I40" s="1">
        <v>5</v>
      </c>
      <c r="J40" s="1">
        <v>1</v>
      </c>
      <c r="K40" s="1">
        <v>2</v>
      </c>
      <c r="L40" s="1">
        <v>0</v>
      </c>
    </row>
    <row r="41" spans="1:12" x14ac:dyDescent="0.25">
      <c r="A41" s="1" t="s">
        <v>57</v>
      </c>
      <c r="B41" s="1" t="s">
        <v>19</v>
      </c>
      <c r="C41" s="1">
        <v>0</v>
      </c>
      <c r="D41" s="1">
        <v>1</v>
      </c>
      <c r="E41" s="1">
        <v>0</v>
      </c>
      <c r="F41" s="1">
        <v>0</v>
      </c>
      <c r="G41" s="1">
        <v>1</v>
      </c>
      <c r="H41" s="1">
        <v>5</v>
      </c>
      <c r="I41" s="1">
        <v>8</v>
      </c>
      <c r="J41" s="1">
        <v>1</v>
      </c>
      <c r="K41" s="1">
        <v>2</v>
      </c>
      <c r="L41" s="1">
        <v>0</v>
      </c>
    </row>
    <row r="42" spans="1:12" x14ac:dyDescent="0.25">
      <c r="A42" s="1" t="s">
        <v>58</v>
      </c>
      <c r="B42" s="1" t="s">
        <v>19</v>
      </c>
      <c r="C42" s="1">
        <v>0</v>
      </c>
      <c r="D42" s="1">
        <v>1</v>
      </c>
      <c r="E42" s="1">
        <v>1</v>
      </c>
      <c r="F42" s="1">
        <v>0</v>
      </c>
      <c r="G42" s="1">
        <v>1</v>
      </c>
      <c r="H42" s="1">
        <v>9</v>
      </c>
      <c r="I42" s="1">
        <v>7</v>
      </c>
      <c r="J42" s="1">
        <v>1</v>
      </c>
      <c r="K42" s="1">
        <v>3</v>
      </c>
      <c r="L42" s="1">
        <v>0</v>
      </c>
    </row>
    <row r="43" spans="1:12" x14ac:dyDescent="0.25">
      <c r="A43" s="1" t="s">
        <v>59</v>
      </c>
      <c r="B43" s="1" t="s">
        <v>19</v>
      </c>
      <c r="C43" s="1">
        <v>0</v>
      </c>
      <c r="D43" s="1">
        <v>1</v>
      </c>
      <c r="E43" s="1">
        <v>0</v>
      </c>
      <c r="F43" s="1">
        <v>0</v>
      </c>
      <c r="G43" s="1">
        <v>1</v>
      </c>
      <c r="H43" s="1">
        <v>4</v>
      </c>
      <c r="I43" s="1">
        <v>5</v>
      </c>
      <c r="J43" s="1">
        <v>1</v>
      </c>
      <c r="K43" s="1">
        <v>2</v>
      </c>
      <c r="L43" s="1">
        <v>0</v>
      </c>
    </row>
    <row r="44" spans="1:12" x14ac:dyDescent="0.25">
      <c r="A44" s="1" t="s">
        <v>60</v>
      </c>
      <c r="B44" s="1" t="s">
        <v>19</v>
      </c>
      <c r="C44" s="1">
        <v>0</v>
      </c>
      <c r="D44" s="1">
        <v>1</v>
      </c>
      <c r="E44" s="1">
        <v>0</v>
      </c>
      <c r="F44" s="1">
        <v>0</v>
      </c>
      <c r="G44" s="1">
        <v>1</v>
      </c>
      <c r="H44" s="1">
        <v>4</v>
      </c>
      <c r="I44" s="1">
        <v>5</v>
      </c>
      <c r="J44" s="1">
        <v>1</v>
      </c>
      <c r="K44" s="1">
        <v>2</v>
      </c>
      <c r="L44" s="1">
        <v>0</v>
      </c>
    </row>
    <row r="45" spans="1:12" x14ac:dyDescent="0.25">
      <c r="A45" s="1" t="s">
        <v>61</v>
      </c>
      <c r="B45" s="1" t="s">
        <v>19</v>
      </c>
      <c r="C45" s="1">
        <v>0</v>
      </c>
      <c r="D45" s="1">
        <v>1</v>
      </c>
      <c r="E45" s="1">
        <v>0</v>
      </c>
      <c r="F45" s="1">
        <v>0</v>
      </c>
      <c r="G45" s="1">
        <v>1</v>
      </c>
      <c r="H45" s="1">
        <v>3</v>
      </c>
      <c r="I45" s="1">
        <v>4</v>
      </c>
      <c r="J45" s="1">
        <v>1</v>
      </c>
      <c r="K45" s="1">
        <v>2</v>
      </c>
      <c r="L45" s="1">
        <v>0</v>
      </c>
    </row>
    <row r="46" spans="1:12" x14ac:dyDescent="0.25">
      <c r="A46" s="1" t="s">
        <v>62</v>
      </c>
      <c r="B46" s="1" t="s">
        <v>19</v>
      </c>
      <c r="C46" s="1">
        <v>0</v>
      </c>
      <c r="D46" s="1">
        <v>1</v>
      </c>
      <c r="E46" s="1">
        <v>0</v>
      </c>
      <c r="F46" s="1">
        <v>0</v>
      </c>
      <c r="G46" s="1">
        <v>1</v>
      </c>
      <c r="H46" s="1">
        <v>6</v>
      </c>
      <c r="I46" s="1">
        <v>10</v>
      </c>
      <c r="J46" s="1">
        <v>1</v>
      </c>
      <c r="K46" s="1">
        <v>2</v>
      </c>
      <c r="L46" s="1">
        <v>0</v>
      </c>
    </row>
    <row r="47" spans="1:12" x14ac:dyDescent="0.25">
      <c r="A47" s="1" t="s">
        <v>63</v>
      </c>
      <c r="B47" s="1" t="s">
        <v>19</v>
      </c>
      <c r="C47" s="1">
        <v>0</v>
      </c>
      <c r="D47" s="1">
        <v>1</v>
      </c>
      <c r="E47" s="1">
        <v>0</v>
      </c>
      <c r="F47" s="1">
        <v>0</v>
      </c>
      <c r="G47" s="1">
        <v>1</v>
      </c>
      <c r="H47" s="1">
        <v>5</v>
      </c>
      <c r="I47" s="1">
        <v>9</v>
      </c>
      <c r="J47" s="1">
        <v>1</v>
      </c>
      <c r="K47" s="1">
        <v>2</v>
      </c>
      <c r="L47" s="1">
        <v>0</v>
      </c>
    </row>
    <row r="48" spans="1:12" x14ac:dyDescent="0.25">
      <c r="A48" s="1" t="s">
        <v>64</v>
      </c>
      <c r="B48" s="1" t="s">
        <v>19</v>
      </c>
      <c r="C48" s="1">
        <v>0</v>
      </c>
      <c r="D48" s="1">
        <v>1</v>
      </c>
      <c r="E48" s="1">
        <v>0</v>
      </c>
      <c r="F48" s="1">
        <v>0</v>
      </c>
      <c r="G48" s="1">
        <v>1</v>
      </c>
      <c r="H48" s="1">
        <v>4</v>
      </c>
      <c r="I48" s="1">
        <v>4</v>
      </c>
      <c r="J48" s="1">
        <v>1</v>
      </c>
      <c r="K48" s="1">
        <v>2</v>
      </c>
      <c r="L48" s="1">
        <v>0</v>
      </c>
    </row>
    <row r="49" spans="1:12" x14ac:dyDescent="0.25">
      <c r="A49" s="1" t="s">
        <v>65</v>
      </c>
      <c r="B49" s="1" t="s">
        <v>19</v>
      </c>
      <c r="C49" s="1">
        <v>0</v>
      </c>
      <c r="D49" s="1">
        <v>1</v>
      </c>
      <c r="E49" s="1">
        <v>0</v>
      </c>
      <c r="F49" s="1">
        <v>0</v>
      </c>
      <c r="G49" s="1">
        <v>1</v>
      </c>
      <c r="H49" s="1">
        <v>4</v>
      </c>
      <c r="I49" s="1">
        <v>4</v>
      </c>
      <c r="J49" s="1">
        <v>1</v>
      </c>
      <c r="K49" s="1">
        <v>2</v>
      </c>
      <c r="L49" s="1">
        <v>0</v>
      </c>
    </row>
    <row r="50" spans="1:12" x14ac:dyDescent="0.25">
      <c r="A50" s="1" t="s">
        <v>66</v>
      </c>
      <c r="B50" s="1" t="s">
        <v>19</v>
      </c>
      <c r="C50" s="1">
        <v>0</v>
      </c>
      <c r="D50" s="1">
        <v>1</v>
      </c>
      <c r="E50" s="1">
        <v>0</v>
      </c>
      <c r="F50" s="1">
        <v>0</v>
      </c>
      <c r="G50" s="1">
        <v>1</v>
      </c>
      <c r="H50" s="1">
        <v>5</v>
      </c>
      <c r="I50" s="1">
        <v>5</v>
      </c>
      <c r="J50" s="1">
        <v>1</v>
      </c>
      <c r="K50" s="1">
        <v>2</v>
      </c>
      <c r="L50" s="1">
        <v>0</v>
      </c>
    </row>
    <row r="51" spans="1:12" x14ac:dyDescent="0.25">
      <c r="A51" s="1" t="s">
        <v>67</v>
      </c>
      <c r="B51" s="1" t="s">
        <v>19</v>
      </c>
      <c r="C51" s="1">
        <v>0</v>
      </c>
      <c r="D51" s="1">
        <v>1</v>
      </c>
      <c r="E51" s="1">
        <v>0</v>
      </c>
      <c r="F51" s="1">
        <v>0</v>
      </c>
      <c r="G51" s="1">
        <v>1</v>
      </c>
      <c r="H51" s="1">
        <v>3</v>
      </c>
      <c r="I51" s="1">
        <v>4</v>
      </c>
      <c r="J51" s="1">
        <v>1</v>
      </c>
      <c r="K51" s="1">
        <v>2</v>
      </c>
      <c r="L51" s="1">
        <v>0</v>
      </c>
    </row>
    <row r="52" spans="1:12" x14ac:dyDescent="0.25">
      <c r="A52" s="1" t="s">
        <v>68</v>
      </c>
      <c r="B52" s="1" t="s">
        <v>25</v>
      </c>
      <c r="C52" s="1">
        <v>0</v>
      </c>
      <c r="D52" s="1">
        <v>1</v>
      </c>
      <c r="E52" s="1">
        <v>0</v>
      </c>
      <c r="F52" s="1">
        <v>0</v>
      </c>
      <c r="G52" s="1">
        <v>1</v>
      </c>
      <c r="H52" s="1">
        <v>4</v>
      </c>
      <c r="I52" s="1">
        <v>5</v>
      </c>
      <c r="J52" s="1">
        <v>1</v>
      </c>
      <c r="K52" s="1">
        <v>2</v>
      </c>
      <c r="L52" s="1">
        <v>0</v>
      </c>
    </row>
    <row r="53" spans="1:12" x14ac:dyDescent="0.25">
      <c r="A53" s="1" t="s">
        <v>69</v>
      </c>
      <c r="B53" s="1" t="s">
        <v>19</v>
      </c>
      <c r="C53" s="1">
        <v>0</v>
      </c>
      <c r="D53" s="1">
        <v>1</v>
      </c>
      <c r="E53" s="1">
        <v>0</v>
      </c>
      <c r="F53" s="1">
        <v>0</v>
      </c>
      <c r="G53" s="1">
        <v>1</v>
      </c>
      <c r="H53" s="1">
        <v>4</v>
      </c>
      <c r="I53" s="1">
        <v>7</v>
      </c>
      <c r="J53" s="1">
        <v>1</v>
      </c>
      <c r="K53" s="1">
        <v>2</v>
      </c>
      <c r="L53" s="1">
        <v>0</v>
      </c>
    </row>
    <row r="54" spans="1:12" x14ac:dyDescent="0.25">
      <c r="A54" s="1" t="s">
        <v>70</v>
      </c>
      <c r="B54" s="1" t="s">
        <v>19</v>
      </c>
      <c r="C54" s="1">
        <v>0</v>
      </c>
      <c r="D54" s="1">
        <v>1</v>
      </c>
      <c r="E54" s="1">
        <v>0</v>
      </c>
      <c r="F54" s="1">
        <v>0</v>
      </c>
      <c r="G54" s="1">
        <v>1</v>
      </c>
      <c r="H54" s="1">
        <v>3</v>
      </c>
      <c r="I54" s="1">
        <v>4</v>
      </c>
      <c r="J54" s="1">
        <v>1</v>
      </c>
      <c r="K54" s="1">
        <v>2</v>
      </c>
      <c r="L54" s="1">
        <v>0</v>
      </c>
    </row>
    <row r="55" spans="1:12" x14ac:dyDescent="0.25">
      <c r="A55" s="1" t="s">
        <v>71</v>
      </c>
      <c r="B55" s="1" t="s">
        <v>19</v>
      </c>
      <c r="C55" s="1">
        <v>0</v>
      </c>
      <c r="D55" s="1">
        <v>1</v>
      </c>
      <c r="E55" s="1">
        <v>0</v>
      </c>
      <c r="F55" s="1">
        <v>0</v>
      </c>
      <c r="G55" s="1">
        <v>1</v>
      </c>
      <c r="H55" s="1">
        <v>7</v>
      </c>
      <c r="I55" s="1">
        <v>6</v>
      </c>
      <c r="J55" s="1">
        <v>1</v>
      </c>
      <c r="K55" s="1">
        <v>2</v>
      </c>
      <c r="L55" s="1">
        <v>0</v>
      </c>
    </row>
    <row r="56" spans="1:12" x14ac:dyDescent="0.25">
      <c r="A56" s="1" t="s">
        <v>72</v>
      </c>
      <c r="B56" s="1" t="s">
        <v>19</v>
      </c>
      <c r="C56" s="1">
        <v>0</v>
      </c>
      <c r="D56" s="1">
        <v>1</v>
      </c>
      <c r="E56" s="1">
        <v>0</v>
      </c>
      <c r="F56" s="1">
        <v>0</v>
      </c>
      <c r="G56" s="1">
        <v>1</v>
      </c>
      <c r="H56" s="1">
        <v>4</v>
      </c>
      <c r="I56" s="1">
        <v>4</v>
      </c>
      <c r="J56" s="1">
        <v>1</v>
      </c>
      <c r="K56" s="1">
        <v>2</v>
      </c>
      <c r="L56" s="1">
        <v>0</v>
      </c>
    </row>
    <row r="57" spans="1:12" x14ac:dyDescent="0.25">
      <c r="A57" s="1" t="s">
        <v>73</v>
      </c>
      <c r="B57" s="1" t="s">
        <v>19</v>
      </c>
      <c r="C57" s="1">
        <v>0</v>
      </c>
      <c r="D57" s="1">
        <v>1</v>
      </c>
      <c r="E57" s="1">
        <v>0</v>
      </c>
      <c r="F57" s="1">
        <v>0</v>
      </c>
      <c r="G57" s="1">
        <v>1</v>
      </c>
      <c r="H57" s="1">
        <v>3</v>
      </c>
      <c r="I57" s="1">
        <v>4</v>
      </c>
      <c r="J57" s="1">
        <v>1</v>
      </c>
      <c r="K57" s="1">
        <v>2</v>
      </c>
      <c r="L57" s="1">
        <v>0</v>
      </c>
    </row>
    <row r="58" spans="1:12" x14ac:dyDescent="0.25">
      <c r="A58" s="1" t="s">
        <v>74</v>
      </c>
      <c r="B58" s="1" t="s">
        <v>19</v>
      </c>
      <c r="C58" s="1">
        <v>0</v>
      </c>
      <c r="D58" s="1">
        <v>1</v>
      </c>
      <c r="E58" s="1">
        <v>0</v>
      </c>
      <c r="F58" s="1">
        <v>0</v>
      </c>
      <c r="G58" s="1">
        <v>1</v>
      </c>
      <c r="H58" s="1">
        <v>3</v>
      </c>
      <c r="I58" s="1">
        <v>4</v>
      </c>
      <c r="J58" s="1">
        <v>1</v>
      </c>
      <c r="K58" s="1">
        <v>2</v>
      </c>
      <c r="L58" s="1">
        <v>0</v>
      </c>
    </row>
    <row r="59" spans="1:12" x14ac:dyDescent="0.25">
      <c r="A59" s="1" t="s">
        <v>75</v>
      </c>
      <c r="B59" s="1" t="s">
        <v>19</v>
      </c>
      <c r="C59" s="1">
        <v>0</v>
      </c>
      <c r="D59" s="1">
        <v>1</v>
      </c>
      <c r="E59" s="1">
        <v>0</v>
      </c>
      <c r="F59" s="1">
        <v>0</v>
      </c>
      <c r="G59" s="1">
        <v>1</v>
      </c>
      <c r="H59" s="1">
        <v>3</v>
      </c>
      <c r="I59" s="1">
        <v>4</v>
      </c>
      <c r="J59" s="1">
        <v>1</v>
      </c>
      <c r="K59" s="1">
        <v>2</v>
      </c>
      <c r="L59" s="1">
        <v>0</v>
      </c>
    </row>
    <row r="60" spans="1:12" x14ac:dyDescent="0.25">
      <c r="A60" s="1" t="s">
        <v>76</v>
      </c>
      <c r="B60" s="1" t="s">
        <v>19</v>
      </c>
      <c r="C60" s="1">
        <v>0</v>
      </c>
      <c r="D60" s="1">
        <v>1</v>
      </c>
      <c r="E60" s="1">
        <v>0</v>
      </c>
      <c r="F60" s="1">
        <v>0</v>
      </c>
      <c r="G60" s="1">
        <v>1</v>
      </c>
      <c r="H60" s="1">
        <v>4</v>
      </c>
      <c r="I60" s="1">
        <v>4</v>
      </c>
      <c r="J60" s="1">
        <v>1</v>
      </c>
      <c r="K60" s="1">
        <v>2</v>
      </c>
      <c r="L60" s="1">
        <v>0</v>
      </c>
    </row>
    <row r="61" spans="1:12" x14ac:dyDescent="0.25">
      <c r="A61" s="1" t="s">
        <v>77</v>
      </c>
      <c r="B61" s="1" t="s">
        <v>19</v>
      </c>
      <c r="C61" s="1">
        <v>0</v>
      </c>
      <c r="D61" s="1">
        <v>1</v>
      </c>
      <c r="E61" s="1">
        <v>0</v>
      </c>
      <c r="F61" s="1">
        <v>0</v>
      </c>
      <c r="G61" s="1">
        <v>1</v>
      </c>
      <c r="H61" s="1">
        <v>5</v>
      </c>
      <c r="I61" s="1">
        <v>5</v>
      </c>
      <c r="J61" s="1">
        <v>1</v>
      </c>
      <c r="K61" s="1">
        <v>2</v>
      </c>
      <c r="L61" s="1">
        <v>0</v>
      </c>
    </row>
    <row r="62" spans="1:12" x14ac:dyDescent="0.25">
      <c r="A62" s="1" t="s">
        <v>78</v>
      </c>
      <c r="B62" s="1" t="s">
        <v>19</v>
      </c>
      <c r="C62" s="1">
        <v>0</v>
      </c>
      <c r="D62" s="1">
        <v>1</v>
      </c>
      <c r="E62" s="1">
        <v>0</v>
      </c>
      <c r="F62" s="1">
        <v>0</v>
      </c>
      <c r="G62" s="1">
        <v>1</v>
      </c>
      <c r="H62" s="1">
        <v>4</v>
      </c>
      <c r="I62" s="1">
        <v>4</v>
      </c>
      <c r="J62" s="1">
        <v>1</v>
      </c>
      <c r="K62" s="1">
        <v>2</v>
      </c>
      <c r="L62" s="1">
        <v>0</v>
      </c>
    </row>
    <row r="63" spans="1:12" x14ac:dyDescent="0.25">
      <c r="A63" s="1" t="s">
        <v>79</v>
      </c>
      <c r="B63" s="1" t="s">
        <v>19</v>
      </c>
      <c r="C63" s="1">
        <v>0</v>
      </c>
      <c r="D63" s="1">
        <v>1</v>
      </c>
      <c r="E63" s="1">
        <v>0</v>
      </c>
      <c r="F63" s="1">
        <v>0</v>
      </c>
      <c r="G63" s="1">
        <v>1</v>
      </c>
      <c r="H63" s="1">
        <v>5</v>
      </c>
      <c r="I63" s="1">
        <v>5</v>
      </c>
      <c r="J63" s="1">
        <v>1</v>
      </c>
      <c r="K63" s="1">
        <v>2</v>
      </c>
      <c r="L63" s="1">
        <v>0</v>
      </c>
    </row>
    <row r="64" spans="1:12" x14ac:dyDescent="0.25">
      <c r="A64" s="1" t="s">
        <v>80</v>
      </c>
      <c r="B64" s="1" t="s">
        <v>19</v>
      </c>
      <c r="C64" s="1">
        <v>0</v>
      </c>
      <c r="D64" s="1">
        <v>1</v>
      </c>
      <c r="E64" s="1">
        <v>0</v>
      </c>
      <c r="F64" s="1">
        <v>0</v>
      </c>
      <c r="G64" s="1">
        <v>1</v>
      </c>
      <c r="H64" s="1">
        <v>3</v>
      </c>
      <c r="I64" s="1">
        <v>4</v>
      </c>
      <c r="J64" s="1">
        <v>1</v>
      </c>
      <c r="K64" s="1">
        <v>2</v>
      </c>
      <c r="L64" s="1">
        <v>0</v>
      </c>
    </row>
    <row r="65" spans="1:12" x14ac:dyDescent="0.25">
      <c r="A65" s="1" t="s">
        <v>81</v>
      </c>
      <c r="B65" s="1" t="s">
        <v>19</v>
      </c>
      <c r="C65" s="1">
        <v>0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4</v>
      </c>
      <c r="J65" s="1">
        <v>1</v>
      </c>
      <c r="K65" s="1">
        <v>2</v>
      </c>
      <c r="L65" s="1">
        <v>0</v>
      </c>
    </row>
    <row r="66" spans="1:12" x14ac:dyDescent="0.25">
      <c r="A66" s="1" t="s">
        <v>82</v>
      </c>
      <c r="B66" s="1" t="s">
        <v>19</v>
      </c>
      <c r="C66" s="1">
        <v>0</v>
      </c>
      <c r="D66" s="1">
        <v>1</v>
      </c>
      <c r="E66" s="1">
        <v>0</v>
      </c>
      <c r="F66" s="1">
        <v>0</v>
      </c>
      <c r="G66" s="1">
        <v>1</v>
      </c>
      <c r="H66" s="1">
        <v>5</v>
      </c>
      <c r="I66" s="1">
        <v>5</v>
      </c>
      <c r="J66" s="1">
        <v>1</v>
      </c>
      <c r="K66" s="1">
        <v>2</v>
      </c>
      <c r="L66" s="1">
        <v>0</v>
      </c>
    </row>
    <row r="67" spans="1:12" x14ac:dyDescent="0.25">
      <c r="A67" s="1" t="s">
        <v>83</v>
      </c>
      <c r="B67" s="1" t="s">
        <v>19</v>
      </c>
      <c r="C67" s="1">
        <v>0</v>
      </c>
      <c r="D67" s="1">
        <v>1</v>
      </c>
      <c r="E67" s="1">
        <v>0</v>
      </c>
      <c r="F67" s="1">
        <v>0</v>
      </c>
      <c r="G67" s="1">
        <v>1</v>
      </c>
      <c r="H67" s="1">
        <v>5</v>
      </c>
      <c r="I67" s="1">
        <v>5</v>
      </c>
      <c r="J67" s="1">
        <v>1</v>
      </c>
      <c r="K67" s="1">
        <v>2</v>
      </c>
      <c r="L67" s="1">
        <v>0</v>
      </c>
    </row>
    <row r="68" spans="1:12" x14ac:dyDescent="0.25">
      <c r="A68" s="1" t="s">
        <v>84</v>
      </c>
      <c r="B68" s="1" t="s">
        <v>19</v>
      </c>
      <c r="C68" s="1">
        <v>0</v>
      </c>
      <c r="D68" s="1">
        <v>1</v>
      </c>
      <c r="E68" s="1">
        <v>0</v>
      </c>
      <c r="F68" s="1">
        <v>0</v>
      </c>
      <c r="G68" s="1">
        <v>1</v>
      </c>
      <c r="H68" s="1">
        <v>5</v>
      </c>
      <c r="I68" s="1">
        <v>5</v>
      </c>
      <c r="J68" s="1">
        <v>1</v>
      </c>
      <c r="K68" s="1">
        <v>2</v>
      </c>
      <c r="L68" s="1">
        <v>0</v>
      </c>
    </row>
    <row r="69" spans="1:12" x14ac:dyDescent="0.25">
      <c r="A69" s="1" t="s">
        <v>85</v>
      </c>
      <c r="B69" s="1" t="s">
        <v>19</v>
      </c>
      <c r="C69" s="1">
        <v>0</v>
      </c>
      <c r="D69" s="1">
        <v>17</v>
      </c>
      <c r="E69" s="1">
        <v>105</v>
      </c>
      <c r="F69" s="1">
        <v>1</v>
      </c>
      <c r="G69" s="1">
        <v>0.2</v>
      </c>
      <c r="H69" s="1">
        <v>7</v>
      </c>
      <c r="I69" s="1">
        <v>31</v>
      </c>
      <c r="J69" s="1">
        <v>2</v>
      </c>
      <c r="K69" s="1">
        <v>19</v>
      </c>
      <c r="L69" s="1">
        <v>0</v>
      </c>
    </row>
    <row r="70" spans="1:12" x14ac:dyDescent="0.25">
      <c r="A70" s="1" t="s">
        <v>86</v>
      </c>
      <c r="B70" s="1" t="s">
        <v>19</v>
      </c>
      <c r="C70" s="1">
        <v>0</v>
      </c>
      <c r="D70" s="1">
        <v>18</v>
      </c>
      <c r="E70" s="1">
        <v>136</v>
      </c>
      <c r="F70" s="1">
        <v>1</v>
      </c>
      <c r="G70" s="1">
        <v>7.6999999999999999E-2</v>
      </c>
      <c r="H70" s="1">
        <v>19</v>
      </c>
      <c r="I70" s="1">
        <v>62</v>
      </c>
      <c r="J70" s="1">
        <v>2</v>
      </c>
      <c r="K70" s="1">
        <v>18</v>
      </c>
      <c r="L70" s="1">
        <v>0</v>
      </c>
    </row>
    <row r="71" spans="1:12" x14ac:dyDescent="0.25">
      <c r="A71" s="1" t="s">
        <v>87</v>
      </c>
      <c r="B71" s="1" t="s">
        <v>16</v>
      </c>
      <c r="C71" s="1">
        <v>0</v>
      </c>
      <c r="D71" s="1">
        <v>4</v>
      </c>
      <c r="E71" s="1">
        <v>10</v>
      </c>
      <c r="F71" s="1">
        <v>1</v>
      </c>
      <c r="G71" s="1">
        <v>0.25</v>
      </c>
      <c r="H71" s="1">
        <v>2</v>
      </c>
      <c r="I71" s="1">
        <v>6</v>
      </c>
      <c r="J71" s="1">
        <v>1</v>
      </c>
      <c r="K71" s="1">
        <v>5</v>
      </c>
      <c r="L71" s="1">
        <v>0</v>
      </c>
    </row>
    <row r="72" spans="1:12" x14ac:dyDescent="0.25">
      <c r="A72" s="1" t="s">
        <v>88</v>
      </c>
      <c r="B72" s="1" t="s">
        <v>19</v>
      </c>
      <c r="C72" s="1">
        <v>0</v>
      </c>
      <c r="D72" s="1">
        <v>73</v>
      </c>
      <c r="E72" s="1">
        <v>881</v>
      </c>
      <c r="F72" s="1">
        <v>1</v>
      </c>
      <c r="G72" s="1">
        <v>2.7E-2</v>
      </c>
      <c r="H72" s="1">
        <v>100</v>
      </c>
      <c r="I72" s="1">
        <v>119</v>
      </c>
      <c r="J72" s="1">
        <v>30</v>
      </c>
      <c r="K72" s="1">
        <v>77</v>
      </c>
      <c r="L72" s="1">
        <v>0</v>
      </c>
    </row>
    <row r="73" spans="1:12" x14ac:dyDescent="0.25">
      <c r="A73" s="1" t="s">
        <v>89</v>
      </c>
      <c r="B73" s="1" t="s">
        <v>19</v>
      </c>
      <c r="C73" s="1">
        <v>0</v>
      </c>
      <c r="D73" s="1">
        <v>0</v>
      </c>
      <c r="E73" s="1">
        <v>1</v>
      </c>
      <c r="F73" s="1">
        <v>0</v>
      </c>
      <c r="G73" s="1">
        <v>1</v>
      </c>
      <c r="H73" s="1">
        <v>2</v>
      </c>
      <c r="I73" s="1">
        <v>5</v>
      </c>
      <c r="J73" s="1">
        <v>1</v>
      </c>
      <c r="K73" s="1">
        <v>2</v>
      </c>
      <c r="L73" s="1">
        <v>0</v>
      </c>
    </row>
    <row r="74" spans="1:12" x14ac:dyDescent="0.25">
      <c r="A74" s="1" t="s">
        <v>90</v>
      </c>
      <c r="B74" s="1" t="s">
        <v>13</v>
      </c>
      <c r="C74" s="1">
        <v>0</v>
      </c>
      <c r="D74" s="1">
        <v>18</v>
      </c>
      <c r="E74" s="1">
        <v>45</v>
      </c>
      <c r="F74" s="1">
        <v>1</v>
      </c>
      <c r="G74" s="1">
        <v>0.111</v>
      </c>
      <c r="H74" s="1">
        <v>14</v>
      </c>
      <c r="I74" s="1">
        <v>24</v>
      </c>
      <c r="J74" s="1">
        <v>4</v>
      </c>
      <c r="K74" s="1">
        <v>18</v>
      </c>
      <c r="L74" s="1">
        <v>0</v>
      </c>
    </row>
    <row r="75" spans="1:12" x14ac:dyDescent="0.25">
      <c r="A75" s="1" t="s">
        <v>91</v>
      </c>
      <c r="B75" s="1" t="s">
        <v>13</v>
      </c>
      <c r="C75" s="1">
        <v>0</v>
      </c>
      <c r="D75" s="1">
        <v>1</v>
      </c>
      <c r="E75" s="1">
        <v>0</v>
      </c>
      <c r="F75" s="1">
        <v>0</v>
      </c>
      <c r="G75" s="1">
        <v>1</v>
      </c>
      <c r="H75" s="1">
        <v>4</v>
      </c>
      <c r="I75" s="1">
        <v>8</v>
      </c>
      <c r="J75" s="1">
        <v>1</v>
      </c>
      <c r="K75" s="1">
        <v>2</v>
      </c>
      <c r="L75" s="1">
        <v>0</v>
      </c>
    </row>
    <row r="76" spans="1:12" x14ac:dyDescent="0.25">
      <c r="A76" s="1" t="s">
        <v>92</v>
      </c>
      <c r="B76" s="1" t="s">
        <v>25</v>
      </c>
      <c r="C76" s="1">
        <v>0</v>
      </c>
      <c r="D76" s="1">
        <v>1</v>
      </c>
      <c r="E76" s="1">
        <v>1</v>
      </c>
      <c r="F76" s="1">
        <v>0</v>
      </c>
      <c r="G76" s="1">
        <v>1</v>
      </c>
      <c r="H76" s="1">
        <v>4</v>
      </c>
      <c r="I76" s="1">
        <v>6</v>
      </c>
      <c r="J76" s="1">
        <v>1</v>
      </c>
      <c r="K76" s="1">
        <v>2</v>
      </c>
      <c r="L76" s="1">
        <v>0</v>
      </c>
    </row>
    <row r="77" spans="1:12" x14ac:dyDescent="0.25">
      <c r="A77" s="1" t="s">
        <v>93</v>
      </c>
      <c r="B77" s="1" t="s">
        <v>54</v>
      </c>
      <c r="C77" s="1">
        <v>0</v>
      </c>
      <c r="D77" s="1">
        <v>28</v>
      </c>
      <c r="E77" s="1">
        <v>376</v>
      </c>
      <c r="F77" s="1">
        <v>1</v>
      </c>
      <c r="G77" s="1">
        <v>5.8999999999999997E-2</v>
      </c>
      <c r="H77" s="1">
        <v>29</v>
      </c>
      <c r="I77" s="1">
        <v>102</v>
      </c>
      <c r="J77" s="1">
        <v>2</v>
      </c>
      <c r="K77" s="1">
        <v>33</v>
      </c>
      <c r="L77" s="1">
        <v>0</v>
      </c>
    </row>
    <row r="78" spans="1:12" x14ac:dyDescent="0.25">
      <c r="A78" s="1" t="s">
        <v>94</v>
      </c>
      <c r="B78" s="1" t="s">
        <v>54</v>
      </c>
      <c r="C78" s="1">
        <v>0</v>
      </c>
      <c r="D78" s="1">
        <v>420</v>
      </c>
      <c r="E78" s="1">
        <v>79309</v>
      </c>
      <c r="F78" s="1">
        <v>1</v>
      </c>
      <c r="G78" s="1">
        <v>3.0000000000000001E-3</v>
      </c>
      <c r="H78" s="1">
        <v>143</v>
      </c>
      <c r="I78" s="1">
        <v>653</v>
      </c>
      <c r="J78" s="1">
        <v>5</v>
      </c>
      <c r="K78" s="1">
        <v>427</v>
      </c>
      <c r="L78" s="1">
        <v>0</v>
      </c>
    </row>
    <row r="79" spans="1:12" x14ac:dyDescent="0.25">
      <c r="A79" s="1" t="s">
        <v>95</v>
      </c>
      <c r="B79" s="1" t="s">
        <v>19</v>
      </c>
      <c r="C79" s="1">
        <v>0</v>
      </c>
      <c r="D79" s="1">
        <v>6</v>
      </c>
      <c r="E79" s="1">
        <v>21</v>
      </c>
      <c r="F79" s="1">
        <v>1</v>
      </c>
      <c r="G79" s="1">
        <v>0.16700000000000001</v>
      </c>
      <c r="H79" s="1">
        <v>2</v>
      </c>
      <c r="I79" s="1">
        <v>8</v>
      </c>
      <c r="J79" s="1">
        <v>1</v>
      </c>
      <c r="K79" s="1">
        <v>7</v>
      </c>
      <c r="L79" s="1">
        <v>0</v>
      </c>
    </row>
    <row r="80" spans="1:12" x14ac:dyDescent="0.25">
      <c r="A80" s="1" t="s">
        <v>96</v>
      </c>
      <c r="B80" s="1" t="s">
        <v>19</v>
      </c>
      <c r="C80" s="1">
        <v>0</v>
      </c>
      <c r="D80" s="1">
        <v>144</v>
      </c>
      <c r="E80" s="1">
        <v>10438</v>
      </c>
      <c r="F80" s="1">
        <v>1</v>
      </c>
      <c r="G80" s="1">
        <v>7.0000000000000001E-3</v>
      </c>
      <c r="H80" s="1">
        <v>4</v>
      </c>
      <c r="I80" s="1">
        <v>158</v>
      </c>
      <c r="J80" s="1">
        <v>5</v>
      </c>
      <c r="K80" s="1">
        <v>145</v>
      </c>
      <c r="L80" s="1">
        <v>0</v>
      </c>
    </row>
    <row r="81" spans="1:12" x14ac:dyDescent="0.25">
      <c r="A81" s="1" t="s">
        <v>97</v>
      </c>
      <c r="B81" s="1" t="s">
        <v>19</v>
      </c>
      <c r="C81" s="1">
        <v>1</v>
      </c>
      <c r="D81" s="1">
        <v>16</v>
      </c>
      <c r="E81" s="1">
        <v>177</v>
      </c>
      <c r="F81" s="1">
        <v>0</v>
      </c>
      <c r="G81" s="1">
        <v>0.125</v>
      </c>
      <c r="H81" s="1">
        <v>22</v>
      </c>
      <c r="I81" s="1">
        <v>98</v>
      </c>
      <c r="J81" s="1">
        <v>16</v>
      </c>
      <c r="K81" s="1">
        <v>27</v>
      </c>
      <c r="L81" s="1">
        <v>0</v>
      </c>
    </row>
    <row r="82" spans="1:12" x14ac:dyDescent="0.25">
      <c r="A82" s="1" t="s">
        <v>98</v>
      </c>
      <c r="B82" s="1" t="s">
        <v>19</v>
      </c>
      <c r="C82" s="1">
        <v>0</v>
      </c>
      <c r="D82" s="1">
        <v>1</v>
      </c>
      <c r="E82" s="1">
        <v>0</v>
      </c>
      <c r="F82" s="1">
        <v>1</v>
      </c>
      <c r="G82" s="1">
        <v>1</v>
      </c>
      <c r="H82" s="1">
        <v>4</v>
      </c>
      <c r="I82" s="1">
        <v>5</v>
      </c>
      <c r="J82" s="1">
        <v>1</v>
      </c>
      <c r="K82" s="1">
        <v>2</v>
      </c>
      <c r="L82" s="1">
        <v>0</v>
      </c>
    </row>
    <row r="83" spans="1:12" x14ac:dyDescent="0.25">
      <c r="A83" s="1" t="s">
        <v>99</v>
      </c>
      <c r="B83" s="1" t="s">
        <v>19</v>
      </c>
      <c r="C83" s="1">
        <v>0</v>
      </c>
      <c r="D83" s="1">
        <v>1</v>
      </c>
      <c r="E83" s="1">
        <v>0</v>
      </c>
      <c r="F83" s="1">
        <v>1</v>
      </c>
      <c r="G83" s="1">
        <v>1</v>
      </c>
      <c r="H83" s="1">
        <v>1</v>
      </c>
      <c r="I83" s="1">
        <v>4</v>
      </c>
      <c r="J83" s="1">
        <v>1</v>
      </c>
      <c r="K83" s="1">
        <v>3</v>
      </c>
      <c r="L83" s="1">
        <v>0</v>
      </c>
    </row>
    <row r="84" spans="1:12" x14ac:dyDescent="0.25">
      <c r="A84" s="1" t="s">
        <v>100</v>
      </c>
      <c r="B84" s="1" t="s">
        <v>19</v>
      </c>
      <c r="C84" s="1">
        <v>0</v>
      </c>
      <c r="D84" s="1">
        <v>0</v>
      </c>
      <c r="E84" s="1">
        <v>2</v>
      </c>
      <c r="F84" s="1">
        <v>1</v>
      </c>
      <c r="G84" s="1">
        <v>0.5</v>
      </c>
      <c r="H84" s="1">
        <v>1</v>
      </c>
      <c r="I84" s="1">
        <v>9</v>
      </c>
      <c r="J84" s="1">
        <v>1</v>
      </c>
      <c r="K84" s="1">
        <v>5</v>
      </c>
      <c r="L84" s="1">
        <v>0</v>
      </c>
    </row>
    <row r="85" spans="1:12" x14ac:dyDescent="0.25">
      <c r="A85" s="1" t="s">
        <v>101</v>
      </c>
      <c r="B85" s="1" t="s">
        <v>19</v>
      </c>
      <c r="C85" s="1">
        <v>0</v>
      </c>
      <c r="D85" s="1">
        <v>18</v>
      </c>
      <c r="E85" s="1">
        <v>53</v>
      </c>
      <c r="F85" s="1">
        <v>1</v>
      </c>
      <c r="G85" s="1">
        <v>0.1</v>
      </c>
      <c r="H85" s="1">
        <v>27</v>
      </c>
      <c r="I85" s="1">
        <v>47</v>
      </c>
      <c r="J85" s="1">
        <v>9</v>
      </c>
      <c r="K85" s="1">
        <v>18</v>
      </c>
      <c r="L85" s="1">
        <v>0</v>
      </c>
    </row>
    <row r="86" spans="1:12" x14ac:dyDescent="0.25">
      <c r="A86" s="1" t="s">
        <v>102</v>
      </c>
      <c r="B86" s="1" t="s">
        <v>25</v>
      </c>
      <c r="C86" s="1">
        <v>0</v>
      </c>
      <c r="D86" s="1">
        <v>1</v>
      </c>
      <c r="E86" s="1">
        <v>0</v>
      </c>
      <c r="F86" s="1">
        <v>0</v>
      </c>
      <c r="G86" s="1">
        <v>1</v>
      </c>
      <c r="H86" s="1">
        <v>5</v>
      </c>
      <c r="I86" s="1">
        <v>8</v>
      </c>
      <c r="J86" s="1">
        <v>1</v>
      </c>
      <c r="K86" s="1">
        <v>2</v>
      </c>
      <c r="L86" s="1">
        <v>0</v>
      </c>
    </row>
    <row r="87" spans="1:12" x14ac:dyDescent="0.25">
      <c r="A87" s="1" t="s">
        <v>103</v>
      </c>
      <c r="B87" s="1" t="s">
        <v>25</v>
      </c>
      <c r="C87" s="1">
        <v>0</v>
      </c>
      <c r="D87" s="1">
        <v>1</v>
      </c>
      <c r="E87" s="1">
        <v>0</v>
      </c>
      <c r="F87" s="1">
        <v>0</v>
      </c>
      <c r="G87" s="1">
        <v>1</v>
      </c>
      <c r="H87" s="1">
        <v>3</v>
      </c>
      <c r="I87" s="1">
        <v>7</v>
      </c>
      <c r="J87" s="1">
        <v>1</v>
      </c>
      <c r="K87" s="1">
        <v>2</v>
      </c>
      <c r="L87" s="1">
        <v>0</v>
      </c>
    </row>
    <row r="88" spans="1:12" x14ac:dyDescent="0.25">
      <c r="A88" s="1" t="s">
        <v>104</v>
      </c>
      <c r="B88" s="1" t="s">
        <v>25</v>
      </c>
      <c r="C88" s="1">
        <v>0</v>
      </c>
      <c r="D88" s="1">
        <v>1</v>
      </c>
      <c r="E88" s="1">
        <v>1</v>
      </c>
      <c r="F88" s="1">
        <v>0</v>
      </c>
      <c r="G88" s="1">
        <v>1</v>
      </c>
      <c r="H88" s="1">
        <v>4</v>
      </c>
      <c r="I88" s="1">
        <v>6</v>
      </c>
      <c r="J88" s="1">
        <v>1</v>
      </c>
      <c r="K88" s="1">
        <v>2</v>
      </c>
      <c r="L88" s="1">
        <v>0</v>
      </c>
    </row>
    <row r="89" spans="1:12" x14ac:dyDescent="0.25">
      <c r="A89" s="1" t="s">
        <v>105</v>
      </c>
      <c r="B89" s="1" t="s">
        <v>25</v>
      </c>
      <c r="C89" s="1">
        <v>0</v>
      </c>
      <c r="D89" s="1">
        <v>1</v>
      </c>
      <c r="E89" s="1">
        <v>1</v>
      </c>
      <c r="F89" s="1">
        <v>0</v>
      </c>
      <c r="G89" s="1">
        <v>1</v>
      </c>
      <c r="H89" s="1">
        <v>4</v>
      </c>
      <c r="I89" s="1">
        <v>6</v>
      </c>
      <c r="J89" s="1">
        <v>1</v>
      </c>
      <c r="K89" s="1">
        <v>2</v>
      </c>
      <c r="L89" s="1">
        <v>0</v>
      </c>
    </row>
    <row r="90" spans="1:12" x14ac:dyDescent="0.25">
      <c r="A90" s="1" t="s">
        <v>106</v>
      </c>
      <c r="B90" s="1" t="s">
        <v>25</v>
      </c>
      <c r="C90" s="1">
        <v>0</v>
      </c>
      <c r="D90" s="1">
        <v>1</v>
      </c>
      <c r="E90" s="1">
        <v>1</v>
      </c>
      <c r="F90" s="1">
        <v>0</v>
      </c>
      <c r="G90" s="1">
        <v>1</v>
      </c>
      <c r="H90" s="1">
        <v>4</v>
      </c>
      <c r="I90" s="1">
        <v>6</v>
      </c>
      <c r="J90" s="1">
        <v>1</v>
      </c>
      <c r="K90" s="1">
        <v>2</v>
      </c>
      <c r="L90" s="1">
        <v>0</v>
      </c>
    </row>
    <row r="91" spans="1:12" x14ac:dyDescent="0.25">
      <c r="A91" s="1" t="s">
        <v>107</v>
      </c>
      <c r="B91" s="1" t="s">
        <v>25</v>
      </c>
      <c r="C91" s="1">
        <v>0</v>
      </c>
      <c r="D91" s="1">
        <v>1</v>
      </c>
      <c r="E91" s="1">
        <v>1</v>
      </c>
      <c r="F91" s="1">
        <v>0</v>
      </c>
      <c r="G91" s="1">
        <v>1</v>
      </c>
      <c r="H91" s="1">
        <v>4</v>
      </c>
      <c r="I91" s="1">
        <v>6</v>
      </c>
      <c r="J91" s="1">
        <v>1</v>
      </c>
      <c r="K91" s="1">
        <v>2</v>
      </c>
      <c r="L91" s="1">
        <v>0</v>
      </c>
    </row>
    <row r="92" spans="1:12" x14ac:dyDescent="0.25">
      <c r="A92" s="1" t="s">
        <v>108</v>
      </c>
      <c r="B92" s="1" t="s">
        <v>54</v>
      </c>
      <c r="C92" s="1">
        <v>0</v>
      </c>
      <c r="D92" s="1">
        <v>22</v>
      </c>
      <c r="E92" s="1">
        <v>184</v>
      </c>
      <c r="F92" s="1">
        <v>1</v>
      </c>
      <c r="G92" s="1">
        <v>6.2E-2</v>
      </c>
      <c r="H92" s="1">
        <v>16</v>
      </c>
      <c r="I92" s="1">
        <v>60</v>
      </c>
      <c r="J92" s="1">
        <v>3</v>
      </c>
      <c r="K92" s="1">
        <v>22</v>
      </c>
      <c r="L92" s="1">
        <v>0</v>
      </c>
    </row>
    <row r="93" spans="1:12" x14ac:dyDescent="0.25">
      <c r="A93" s="1" t="s">
        <v>109</v>
      </c>
      <c r="B93" s="1" t="s">
        <v>19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4</v>
      </c>
      <c r="J93" s="1">
        <v>10</v>
      </c>
      <c r="K93" s="1">
        <v>2</v>
      </c>
      <c r="L93" s="1">
        <v>0</v>
      </c>
    </row>
    <row r="94" spans="1:12" x14ac:dyDescent="0.25">
      <c r="A94" s="1" t="s">
        <v>110</v>
      </c>
      <c r="B94" s="1" t="s">
        <v>19</v>
      </c>
      <c r="C94" s="1">
        <v>0</v>
      </c>
      <c r="D94" s="1">
        <v>2</v>
      </c>
      <c r="E94" s="1">
        <v>3</v>
      </c>
      <c r="F94" s="1">
        <v>1</v>
      </c>
      <c r="G94" s="1">
        <v>0.5</v>
      </c>
      <c r="H94" s="1">
        <v>1</v>
      </c>
      <c r="I94" s="1">
        <v>4</v>
      </c>
      <c r="J94" s="1">
        <v>2</v>
      </c>
      <c r="K94" s="1">
        <v>3</v>
      </c>
      <c r="L94" s="1">
        <v>0</v>
      </c>
    </row>
    <row r="95" spans="1:12" x14ac:dyDescent="0.25">
      <c r="A95" s="1" t="s">
        <v>111</v>
      </c>
      <c r="B95" s="1" t="s">
        <v>16</v>
      </c>
      <c r="C95" s="1">
        <v>0</v>
      </c>
      <c r="D95" s="1">
        <v>10</v>
      </c>
      <c r="E95" s="1">
        <v>55</v>
      </c>
      <c r="F95" s="1">
        <v>1</v>
      </c>
      <c r="G95" s="1">
        <v>0.1</v>
      </c>
      <c r="H95" s="1">
        <v>2</v>
      </c>
      <c r="I95" s="1">
        <v>12</v>
      </c>
      <c r="J95" s="1">
        <v>1</v>
      </c>
      <c r="K95" s="1">
        <v>11</v>
      </c>
      <c r="L95" s="1">
        <v>0</v>
      </c>
    </row>
    <row r="96" spans="1:12" x14ac:dyDescent="0.25">
      <c r="A96" s="1" t="s">
        <v>112</v>
      </c>
      <c r="B96" s="1" t="s">
        <v>19</v>
      </c>
      <c r="C96" s="1">
        <v>0</v>
      </c>
      <c r="D96" s="1">
        <v>7</v>
      </c>
      <c r="E96" s="1">
        <v>4</v>
      </c>
      <c r="F96" s="1">
        <v>0</v>
      </c>
      <c r="G96" s="1">
        <v>0.5</v>
      </c>
      <c r="H96" s="1">
        <v>5</v>
      </c>
      <c r="I96" s="1">
        <v>24</v>
      </c>
      <c r="J96" s="1">
        <v>3</v>
      </c>
      <c r="K96" s="1">
        <v>9</v>
      </c>
      <c r="L96" s="1">
        <v>0</v>
      </c>
    </row>
    <row r="97" spans="1:12" x14ac:dyDescent="0.25">
      <c r="A97" s="1" t="s">
        <v>113</v>
      </c>
      <c r="B97" s="1" t="s">
        <v>19</v>
      </c>
      <c r="C97" s="1">
        <v>0</v>
      </c>
      <c r="D97" s="1">
        <v>2</v>
      </c>
      <c r="E97" s="1">
        <v>0</v>
      </c>
      <c r="F97" s="1">
        <v>1</v>
      </c>
      <c r="G97" s="1">
        <v>1</v>
      </c>
      <c r="H97" s="1">
        <v>0</v>
      </c>
      <c r="I97" s="1">
        <v>4</v>
      </c>
      <c r="J97" s="1">
        <v>76</v>
      </c>
      <c r="K97" s="1">
        <v>2</v>
      </c>
      <c r="L97" s="1">
        <v>70</v>
      </c>
    </row>
    <row r="98" spans="1:12" x14ac:dyDescent="0.25">
      <c r="A98" s="1" t="s">
        <v>114</v>
      </c>
      <c r="B98" s="1" t="s">
        <v>16</v>
      </c>
      <c r="C98" s="1">
        <v>0</v>
      </c>
      <c r="D98" s="1">
        <v>2</v>
      </c>
      <c r="E98" s="1">
        <v>3</v>
      </c>
      <c r="F98" s="1">
        <v>1</v>
      </c>
      <c r="G98" s="1">
        <v>0.5</v>
      </c>
      <c r="H98" s="1">
        <v>1</v>
      </c>
      <c r="I98" s="1">
        <v>4</v>
      </c>
      <c r="J98" s="1">
        <v>1</v>
      </c>
      <c r="K98" s="1">
        <v>3</v>
      </c>
      <c r="L98" s="1">
        <v>0</v>
      </c>
    </row>
    <row r="99" spans="1:12" x14ac:dyDescent="0.25">
      <c r="A99" s="1" t="s">
        <v>115</v>
      </c>
      <c r="B99" s="1" t="s">
        <v>13</v>
      </c>
      <c r="C99" s="1">
        <v>0</v>
      </c>
      <c r="D99" s="1">
        <v>37</v>
      </c>
      <c r="E99" s="1">
        <v>465</v>
      </c>
      <c r="F99" s="1">
        <v>1</v>
      </c>
      <c r="G99" s="1">
        <v>3.4000000000000002E-2</v>
      </c>
      <c r="H99" s="1">
        <v>23</v>
      </c>
      <c r="I99" s="1">
        <v>69</v>
      </c>
      <c r="J99" s="1">
        <v>2</v>
      </c>
      <c r="K99" s="1">
        <v>37</v>
      </c>
      <c r="L99" s="1">
        <v>0</v>
      </c>
    </row>
    <row r="100" spans="1:12" x14ac:dyDescent="0.25">
      <c r="A100" s="1" t="s">
        <v>116</v>
      </c>
      <c r="B100" s="1" t="s">
        <v>22</v>
      </c>
      <c r="C100" s="1">
        <v>0</v>
      </c>
      <c r="D100" s="1">
        <v>42</v>
      </c>
      <c r="E100" s="1">
        <v>899</v>
      </c>
      <c r="F100" s="1">
        <v>1</v>
      </c>
      <c r="G100" s="1">
        <v>2.5000000000000001E-2</v>
      </c>
      <c r="H100" s="1">
        <v>21</v>
      </c>
      <c r="I100" s="1">
        <v>84</v>
      </c>
      <c r="J100" s="1">
        <v>2</v>
      </c>
      <c r="K100" s="1">
        <v>43</v>
      </c>
      <c r="L100" s="1">
        <v>0</v>
      </c>
    </row>
    <row r="101" spans="1:12" x14ac:dyDescent="0.25">
      <c r="A101" s="1" t="s">
        <v>117</v>
      </c>
      <c r="B101" s="1" t="s">
        <v>22</v>
      </c>
      <c r="C101" s="1">
        <v>0</v>
      </c>
      <c r="D101" s="1">
        <v>14</v>
      </c>
      <c r="E101" s="1">
        <v>51</v>
      </c>
      <c r="F101" s="1">
        <v>1</v>
      </c>
      <c r="G101" s="1">
        <v>0.2</v>
      </c>
      <c r="H101" s="1">
        <v>83</v>
      </c>
      <c r="I101" s="1">
        <v>220</v>
      </c>
      <c r="J101" s="1">
        <v>3</v>
      </c>
      <c r="K101" s="1">
        <v>18</v>
      </c>
      <c r="L101" s="1">
        <v>0</v>
      </c>
    </row>
    <row r="102" spans="1:12" x14ac:dyDescent="0.25">
      <c r="A102" s="1" t="s">
        <v>118</v>
      </c>
      <c r="B102" s="1" t="s">
        <v>13</v>
      </c>
      <c r="C102" s="1">
        <v>0</v>
      </c>
      <c r="D102" s="1">
        <v>1</v>
      </c>
      <c r="E102" s="1">
        <v>0</v>
      </c>
      <c r="F102" s="1">
        <v>0</v>
      </c>
      <c r="G102" s="1">
        <v>1</v>
      </c>
      <c r="H102" s="1">
        <v>4</v>
      </c>
      <c r="I102" s="1">
        <v>4</v>
      </c>
      <c r="J102" s="1">
        <v>1</v>
      </c>
      <c r="K102" s="1">
        <v>2</v>
      </c>
      <c r="L102" s="1">
        <v>0</v>
      </c>
    </row>
    <row r="103" spans="1:12" x14ac:dyDescent="0.25">
      <c r="A103" s="1" t="s">
        <v>119</v>
      </c>
      <c r="B103" s="1" t="s">
        <v>22</v>
      </c>
      <c r="C103" s="1">
        <v>0</v>
      </c>
      <c r="D103" s="1">
        <v>7</v>
      </c>
      <c r="E103" s="1">
        <v>16</v>
      </c>
      <c r="F103" s="1">
        <v>1</v>
      </c>
      <c r="G103" s="1">
        <v>0.25</v>
      </c>
      <c r="H103" s="1">
        <v>29</v>
      </c>
      <c r="I103" s="1">
        <v>54</v>
      </c>
      <c r="J103" s="1">
        <v>1</v>
      </c>
      <c r="K103" s="1">
        <v>8</v>
      </c>
      <c r="L103" s="1">
        <v>0</v>
      </c>
    </row>
    <row r="104" spans="1:12" x14ac:dyDescent="0.25">
      <c r="A104" s="1" t="s">
        <v>120</v>
      </c>
      <c r="B104" s="1" t="s">
        <v>19</v>
      </c>
      <c r="C104" s="1">
        <v>1</v>
      </c>
      <c r="D104" s="1">
        <v>5</v>
      </c>
      <c r="E104" s="1">
        <v>28</v>
      </c>
      <c r="F104" s="1">
        <v>0</v>
      </c>
      <c r="G104" s="1">
        <v>0.16700000000000001</v>
      </c>
      <c r="H104" s="1">
        <v>21</v>
      </c>
      <c r="I104" s="1">
        <v>56</v>
      </c>
      <c r="J104" s="1">
        <v>11</v>
      </c>
      <c r="K104" s="1">
        <v>8</v>
      </c>
      <c r="L104" s="1">
        <v>0</v>
      </c>
    </row>
    <row r="105" spans="1:12" x14ac:dyDescent="0.25">
      <c r="A105" s="1" t="s">
        <v>121</v>
      </c>
      <c r="B105" s="1" t="s">
        <v>19</v>
      </c>
      <c r="C105" s="1">
        <v>0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2</v>
      </c>
      <c r="J105" s="1">
        <v>1</v>
      </c>
      <c r="K105" s="1">
        <v>1</v>
      </c>
      <c r="L105" s="1">
        <v>0</v>
      </c>
    </row>
    <row r="106" spans="1:12" x14ac:dyDescent="0.25">
      <c r="A106" s="1" t="s">
        <v>122</v>
      </c>
      <c r="B106" s="1" t="s">
        <v>25</v>
      </c>
      <c r="C106" s="1">
        <v>0</v>
      </c>
      <c r="D106" s="1">
        <v>21</v>
      </c>
      <c r="E106" s="1">
        <v>45</v>
      </c>
      <c r="F106" s="1">
        <v>1</v>
      </c>
      <c r="G106" s="1">
        <v>0.111</v>
      </c>
      <c r="H106" s="1">
        <v>18</v>
      </c>
      <c r="I106" s="1">
        <v>37</v>
      </c>
      <c r="J106" s="1">
        <v>4</v>
      </c>
      <c r="K106" s="1">
        <v>21</v>
      </c>
      <c r="L106" s="1">
        <v>0</v>
      </c>
    </row>
    <row r="107" spans="1:12" x14ac:dyDescent="0.25">
      <c r="A107" s="1" t="s">
        <v>123</v>
      </c>
      <c r="B107" s="1" t="s">
        <v>25</v>
      </c>
      <c r="C107" s="1">
        <v>0</v>
      </c>
      <c r="D107" s="1">
        <v>1</v>
      </c>
      <c r="E107" s="1">
        <v>0</v>
      </c>
      <c r="F107" s="1">
        <v>0</v>
      </c>
      <c r="G107" s="1">
        <v>1</v>
      </c>
      <c r="H107" s="1">
        <v>6</v>
      </c>
      <c r="I107" s="1">
        <v>12</v>
      </c>
      <c r="J107" s="1">
        <v>1</v>
      </c>
      <c r="K107" s="1">
        <v>2</v>
      </c>
      <c r="L107" s="1">
        <v>0</v>
      </c>
    </row>
    <row r="108" spans="1:12" x14ac:dyDescent="0.25">
      <c r="A108" s="1" t="s">
        <v>124</v>
      </c>
      <c r="B108" s="1" t="s">
        <v>25</v>
      </c>
      <c r="C108" s="1">
        <v>0</v>
      </c>
      <c r="D108" s="1">
        <v>1</v>
      </c>
      <c r="E108" s="1">
        <v>0</v>
      </c>
      <c r="F108" s="1">
        <v>0</v>
      </c>
      <c r="G108" s="1">
        <v>1</v>
      </c>
      <c r="H108" s="1">
        <v>4</v>
      </c>
      <c r="I108" s="1">
        <v>8</v>
      </c>
      <c r="J108" s="1">
        <v>1</v>
      </c>
      <c r="K108" s="1">
        <v>2</v>
      </c>
      <c r="L108" s="1">
        <v>0</v>
      </c>
    </row>
    <row r="109" spans="1:12" x14ac:dyDescent="0.25">
      <c r="A109" s="1" t="s">
        <v>125</v>
      </c>
      <c r="B109" s="1" t="s">
        <v>22</v>
      </c>
      <c r="C109" s="1">
        <v>0</v>
      </c>
      <c r="D109" s="1">
        <v>25</v>
      </c>
      <c r="E109" s="1">
        <v>159</v>
      </c>
      <c r="F109" s="1">
        <v>1</v>
      </c>
      <c r="G109" s="1">
        <v>7.0999999999999994E-2</v>
      </c>
      <c r="H109" s="1">
        <v>18</v>
      </c>
      <c r="I109" s="1">
        <v>53</v>
      </c>
      <c r="J109" s="1">
        <v>7</v>
      </c>
      <c r="K109" s="1">
        <v>25</v>
      </c>
      <c r="L109" s="1">
        <v>0</v>
      </c>
    </row>
    <row r="110" spans="1:12" x14ac:dyDescent="0.25">
      <c r="A110" s="1" t="s">
        <v>126</v>
      </c>
      <c r="B110" s="1" t="s">
        <v>13</v>
      </c>
      <c r="C110" s="1">
        <v>0</v>
      </c>
      <c r="D110" s="1">
        <v>1</v>
      </c>
      <c r="E110" s="1">
        <v>0</v>
      </c>
      <c r="F110" s="1">
        <v>0</v>
      </c>
      <c r="G110" s="1">
        <v>1</v>
      </c>
      <c r="H110" s="1">
        <v>6</v>
      </c>
      <c r="I110" s="1">
        <v>6</v>
      </c>
      <c r="J110" s="1">
        <v>1</v>
      </c>
      <c r="K110" s="1">
        <v>2</v>
      </c>
      <c r="L110" s="1">
        <v>0</v>
      </c>
    </row>
    <row r="111" spans="1:12" x14ac:dyDescent="0.25">
      <c r="A111" s="1" t="s">
        <v>127</v>
      </c>
      <c r="B111" s="1" t="s">
        <v>13</v>
      </c>
      <c r="C111" s="1">
        <v>0</v>
      </c>
      <c r="D111" s="1">
        <v>1</v>
      </c>
      <c r="E111" s="1">
        <v>0</v>
      </c>
      <c r="F111" s="1">
        <v>0</v>
      </c>
      <c r="G111" s="1">
        <v>1</v>
      </c>
      <c r="H111" s="1">
        <v>6</v>
      </c>
      <c r="I111" s="1">
        <v>6</v>
      </c>
      <c r="J111" s="1">
        <v>1</v>
      </c>
      <c r="K111" s="1">
        <v>2</v>
      </c>
      <c r="L111" s="1">
        <v>0</v>
      </c>
    </row>
    <row r="112" spans="1:12" x14ac:dyDescent="0.25">
      <c r="A112" s="1" t="s">
        <v>128</v>
      </c>
      <c r="B112" s="1" t="s">
        <v>13</v>
      </c>
      <c r="C112" s="1">
        <v>0</v>
      </c>
      <c r="D112" s="1">
        <v>1</v>
      </c>
      <c r="E112" s="1">
        <v>0</v>
      </c>
      <c r="F112" s="1">
        <v>0</v>
      </c>
      <c r="G112" s="1">
        <v>1</v>
      </c>
      <c r="H112" s="1">
        <v>5</v>
      </c>
      <c r="I112" s="1">
        <v>5</v>
      </c>
      <c r="J112" s="1">
        <v>1</v>
      </c>
      <c r="K112" s="1">
        <v>2</v>
      </c>
      <c r="L112" s="1">
        <v>0</v>
      </c>
    </row>
    <row r="113" spans="1:12" x14ac:dyDescent="0.25">
      <c r="A113" s="1" t="s">
        <v>129</v>
      </c>
      <c r="B113" s="1" t="s">
        <v>13</v>
      </c>
      <c r="C113" s="1">
        <v>0</v>
      </c>
      <c r="D113" s="1">
        <v>1</v>
      </c>
      <c r="E113" s="1">
        <v>0</v>
      </c>
      <c r="F113" s="1">
        <v>0</v>
      </c>
      <c r="G113" s="1">
        <v>1</v>
      </c>
      <c r="H113" s="1">
        <v>5</v>
      </c>
      <c r="I113" s="1">
        <v>5</v>
      </c>
      <c r="J113" s="1">
        <v>1</v>
      </c>
      <c r="K113" s="1">
        <v>2</v>
      </c>
      <c r="L113" s="1">
        <v>0</v>
      </c>
    </row>
    <row r="114" spans="1:12" x14ac:dyDescent="0.25">
      <c r="A114" s="1" t="s">
        <v>130</v>
      </c>
      <c r="B114" s="1" t="s">
        <v>13</v>
      </c>
      <c r="C114" s="1">
        <v>0</v>
      </c>
      <c r="D114" s="1">
        <v>1</v>
      </c>
      <c r="E114" s="1">
        <v>0</v>
      </c>
      <c r="F114" s="1">
        <v>0</v>
      </c>
      <c r="G114" s="1">
        <v>1</v>
      </c>
      <c r="H114" s="1">
        <v>4</v>
      </c>
      <c r="I114" s="1">
        <v>4</v>
      </c>
      <c r="J114" s="1">
        <v>1</v>
      </c>
      <c r="K114" s="1">
        <v>2</v>
      </c>
      <c r="L114" s="1">
        <v>0</v>
      </c>
    </row>
    <row r="115" spans="1:12" x14ac:dyDescent="0.25">
      <c r="A115" s="1" t="s">
        <v>131</v>
      </c>
      <c r="B115" s="1" t="s">
        <v>13</v>
      </c>
      <c r="C115" s="1">
        <v>0</v>
      </c>
      <c r="D115" s="1">
        <v>1</v>
      </c>
      <c r="E115" s="1">
        <v>0</v>
      </c>
      <c r="F115" s="1">
        <v>0</v>
      </c>
      <c r="G115" s="1">
        <v>1</v>
      </c>
      <c r="H115" s="1">
        <v>6</v>
      </c>
      <c r="I115" s="1">
        <v>10</v>
      </c>
      <c r="J115" s="1">
        <v>1</v>
      </c>
      <c r="K115" s="1">
        <v>2</v>
      </c>
      <c r="L115" s="1">
        <v>0</v>
      </c>
    </row>
    <row r="116" spans="1:12" x14ac:dyDescent="0.25">
      <c r="A116" s="1" t="s">
        <v>132</v>
      </c>
      <c r="B116" s="1" t="s">
        <v>16</v>
      </c>
      <c r="C116" s="1">
        <v>0</v>
      </c>
      <c r="D116" s="1">
        <v>4</v>
      </c>
      <c r="E116" s="1">
        <v>10</v>
      </c>
      <c r="F116" s="1">
        <v>1</v>
      </c>
      <c r="G116" s="1">
        <v>0.25</v>
      </c>
      <c r="H116" s="1">
        <v>2</v>
      </c>
      <c r="I116" s="1">
        <v>6</v>
      </c>
      <c r="J116" s="1">
        <v>1</v>
      </c>
      <c r="K116" s="1">
        <v>5</v>
      </c>
      <c r="L116" s="1">
        <v>0</v>
      </c>
    </row>
    <row r="117" spans="1:12" x14ac:dyDescent="0.25">
      <c r="A117" s="1" t="s">
        <v>133</v>
      </c>
      <c r="B117" s="1" t="s">
        <v>25</v>
      </c>
      <c r="C117" s="1">
        <v>0</v>
      </c>
      <c r="D117" s="1">
        <v>11</v>
      </c>
      <c r="E117" s="1">
        <v>63</v>
      </c>
      <c r="F117" s="1">
        <v>1</v>
      </c>
      <c r="G117" s="1">
        <v>0.14299999999999999</v>
      </c>
      <c r="H117" s="1">
        <v>22</v>
      </c>
      <c r="I117" s="1">
        <v>77</v>
      </c>
      <c r="J117" s="1">
        <v>1</v>
      </c>
      <c r="K117" s="1">
        <v>14</v>
      </c>
      <c r="L117" s="1">
        <v>0</v>
      </c>
    </row>
    <row r="118" spans="1:12" x14ac:dyDescent="0.25">
      <c r="A118" s="1" t="s">
        <v>134</v>
      </c>
      <c r="B118" s="1" t="s">
        <v>25</v>
      </c>
      <c r="C118" s="1">
        <v>0</v>
      </c>
      <c r="D118" s="1">
        <v>3</v>
      </c>
      <c r="E118" s="1">
        <v>1</v>
      </c>
      <c r="F118" s="1">
        <v>1</v>
      </c>
      <c r="G118" s="1">
        <v>0.5</v>
      </c>
      <c r="H118" s="1">
        <v>8</v>
      </c>
      <c r="I118" s="1">
        <v>16</v>
      </c>
      <c r="J118" s="1">
        <v>1</v>
      </c>
      <c r="K118" s="1">
        <v>3</v>
      </c>
      <c r="L118" s="1">
        <v>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2298-C53C-469A-B0E6-6432F9479AFE}">
  <dimension ref="B4:W37"/>
  <sheetViews>
    <sheetView tabSelected="1" workbookViewId="0">
      <selection sqref="A1:XFD1048576"/>
    </sheetView>
  </sheetViews>
  <sheetFormatPr defaultRowHeight="15" x14ac:dyDescent="0.25"/>
  <cols>
    <col min="1" max="1" width="4.85546875" style="4" customWidth="1"/>
    <col min="2" max="7" width="9.140625" style="4"/>
    <col min="8" max="8" width="12.85546875" style="4" bestFit="1" customWidth="1"/>
    <col min="9" max="9" width="5" style="4" customWidth="1"/>
    <col min="10" max="15" width="9.140625" style="4"/>
    <col min="16" max="16" width="12.85546875" style="4" bestFit="1" customWidth="1"/>
    <col min="17" max="17" width="4.28515625" style="4" customWidth="1"/>
    <col min="18" max="20" width="9.140625" style="4"/>
    <col min="21" max="21" width="11.7109375" style="4" bestFit="1" customWidth="1"/>
    <col min="22" max="22" width="9.140625" style="4"/>
    <col min="23" max="23" width="10.5703125" style="4" bestFit="1" customWidth="1"/>
    <col min="24" max="16384" width="9.140625" style="4"/>
  </cols>
  <sheetData>
    <row r="4" spans="2:23" x14ac:dyDescent="0.25">
      <c r="B4" s="2"/>
      <c r="C4" s="3" t="s">
        <v>2</v>
      </c>
      <c r="D4" s="3"/>
      <c r="E4" s="3"/>
      <c r="F4" s="3"/>
      <c r="G4" s="3"/>
      <c r="H4" s="3"/>
      <c r="J4" s="2"/>
      <c r="K4" s="5" t="s">
        <v>7</v>
      </c>
      <c r="L4" s="6"/>
      <c r="M4" s="6"/>
      <c r="N4" s="6"/>
      <c r="O4" s="6"/>
      <c r="P4" s="7"/>
      <c r="R4" s="8" t="s">
        <v>135</v>
      </c>
      <c r="S4" s="8"/>
      <c r="T4" s="9" t="s">
        <v>136</v>
      </c>
      <c r="U4" s="9" t="s">
        <v>137</v>
      </c>
      <c r="V4" s="9" t="s">
        <v>138</v>
      </c>
      <c r="W4" s="9" t="s">
        <v>139</v>
      </c>
    </row>
    <row r="5" spans="2:23" x14ac:dyDescent="0.25">
      <c r="B5" s="2"/>
      <c r="C5" s="10" t="s">
        <v>54</v>
      </c>
      <c r="D5" s="10" t="s">
        <v>22</v>
      </c>
      <c r="E5" s="10" t="s">
        <v>19</v>
      </c>
      <c r="F5" s="10" t="s">
        <v>13</v>
      </c>
      <c r="G5" s="10" t="s">
        <v>25</v>
      </c>
      <c r="H5" s="10" t="s">
        <v>140</v>
      </c>
      <c r="J5" s="2"/>
      <c r="K5" s="10" t="s">
        <v>54</v>
      </c>
      <c r="L5" s="10" t="s">
        <v>22</v>
      </c>
      <c r="M5" s="10" t="s">
        <v>19</v>
      </c>
      <c r="N5" s="10" t="s">
        <v>13</v>
      </c>
      <c r="O5" s="10" t="s">
        <v>25</v>
      </c>
      <c r="P5" s="10" t="s">
        <v>140</v>
      </c>
      <c r="R5" s="11">
        <v>1</v>
      </c>
      <c r="S5" s="11" t="s">
        <v>2</v>
      </c>
      <c r="T5" s="11">
        <v>0</v>
      </c>
      <c r="U5" s="11" t="s">
        <v>141</v>
      </c>
      <c r="V5" s="11" t="s">
        <v>142</v>
      </c>
      <c r="W5" s="11" t="s">
        <v>143</v>
      </c>
    </row>
    <row r="6" spans="2:23" x14ac:dyDescent="0.25">
      <c r="B6" s="12" t="s">
        <v>136</v>
      </c>
      <c r="C6" s="13">
        <f>COUNTIFS(metricas!C2:C10000,"=0",metricas!B2:B10000,"LSCC")</f>
        <v>4</v>
      </c>
      <c r="D6" s="13">
        <f>COUNTIFS(metricas!C2:C10000,"=0",metricas!B2:B10000,"IN")</f>
        <v>5</v>
      </c>
      <c r="E6" s="13">
        <f>COUNTIFS(metricas!C2:C10000,"=0",metricas!B2:B10000,"OUT")</f>
        <v>46</v>
      </c>
      <c r="F6" s="13">
        <f>COUNTIFS(metricas!C2:C10000,"=0",metricas!B2:B10000,"TUBES")</f>
        <v>33</v>
      </c>
      <c r="G6" s="13">
        <f>COUNTIFS(metricas!C2:C10000,"=0",metricas!B2:B10000,"TENDRILS")</f>
        <v>18</v>
      </c>
      <c r="H6" s="13">
        <f>COUNTIFS(metricas!C2:C10000,"=0",metricas!B2:B10000,"DISCONNECTED")</f>
        <v>9</v>
      </c>
      <c r="J6" s="12" t="s">
        <v>136</v>
      </c>
      <c r="K6" s="14">
        <f>COUNTIFS(metricas!H2:H10000,"&lt;=7",metricas!B2:B10000,"LSCC")</f>
        <v>0</v>
      </c>
      <c r="L6" s="14">
        <f>COUNTIFS(metricas!H2:H10000,"&lt;=7",metricas!B2:B10000,"IN")</f>
        <v>0</v>
      </c>
      <c r="M6" s="14">
        <f>COUNTIFS(metricas!H2:H10000,"&lt;=7",metricas!B2:B10000,"OUT")</f>
        <v>41</v>
      </c>
      <c r="N6" s="14">
        <f>COUNTIFS(metricas!H2:H10000,"&lt;=7",metricas!B2:B10000,"TUBES")</f>
        <v>26</v>
      </c>
      <c r="O6" s="14">
        <f>COUNTIFS(metricas!H2:H10000,"&lt;=7",metricas!B2:B10000,"TENDRILS")</f>
        <v>14</v>
      </c>
      <c r="P6" s="14">
        <f>COUNTIFS(metricas!H2:H10000,"&lt;=7",metricas!B2:B10000,"DISCONNECTED")</f>
        <v>9</v>
      </c>
      <c r="R6" s="11">
        <v>2</v>
      </c>
      <c r="S6" s="11" t="s">
        <v>3</v>
      </c>
      <c r="T6" s="11" t="s">
        <v>144</v>
      </c>
      <c r="U6" s="11" t="s">
        <v>145</v>
      </c>
      <c r="V6" s="11" t="s">
        <v>146</v>
      </c>
      <c r="W6" s="11" t="s">
        <v>143</v>
      </c>
    </row>
    <row r="7" spans="2:23" x14ac:dyDescent="0.25">
      <c r="B7" s="12" t="s">
        <v>137</v>
      </c>
      <c r="C7" s="15">
        <f>COUNTIFS(metricas!C2:C10000,"&gt;=1",metricas!C2:C10000,"&lt;=10",metricas!B2:B10000,"LSCC")</f>
        <v>0</v>
      </c>
      <c r="D7" s="12">
        <f>COUNTIFS(metricas!C2:C10000,"&gt;=1",metricas!C2:C10000,"&lt;=10",metricas!B2:B10000,"IN")</f>
        <v>0</v>
      </c>
      <c r="E7" s="12">
        <f>COUNTIFS(metricas!C2:C10000,"&gt;=1",metricas!C2:C10000,"&lt;=10",metricas!B2:B10000,"OUT")</f>
        <v>2</v>
      </c>
      <c r="F7" s="12">
        <f>COUNTIFS(metricas!C2:C10000,"&gt;=1",metricas!C2:C10000,"&lt;=10",metricas!B2:B10000,"TUBES")</f>
        <v>0</v>
      </c>
      <c r="G7" s="12">
        <f>COUNTIFS(metricas!C2:C10000,"&gt;=1",metricas!C2:C10000,"&lt;=10",metricas!B2:B10000,"TENDRILS")</f>
        <v>0</v>
      </c>
      <c r="H7" s="12">
        <f>COUNTIFS(metricas!C2:C10000,"&gt;=1",metricas!C2:C10000,"&lt;=10",metricas!B2:B10000,"DISCONNECTED")</f>
        <v>0</v>
      </c>
      <c r="J7" s="12" t="s">
        <v>137</v>
      </c>
      <c r="K7" s="16">
        <f>COUNTIFS(metricas!H2:H10000,"&gt;7",metricas!H2:H10000,"&lt;=14",metricas!B2:B10000,"LSCC")</f>
        <v>0</v>
      </c>
      <c r="L7" s="17">
        <f>COUNTIFS(metricas!H2:H10000,"&gt;7",metricas!H2:H10000,"&lt;=14",metricas!B2:B10000,"IN")</f>
        <v>0</v>
      </c>
      <c r="M7" s="17">
        <f>COUNTIFS(metricas!H2:H10000,"&gt;7",metricas!H2:H10000,"&lt;=14",metricas!B2:B10000,"OUT")</f>
        <v>2</v>
      </c>
      <c r="N7" s="17">
        <f>COUNTIFS(metricas!H2:H10000,"&gt;7",metricas!H2:H10000,"&lt;=14",metricas!B2:B10000,"TUBES")</f>
        <v>5</v>
      </c>
      <c r="O7" s="17">
        <f>COUNTIFS(metricas!H2:H10000,"&gt;7",metricas!H2:H10000,"&lt;=14",metricas!B2:B10000,"TENDRILS")</f>
        <v>2</v>
      </c>
      <c r="P7" s="17">
        <f>COUNTIFS(metricas!H2:H10000,"&gt;7",metricas!H2:H10000,"&lt;=14",metricas!B2:B10000,"DISCONNECTED")</f>
        <v>0</v>
      </c>
      <c r="R7" s="11">
        <v>3</v>
      </c>
      <c r="S7" s="11" t="s">
        <v>4</v>
      </c>
      <c r="T7" s="11">
        <v>0</v>
      </c>
      <c r="U7" s="11" t="s">
        <v>147</v>
      </c>
      <c r="V7" s="11" t="s">
        <v>148</v>
      </c>
      <c r="W7" s="11" t="s">
        <v>143</v>
      </c>
    </row>
    <row r="8" spans="2:23" x14ac:dyDescent="0.25">
      <c r="B8" s="12" t="s">
        <v>138</v>
      </c>
      <c r="C8" s="12">
        <f>COUNTIFS(metricas!C2:C10000,"&gt;10",metricas!B2:B10000,"LSCC")</f>
        <v>0</v>
      </c>
      <c r="D8" s="12">
        <f>COUNTIFS(metricas!C2:C10000,"&gt;10",metricas!B2:B10000,"IN")</f>
        <v>0</v>
      </c>
      <c r="E8" s="12">
        <f>COUNTIFS(metricas!C2:C10000,"&gt;10",metricas!B2:B10000,"OUT")</f>
        <v>0</v>
      </c>
      <c r="F8" s="12">
        <f>COUNTIFS(metricas!C2:C10000,"&gt;10",metricas!B2:B10000,"TUBES")</f>
        <v>0</v>
      </c>
      <c r="G8" s="12">
        <f>COUNTIFS(metricas!C2:C10000,"&gt;10",metricas!B2:B10000,"TENDRILS")</f>
        <v>0</v>
      </c>
      <c r="H8" s="12">
        <f>COUNTIFS(metricas!C2:C10000,"&gt;10",metricas!B2:B10000,"DISCONNECTED")</f>
        <v>0</v>
      </c>
      <c r="J8" s="12" t="s">
        <v>138</v>
      </c>
      <c r="K8" s="17">
        <f>COUNTIFS(metricas!H2:H10000,"&gt;14",metricas!B2:B10000,"LSCC")</f>
        <v>4</v>
      </c>
      <c r="L8" s="17">
        <f>COUNTIFS(metricas!H2:H10000,"&gt;14",metricas!B2:B10000,"IN")</f>
        <v>5</v>
      </c>
      <c r="M8" s="17">
        <f>COUNTIFS(metricas!H2:H10000,"&gt;14",metricas!B2:B10000,"OUT")</f>
        <v>5</v>
      </c>
      <c r="N8" s="17">
        <f>COUNTIFS(metricas!H2:H10000,"&gt;14",metricas!B2:B10000,"TUBES")</f>
        <v>2</v>
      </c>
      <c r="O8" s="17">
        <f>COUNTIFS(metricas!H2:H10000,"&gt;14",metricas!B2:B10000,"TENDRILS")</f>
        <v>2</v>
      </c>
      <c r="P8" s="17">
        <f>COUNTIFS(metricas!H2:H10000,"&gt;14",metricas!B2:B10000,"DISCONNECTED")</f>
        <v>0</v>
      </c>
      <c r="R8" s="11">
        <v>4</v>
      </c>
      <c r="S8" s="11" t="s">
        <v>5</v>
      </c>
      <c r="T8" s="11" t="s">
        <v>149</v>
      </c>
      <c r="U8" s="11" t="s">
        <v>150</v>
      </c>
      <c r="V8" s="11" t="s">
        <v>151</v>
      </c>
      <c r="W8" s="11" t="s">
        <v>152</v>
      </c>
    </row>
    <row r="9" spans="2:23" x14ac:dyDescent="0.25">
      <c r="B9" s="2"/>
      <c r="C9" s="18">
        <f>SUM(C6:H8)</f>
        <v>117</v>
      </c>
      <c r="D9" s="18"/>
      <c r="E9" s="18"/>
      <c r="F9" s="18"/>
      <c r="G9" s="18"/>
      <c r="H9" s="18"/>
      <c r="J9" s="2"/>
      <c r="K9" s="19">
        <f>SUM(K6:P8)</f>
        <v>117</v>
      </c>
      <c r="L9" s="20"/>
      <c r="M9" s="20"/>
      <c r="N9" s="20"/>
      <c r="O9" s="20"/>
      <c r="P9" s="21"/>
      <c r="R9" s="11">
        <v>5</v>
      </c>
      <c r="S9" s="11" t="s">
        <v>6</v>
      </c>
      <c r="T9" s="11">
        <v>1</v>
      </c>
      <c r="U9" s="11" t="s">
        <v>153</v>
      </c>
      <c r="V9" s="11" t="s">
        <v>154</v>
      </c>
      <c r="W9" s="11" t="s">
        <v>155</v>
      </c>
    </row>
    <row r="10" spans="2:23" x14ac:dyDescent="0.25">
      <c r="R10" s="11">
        <v>6</v>
      </c>
      <c r="S10" s="11" t="s">
        <v>7</v>
      </c>
      <c r="T10" s="9" t="s">
        <v>156</v>
      </c>
      <c r="U10" s="11" t="s">
        <v>157</v>
      </c>
      <c r="V10" s="9" t="s">
        <v>158</v>
      </c>
      <c r="W10" s="9" t="s">
        <v>159</v>
      </c>
    </row>
    <row r="11" spans="2:23" x14ac:dyDescent="0.25">
      <c r="B11" s="2"/>
      <c r="C11" s="3" t="s">
        <v>3</v>
      </c>
      <c r="D11" s="3"/>
      <c r="E11" s="3"/>
      <c r="F11" s="3"/>
      <c r="G11" s="3"/>
      <c r="H11" s="3"/>
      <c r="J11" s="2"/>
      <c r="K11" s="5" t="s">
        <v>8</v>
      </c>
      <c r="L11" s="6"/>
      <c r="M11" s="6"/>
      <c r="N11" s="6"/>
      <c r="O11" s="6"/>
      <c r="P11" s="7"/>
      <c r="R11" s="11">
        <v>7</v>
      </c>
      <c r="S11" s="11" t="s">
        <v>8</v>
      </c>
      <c r="T11" s="9" t="s">
        <v>160</v>
      </c>
      <c r="U11" s="11" t="s">
        <v>161</v>
      </c>
      <c r="V11" s="9" t="s">
        <v>162</v>
      </c>
      <c r="W11" s="9" t="s">
        <v>159</v>
      </c>
    </row>
    <row r="12" spans="2:23" x14ac:dyDescent="0.25">
      <c r="B12" s="2"/>
      <c r="C12" s="10" t="s">
        <v>54</v>
      </c>
      <c r="D12" s="10" t="s">
        <v>22</v>
      </c>
      <c r="E12" s="10" t="s">
        <v>19</v>
      </c>
      <c r="F12" s="10" t="s">
        <v>13</v>
      </c>
      <c r="G12" s="10" t="s">
        <v>25</v>
      </c>
      <c r="H12" s="10" t="s">
        <v>140</v>
      </c>
      <c r="J12" s="2"/>
      <c r="K12" s="10" t="s">
        <v>54</v>
      </c>
      <c r="L12" s="10" t="s">
        <v>22</v>
      </c>
      <c r="M12" s="10" t="s">
        <v>19</v>
      </c>
      <c r="N12" s="10" t="s">
        <v>13</v>
      </c>
      <c r="O12" s="10" t="s">
        <v>25</v>
      </c>
      <c r="P12" s="10" t="s">
        <v>140</v>
      </c>
      <c r="R12" s="11">
        <v>8</v>
      </c>
      <c r="S12" s="11" t="s">
        <v>9</v>
      </c>
      <c r="T12" s="11" t="s">
        <v>156</v>
      </c>
      <c r="U12" s="11" t="s">
        <v>163</v>
      </c>
      <c r="V12" s="11" t="s">
        <v>164</v>
      </c>
      <c r="W12" s="11" t="s">
        <v>152</v>
      </c>
    </row>
    <row r="13" spans="2:23" x14ac:dyDescent="0.25">
      <c r="B13" s="12" t="s">
        <v>136</v>
      </c>
      <c r="C13" s="13">
        <f>COUNTIFS(metricas!D2:D10000,"&gt;=0",metricas!D2:D10000,"&lt;=10",metricas!B2:B10000,"LSCC")</f>
        <v>0</v>
      </c>
      <c r="D13" s="13">
        <f>COUNTIFS(metricas!D2:D10000,"&gt;=0",metricas!D2:D10000,"&lt;=10",metricas!B2:B10000,"IN")</f>
        <v>1</v>
      </c>
      <c r="E13" s="13">
        <f>COUNTIFS(metricas!D2:D10000,"&gt;=0",metricas!D2:D10000,"&lt;=10",metricas!B2:B10000,"OUT")</f>
        <v>42</v>
      </c>
      <c r="F13" s="13">
        <f>COUNTIFS(metricas!D2:D10000,"&gt;=0",metricas!D2:D10000,"&lt;=10",metricas!B2:B10000,"TUBES")</f>
        <v>29</v>
      </c>
      <c r="G13" s="13">
        <f>COUNTIFS(metricas!D2:D10000,"&gt;=0",metricas!D2:D10000,"&lt;=10",metricas!B2:B10000,"TENDRILS")</f>
        <v>15</v>
      </c>
      <c r="H13" s="13">
        <f>COUNTIFS(metricas!D2:D10000,"&gt;=0",metricas!D2:D10000,"&lt;=10",metricas!B2:B10000,"DISCONNECTED")</f>
        <v>6</v>
      </c>
      <c r="J13" s="12" t="s">
        <v>136</v>
      </c>
      <c r="K13" s="14">
        <f>COUNTIFS(metricas!I2:I10000,"&lt;=20",metricas!B2:B10000,"LSCC")</f>
        <v>0</v>
      </c>
      <c r="L13" s="14">
        <f>COUNTIFS(metricas!I2:I10000,"&lt;=20",metricas!B2:B10000,"IN")</f>
        <v>0</v>
      </c>
      <c r="M13" s="14">
        <f>COUNTIFS(metricas!I2:I10000,"&lt;=20",metricas!B2:B10000,"OUT")</f>
        <v>40</v>
      </c>
      <c r="N13" s="14">
        <f>COUNTIFS(metricas!I2:I10000,"&lt;=20",metricas!B2:B10000,"TUBES")</f>
        <v>29</v>
      </c>
      <c r="O13" s="14">
        <f>COUNTIFS(metricas!I2:I10000,"&lt;=20",metricas!B2:B10000,"TENDRILS")</f>
        <v>15</v>
      </c>
      <c r="P13" s="14">
        <f>COUNTIFS(metricas!I2:I10000,"&lt;=20",metricas!B2:B10000,"DISCONNECTED")</f>
        <v>7</v>
      </c>
      <c r="R13" s="11">
        <v>9</v>
      </c>
      <c r="S13" s="11" t="s">
        <v>10</v>
      </c>
      <c r="T13" s="11" t="s">
        <v>165</v>
      </c>
      <c r="U13" s="11" t="s">
        <v>166</v>
      </c>
      <c r="V13" s="11" t="s">
        <v>167</v>
      </c>
      <c r="W13" s="11" t="s">
        <v>152</v>
      </c>
    </row>
    <row r="14" spans="2:23" x14ac:dyDescent="0.25">
      <c r="B14" s="12" t="s">
        <v>137</v>
      </c>
      <c r="C14" s="15">
        <f>COUNTIFS(metricas!D2:D10000,"&gt;=11",metricas!D2:D10000,"&lt;=40",metricas!B2:B10000,"LSCC")</f>
        <v>2</v>
      </c>
      <c r="D14" s="12">
        <f>COUNTIFS(metricas!D2:D10000,"&gt;=11",metricas!D2:D10000,"&lt;=40",metricas!B2:B10000,"IN")</f>
        <v>3</v>
      </c>
      <c r="E14" s="12">
        <f>COUNTIFS(metricas!D2:D10000,"&gt;=11",metricas!D2:D10000,"&lt;=40",metricas!B2:B10000,"OUT")</f>
        <v>4</v>
      </c>
      <c r="F14" s="12">
        <f>COUNTIFS(metricas!D2:D10000,"&gt;=11",metricas!D2:D10000,"&lt;=40",metricas!B2:B10000,"TUBES")</f>
        <v>3</v>
      </c>
      <c r="G14" s="12">
        <f>COUNTIFS(metricas!D2:D10000,"&gt;=11",metricas!D2:D10000,"&lt;=40",metricas!B2:B10000,"TENDRILS")</f>
        <v>3</v>
      </c>
      <c r="H14" s="12">
        <f>COUNTIFS(metricas!D2:D10000,"&gt;=11",metricas!D2:D10000,"&lt;=40",metricas!B2:B10000,"DISCONNECTED")</f>
        <v>3</v>
      </c>
      <c r="J14" s="12" t="s">
        <v>137</v>
      </c>
      <c r="K14" s="16">
        <f>COUNTIFS(metricas!I2:I10000,"&gt;20",metricas!I2:I10000,"&lt;=46",metricas!B2:B10000,"LSCC")</f>
        <v>0</v>
      </c>
      <c r="L14" s="17">
        <f>COUNTIFS(metricas!I2:I10000,"&gt;20",metricas!I2:I10000,"&lt;=46",metricas!B2:B10000,"IN")</f>
        <v>0</v>
      </c>
      <c r="M14" s="17">
        <f>COUNTIFS(metricas!I2:I10000,"&gt;20",metricas!I2:I10000,"&lt;=46",metricas!B2:B10000,"OUT")</f>
        <v>2</v>
      </c>
      <c r="N14" s="17">
        <f>COUNTIFS(metricas!I2:I10000,"&gt;20",metricas!I2:I10000,"&lt;=46",metricas!B2:B10000,"TUBES")</f>
        <v>2</v>
      </c>
      <c r="O14" s="17">
        <f>COUNTIFS(metricas!I2:I10000,"&gt;20",metricas!I2:I10000,"&lt;=46",metricas!B2:B10000,"TENDRILS")</f>
        <v>2</v>
      </c>
      <c r="P14" s="17">
        <f>COUNTIFS(metricas!I2:I10000,"&gt;20",metricas!I2:I10000,"&lt;=46",metricas!B2:B10000,"DISCONNECTED")</f>
        <v>2</v>
      </c>
      <c r="R14" s="11">
        <v>10</v>
      </c>
      <c r="S14" s="11" t="s">
        <v>11</v>
      </c>
      <c r="T14" s="11" t="s">
        <v>165</v>
      </c>
      <c r="U14" s="11" t="s">
        <v>168</v>
      </c>
      <c r="V14" s="11" t="s">
        <v>169</v>
      </c>
      <c r="W14" s="11" t="s">
        <v>152</v>
      </c>
    </row>
    <row r="15" spans="2:23" x14ac:dyDescent="0.25">
      <c r="B15" s="12" t="s">
        <v>138</v>
      </c>
      <c r="C15" s="12">
        <f>COUNTIFS(metricas!D2:D10000,"&gt;40",metricas!B2:B10000,"LSCC")</f>
        <v>2</v>
      </c>
      <c r="D15" s="12">
        <f>COUNTIFS(metricas!D2:D10000,"&gt;40",metricas!B2:B10000,"IN")</f>
        <v>1</v>
      </c>
      <c r="E15" s="12">
        <f>COUNTIFS(metricas!D2:D10000,"&gt;40",metricas!B2:B10000,"OUT")</f>
        <v>2</v>
      </c>
      <c r="F15" s="12">
        <f>COUNTIFS(metricas!D2:D10000,"&gt;40",metricas!B2:B10000,"TUBES")</f>
        <v>1</v>
      </c>
      <c r="G15" s="12">
        <f>COUNTIFS(metricas!D2:D10000,"&gt;40",metricas!B2:B10000,"TENDRILS")</f>
        <v>0</v>
      </c>
      <c r="H15" s="12">
        <f>COUNTIFS(metricas!D2:D10000,"&gt;40",metricas!B2:B10000,"DISCONNECTED")</f>
        <v>0</v>
      </c>
      <c r="J15" s="12" t="s">
        <v>138</v>
      </c>
      <c r="K15" s="17">
        <f>COUNTIFS(metricas!I2:I10000,"&gt;46",metricas!B2:B10000,"LSCC")</f>
        <v>4</v>
      </c>
      <c r="L15" s="17">
        <f>COUNTIFS(metricas!I2:I10000,"&gt;46",metricas!B2:B10000,"IN")</f>
        <v>5</v>
      </c>
      <c r="M15" s="17">
        <f>COUNTIFS(metricas!I2:I10000,"&gt;46",metricas!B2:B10000,"OUT")</f>
        <v>6</v>
      </c>
      <c r="N15" s="17">
        <f>COUNTIFS(metricas!I2:I10000,"&gt;46",metricas!B2:B10000,"TUBES")</f>
        <v>2</v>
      </c>
      <c r="O15" s="17">
        <f>COUNTIFS(metricas!I2:I10000,"&gt;46",metricas!B2:B10000,"TENDRILS")</f>
        <v>1</v>
      </c>
      <c r="P15" s="17">
        <f>COUNTIFS(metricas!I2:I10000,"&gt;46",metricas!B2:B10000,"DISCONNECTED")</f>
        <v>0</v>
      </c>
    </row>
    <row r="16" spans="2:23" x14ac:dyDescent="0.25">
      <c r="B16" s="2"/>
      <c r="C16" s="18">
        <f>SUM(C13:H15)</f>
        <v>117</v>
      </c>
      <c r="D16" s="18"/>
      <c r="E16" s="18"/>
      <c r="F16" s="18"/>
      <c r="G16" s="18"/>
      <c r="H16" s="18"/>
      <c r="J16" s="2"/>
      <c r="K16" s="19">
        <f>SUM(K13:P15)</f>
        <v>117</v>
      </c>
      <c r="L16" s="20"/>
      <c r="M16" s="20"/>
      <c r="N16" s="20"/>
      <c r="O16" s="20"/>
      <c r="P16" s="21"/>
      <c r="S16" s="22" t="s">
        <v>170</v>
      </c>
      <c r="T16" s="23"/>
      <c r="U16" s="22" t="s">
        <v>171</v>
      </c>
      <c r="V16" s="23"/>
    </row>
    <row r="17" spans="2:22" x14ac:dyDescent="0.25">
      <c r="S17" s="24">
        <v>0.7</v>
      </c>
      <c r="T17" s="24">
        <v>0.9</v>
      </c>
      <c r="U17" s="24">
        <v>0.7</v>
      </c>
      <c r="V17" s="24">
        <v>0.9</v>
      </c>
    </row>
    <row r="18" spans="2:22" x14ac:dyDescent="0.25">
      <c r="B18" s="2"/>
      <c r="C18" s="3" t="s">
        <v>4</v>
      </c>
      <c r="D18" s="3"/>
      <c r="E18" s="3"/>
      <c r="F18" s="3"/>
      <c r="G18" s="3"/>
      <c r="H18" s="3"/>
      <c r="J18" s="2"/>
      <c r="K18" s="5" t="s">
        <v>9</v>
      </c>
      <c r="L18" s="6"/>
      <c r="M18" s="6"/>
      <c r="N18" s="6"/>
      <c r="O18" s="6"/>
      <c r="P18" s="7"/>
      <c r="R18" s="25" t="s">
        <v>7</v>
      </c>
      <c r="S18" s="26">
        <v>6.28</v>
      </c>
      <c r="T18" s="26">
        <v>13.73</v>
      </c>
      <c r="U18" s="26">
        <v>6.28</v>
      </c>
      <c r="V18" s="26">
        <v>13.73</v>
      </c>
    </row>
    <row r="19" spans="2:22" x14ac:dyDescent="0.25">
      <c r="B19" s="2"/>
      <c r="C19" s="10" t="s">
        <v>54</v>
      </c>
      <c r="D19" s="10" t="s">
        <v>22</v>
      </c>
      <c r="E19" s="10" t="s">
        <v>19</v>
      </c>
      <c r="F19" s="10" t="s">
        <v>13</v>
      </c>
      <c r="G19" s="10" t="s">
        <v>25</v>
      </c>
      <c r="H19" s="10" t="s">
        <v>140</v>
      </c>
      <c r="J19" s="2"/>
      <c r="K19" s="10" t="s">
        <v>54</v>
      </c>
      <c r="L19" s="10" t="s">
        <v>22</v>
      </c>
      <c r="M19" s="10" t="s">
        <v>19</v>
      </c>
      <c r="N19" s="10" t="s">
        <v>13</v>
      </c>
      <c r="O19" s="10" t="s">
        <v>25</v>
      </c>
      <c r="P19" s="10" t="s">
        <v>140</v>
      </c>
      <c r="R19" s="25" t="s">
        <v>8</v>
      </c>
      <c r="S19" s="27">
        <v>20.25</v>
      </c>
      <c r="T19" s="28">
        <v>45.88</v>
      </c>
      <c r="U19" s="27">
        <v>20.25</v>
      </c>
      <c r="V19" s="28">
        <v>45.88</v>
      </c>
    </row>
    <row r="20" spans="2:22" x14ac:dyDescent="0.25">
      <c r="B20" s="12" t="s">
        <v>136</v>
      </c>
      <c r="C20" s="13">
        <f>COUNTIFS(metricas!E2:E10000,"=0",metricas!B2:B10000,"LSCC")</f>
        <v>0</v>
      </c>
      <c r="D20" s="13">
        <f>COUNTIFS(metricas!E2:E10000,"=0",metricas!B2:B10000,"IN")</f>
        <v>0</v>
      </c>
      <c r="E20" s="13">
        <f>COUNTIFS(metricas!E2:E10000,"=0",metricas!B2:B10000,"OUT")</f>
        <v>33</v>
      </c>
      <c r="F20" s="13">
        <f>COUNTIFS(metricas!E2:E10000,"=0",metricas!B2:B10000,"TUBES")</f>
        <v>29</v>
      </c>
      <c r="G20" s="13">
        <f>COUNTIFS(metricas!E2:E10000,"=0",metricas!B2:B10000,"TENDRILS")</f>
        <v>7</v>
      </c>
      <c r="H20" s="13">
        <f>COUNTIFS(metricas!E2:E10000,"=0",metricas!B2:B10000,"DISCONNECTED")</f>
        <v>0</v>
      </c>
      <c r="J20" s="12" t="s">
        <v>136</v>
      </c>
      <c r="K20" s="13">
        <f>COUNTIFS(metricas!J2:J10000,"&lt;=7",metricas!B2:B10000,"LSCC")</f>
        <v>3</v>
      </c>
      <c r="L20" s="13">
        <f>COUNTIFS(metricas!J2:J10000,"&lt;=7",metricas!B2:B10000,"IN")</f>
        <v>5</v>
      </c>
      <c r="M20" s="13">
        <f>COUNTIFS(metricas!J2:J10000,"&lt;=7",metricas!B2:B10000,"OUT")</f>
        <v>42</v>
      </c>
      <c r="N20" s="13">
        <f>COUNTIFS(metricas!J2:J10000,"&lt;=7",metricas!B2:B10000,"TUBES")</f>
        <v>32</v>
      </c>
      <c r="O20" s="13">
        <f>COUNTIFS(metricas!J2:J10000,"&lt;=7",metricas!B2:B10000,"TENDRILS")</f>
        <v>18</v>
      </c>
      <c r="P20" s="13">
        <f>COUNTIFS(metricas!J2:J10000,"&lt;=7",metricas!B2:B10000,"DISCONNECTED")</f>
        <v>9</v>
      </c>
    </row>
    <row r="21" spans="2:22" x14ac:dyDescent="0.25">
      <c r="B21" s="12" t="s">
        <v>137</v>
      </c>
      <c r="C21" s="15">
        <f>COUNTIFS(metricas!E2:E10000,"&gt;=1",metricas!E2:E10000,"&lt;=20",metricas!B2:B10000,"LSCC")</f>
        <v>0</v>
      </c>
      <c r="D21" s="12">
        <f>COUNTIFS(metricas!E2:E10000,"&gt;=1",metricas!E2:E10000,"&lt;=20",metricas!B2:B10000,"IN")</f>
        <v>1</v>
      </c>
      <c r="E21" s="12">
        <f>COUNTIFS(metricas!E2:E10000,"&gt;=1",metricas!E2:E10000,"&lt;=20",metricas!B2:B10000,"OUT")</f>
        <v>7</v>
      </c>
      <c r="F21" s="12">
        <f>COUNTIFS(metricas!E2:E10000,"&gt;=1",metricas!E2:E10000,"&lt;=20",metricas!B2:B10000,"TUBES")</f>
        <v>0</v>
      </c>
      <c r="G21" s="12">
        <f>COUNTIFS(metricas!E2:E10000,"&gt;=1",metricas!E2:E10000,"&lt;=20",metricas!B2:B10000,"TENDRILS")</f>
        <v>8</v>
      </c>
      <c r="H21" s="12">
        <f>COUNTIFS(metricas!E2:E10000,"&gt;=1",metricas!E2:E10000,"&lt;=20",metricas!B2:B10000,"DISCONNECTED")</f>
        <v>5</v>
      </c>
      <c r="J21" s="12" t="s">
        <v>137</v>
      </c>
      <c r="K21" s="15">
        <f>COUNTIFS(metricas!J2:J10000,"&gt;7",metricas!J2:J10000,"&lt;=39",metricas!B2:B10000,"LSCC")</f>
        <v>1</v>
      </c>
      <c r="L21" s="12">
        <f>COUNTIFS(metricas!J2:J10000,"&gt;7",metricas!J2:J10000,"&lt;=39",metricas!B2:B10000,"IN")</f>
        <v>0</v>
      </c>
      <c r="M21" s="12">
        <f>COUNTIFS(metricas!J2:J10000,"&gt;7",metricas!J2:J10000,"&lt;=39",metricas!B2:B10000,"OUT")</f>
        <v>5</v>
      </c>
      <c r="N21" s="12">
        <f>COUNTIFS(metricas!J2:J10000,"&gt;7",metricas!J2:J10000,"&lt;=39",metricas!B2:B10000,"TUBES")</f>
        <v>1</v>
      </c>
      <c r="O21" s="12">
        <f>COUNTIFS(metricas!J2:J10000,"&gt;7",metricas!J2:J10000,"&lt;=39",metricas!B2:B10000,"TENDRILS")</f>
        <v>0</v>
      </c>
      <c r="P21" s="12">
        <f>COUNTIFS(metricas!J2:J10000,"&gt;7",metricas!J2:J10000,"&lt;=39",metricas!B2:B10000,"DISCONNECTED")</f>
        <v>0</v>
      </c>
    </row>
    <row r="22" spans="2:22" x14ac:dyDescent="0.25">
      <c r="B22" s="12" t="s">
        <v>138</v>
      </c>
      <c r="C22" s="12">
        <f>COUNTIFS(metricas!E2:E10000,"&gt;20",metricas!B2:B10000,"LSCC")</f>
        <v>4</v>
      </c>
      <c r="D22" s="12">
        <f>COUNTIFS(metricas!E2:E10000,"&gt;20",metricas!B2:B10000,"IN")</f>
        <v>4</v>
      </c>
      <c r="E22" s="12">
        <f>COUNTIFS(metricas!E2:E10000,"&gt;20",metricas!B2:B10000,"OUT")</f>
        <v>8</v>
      </c>
      <c r="F22" s="12">
        <f>COUNTIFS(metricas!E2:E10000,"&gt;20",metricas!B2:B10000,"TUBES")</f>
        <v>4</v>
      </c>
      <c r="G22" s="12">
        <f>COUNTIFS(metricas!E2:E10000,"&gt;20",metricas!B2:B10000,"TENDRILS")</f>
        <v>3</v>
      </c>
      <c r="H22" s="12">
        <f>COUNTIFS(metricas!E2:E10000,"&gt;20",metricas!B2:B10000,"DISCONNECTED")</f>
        <v>4</v>
      </c>
      <c r="J22" s="12" t="s">
        <v>138</v>
      </c>
      <c r="K22" s="12">
        <f>COUNTIFS(metricas!J2:J10000,"&gt;39",metricas!B2:B10000,"LSCC")</f>
        <v>0</v>
      </c>
      <c r="L22" s="12">
        <f>COUNTIFS(metricas!J2:J10000,"&gt;39",metricas!B2:B10000,"IN")</f>
        <v>0</v>
      </c>
      <c r="M22" s="12">
        <f>COUNTIFS(metricas!J2:J10000,"&gt;39",metricas!B2:B10000,"OUT")</f>
        <v>1</v>
      </c>
      <c r="N22" s="12">
        <f>COUNTIFS(metricas!J2:J10000,"&gt;39",metricas!B2:B10000,"TUBES")</f>
        <v>0</v>
      </c>
      <c r="O22" s="12">
        <f>COUNTIFS(metricas!J2:J10000,"&gt;39",metricas!B2:B10000,"TENDRILS")</f>
        <v>0</v>
      </c>
      <c r="P22" s="12">
        <f>COUNTIFS(metricas!J2:J10000,"&gt;39",metricas!B2:B10000,"DISCONNECTED")</f>
        <v>0</v>
      </c>
    </row>
    <row r="23" spans="2:22" x14ac:dyDescent="0.25">
      <c r="B23" s="2"/>
      <c r="C23" s="18">
        <f>SUM(C20:H22)</f>
        <v>117</v>
      </c>
      <c r="D23" s="18"/>
      <c r="E23" s="18"/>
      <c r="F23" s="18"/>
      <c r="G23" s="18"/>
      <c r="H23" s="18"/>
      <c r="J23" s="2"/>
      <c r="K23" s="19">
        <f>SUM(K20:P22)</f>
        <v>117</v>
      </c>
      <c r="L23" s="20"/>
      <c r="M23" s="20"/>
      <c r="N23" s="20"/>
      <c r="O23" s="20"/>
      <c r="P23" s="21"/>
    </row>
    <row r="25" spans="2:22" x14ac:dyDescent="0.25">
      <c r="B25" s="2"/>
      <c r="C25" s="3" t="s">
        <v>5</v>
      </c>
      <c r="D25" s="3"/>
      <c r="E25" s="3"/>
      <c r="F25" s="3"/>
      <c r="G25" s="3"/>
      <c r="H25" s="3"/>
      <c r="J25" s="2"/>
      <c r="K25" s="5" t="s">
        <v>10</v>
      </c>
      <c r="L25" s="6"/>
      <c r="M25" s="6"/>
      <c r="N25" s="6"/>
      <c r="O25" s="6"/>
      <c r="P25" s="7"/>
    </row>
    <row r="26" spans="2:22" x14ac:dyDescent="0.25">
      <c r="B26" s="2"/>
      <c r="C26" s="10" t="s">
        <v>54</v>
      </c>
      <c r="D26" s="10" t="s">
        <v>22</v>
      </c>
      <c r="E26" s="10" t="s">
        <v>19</v>
      </c>
      <c r="F26" s="10" t="s">
        <v>13</v>
      </c>
      <c r="G26" s="10" t="s">
        <v>25</v>
      </c>
      <c r="H26" s="10" t="s">
        <v>140</v>
      </c>
      <c r="J26" s="2"/>
      <c r="K26" s="10" t="s">
        <v>54</v>
      </c>
      <c r="L26" s="10" t="s">
        <v>22</v>
      </c>
      <c r="M26" s="10" t="s">
        <v>19</v>
      </c>
      <c r="N26" s="10" t="s">
        <v>13</v>
      </c>
      <c r="O26" s="10" t="s">
        <v>25</v>
      </c>
      <c r="P26" s="10" t="s">
        <v>140</v>
      </c>
    </row>
    <row r="27" spans="2:22" x14ac:dyDescent="0.25">
      <c r="B27" s="12" t="s">
        <v>136</v>
      </c>
      <c r="C27" s="13">
        <f>COUNTIFS(metricas!F2:F10000,"&lt;=2",metricas!B2:B10000,"LSCC")</f>
        <v>4</v>
      </c>
      <c r="D27" s="13">
        <f>COUNTIFS(metricas!F2:F10000,"&lt;=2",metricas!B2:B10000,"IN")</f>
        <v>5</v>
      </c>
      <c r="E27" s="13">
        <f>COUNTIFS(metricas!F2:F10000,"&lt;=2",metricas!B2:B10000,"OUT")</f>
        <v>48</v>
      </c>
      <c r="F27" s="13">
        <f>COUNTIFS(metricas!F2:F10000,"&lt;=2",metricas!B2:B10000,"TUBES")</f>
        <v>33</v>
      </c>
      <c r="G27" s="13">
        <f>COUNTIFS(metricas!F2:F10000,"&lt;=2",metricas!B2:B10000,"TENDRILS")</f>
        <v>18</v>
      </c>
      <c r="H27" s="13">
        <f>COUNTIFS(metricas!F2:F10000,"&lt;=2",metricas!B2:B10000,"DISCONNECTED")</f>
        <v>9</v>
      </c>
      <c r="J27" s="12" t="s">
        <v>136</v>
      </c>
      <c r="K27" s="13">
        <f>COUNTIFS(metricas!K2:K10000,"&lt;=11",metricas!B2:B10000,"LSCC")</f>
        <v>0</v>
      </c>
      <c r="L27" s="13">
        <f>COUNTIFS(metricas!K2:K10000,"&lt;=11",metricas!B2:B10000,"IN")</f>
        <v>1</v>
      </c>
      <c r="M27" s="13">
        <f>COUNTIFS(metricas!K2:K10000,"&lt;=11",metricas!B2:B10000,"OUT")</f>
        <v>42</v>
      </c>
      <c r="N27" s="13">
        <f>COUNTIFS(metricas!K2:K10000,"&lt;=11",metricas!B2:B10000,"TUBES")</f>
        <v>30</v>
      </c>
      <c r="O27" s="13">
        <f>COUNTIFS(metricas!K2:K10000,"&lt;=11",metricas!B2:B10000,"TENDRILS")</f>
        <v>15</v>
      </c>
      <c r="P27" s="13">
        <f>COUNTIFS(metricas!K2:K10000,"&lt;=11",metricas!B2:B10000,"DISCONNECTED")</f>
        <v>6</v>
      </c>
    </row>
    <row r="28" spans="2:22" x14ac:dyDescent="0.25">
      <c r="B28" s="12" t="s">
        <v>137</v>
      </c>
      <c r="C28" s="15">
        <f>COUNTIFS(metricas!F2:F10000,"&gt;2",metricas!F2:F10000,"&lt;=4",metricas!B2:B10000,"LSCC")</f>
        <v>0</v>
      </c>
      <c r="D28" s="12">
        <f>COUNTIFS(metricas!F2:F10000,"&gt;2",metricas!F2:F10000,"&lt;=4",metricas!B2:B10000,"IN")</f>
        <v>0</v>
      </c>
      <c r="E28" s="12">
        <f>COUNTIFS(metricas!F2:F10000,"&gt;2",metricas!F2:F10000,"&lt;=4",metricas!B2:B10000,"OUT")</f>
        <v>0</v>
      </c>
      <c r="F28" s="12">
        <f>COUNTIFS(metricas!F2:F10000,"&gt;2",metricas!F2:F10000,"&lt;=4",metricas!B2:B10000,"TUBES")</f>
        <v>0</v>
      </c>
      <c r="G28" s="12">
        <f>COUNTIFS(metricas!F2:F10000,"&gt;2",metricas!F2:F10000,"&lt;=4",metricas!B2:B10000,"TENDRILS")</f>
        <v>0</v>
      </c>
      <c r="H28" s="12">
        <f>COUNTIFS(metricas!F2:F10000,"&gt;2",metricas!F2:F10000,"&lt;=4",metricas!B2:B10000,"DISCONNECTED")</f>
        <v>0</v>
      </c>
      <c r="J28" s="12" t="s">
        <v>137</v>
      </c>
      <c r="K28" s="15">
        <f>COUNTIFS(metricas!K2:K10000,"&gt;11",metricas!K2:K10000,"&lt;=34",metricas!B2:B10000,"LSCC")</f>
        <v>2</v>
      </c>
      <c r="L28" s="12">
        <f>COUNTIFS(metricas!K2:K10000,"&gt;11",metricas!K2:K10000,"&lt;=34",metricas!B2:B10000,"IN")</f>
        <v>3</v>
      </c>
      <c r="M28" s="12">
        <f>COUNTIFS(metricas!K2:K10000,"&gt;11",metricas!K2:K10000,"&lt;=34",metricas!B2:B10000,"OUT")</f>
        <v>4</v>
      </c>
      <c r="N28" s="12">
        <f>COUNTIFS(metricas!K2:K10000,"&gt;11",metricas!K2:K10000,"&lt;=34",metricas!B2:B10000,"TUBES")</f>
        <v>1</v>
      </c>
      <c r="O28" s="12">
        <f>COUNTIFS(metricas!K2:K10000,"&gt;11",metricas!K2:K10000,"&lt;=34",metricas!B2:B10000,"TENDRILS")</f>
        <v>3</v>
      </c>
      <c r="P28" s="12">
        <f>COUNTIFS(metricas!K2:K10000,"&gt;11",metricas!K2:K10000,"&lt;=34",metricas!B2:B10000,"DISCONNECTED")</f>
        <v>1</v>
      </c>
    </row>
    <row r="29" spans="2:22" x14ac:dyDescent="0.25">
      <c r="B29" s="12" t="s">
        <v>138</v>
      </c>
      <c r="C29" s="12">
        <f>COUNTIFS(metricas!F2:F10000,"&gt;4",metricas!B2:B10000,"LSCC")</f>
        <v>0</v>
      </c>
      <c r="D29" s="12">
        <f>COUNTIFS(metricas!F2:F10000,"&gt;4",metricas!B2:B10000,"IN")</f>
        <v>0</v>
      </c>
      <c r="E29" s="12">
        <f>COUNTIFS(metricas!F2:F10000,"&gt;4",metricas!B2:B10000,"OUT")</f>
        <v>0</v>
      </c>
      <c r="F29" s="12">
        <f>COUNTIFS(metricas!F2:F10000,"&gt;4",metricas!B2:B10000,"TUBES")</f>
        <v>0</v>
      </c>
      <c r="G29" s="12">
        <f>COUNTIFS(metricas!F2:F10000,"&gt;4",metricas!B2:B10000,"TENDRILS")</f>
        <v>0</v>
      </c>
      <c r="H29" s="12">
        <f>COUNTIFS(metricas!F2:F10000,"&gt;4",metricas!B2:B10000,"DISCONNECTED")</f>
        <v>0</v>
      </c>
      <c r="J29" s="12" t="s">
        <v>138</v>
      </c>
      <c r="K29" s="12">
        <f>COUNTIFS(metricas!K2:K10000,"&gt;34",metricas!B2:B10000,"LSCC")</f>
        <v>2</v>
      </c>
      <c r="L29" s="12">
        <f>COUNTIFS(metricas!K2:K10000,"&gt;34",metricas!B2:B10000,"IN")</f>
        <v>1</v>
      </c>
      <c r="M29" s="12">
        <f>COUNTIFS(metricas!K2:K10000,"&gt;34",metricas!B2:B10000,"OUT")</f>
        <v>2</v>
      </c>
      <c r="N29" s="12">
        <f>COUNTIFS(metricas!K2:K10000,"&gt;34",metricas!B2:B10000,"TUBES")</f>
        <v>2</v>
      </c>
      <c r="O29" s="12">
        <f>COUNTIFS(metricas!K2:K10000,"&gt;34",metricas!B2:B10000,"TENDRILS")</f>
        <v>0</v>
      </c>
      <c r="P29" s="12">
        <f>COUNTIFS(metricas!K2:K10000,"&gt;34",metricas!B2:B10000,"DISCONNECTED")</f>
        <v>2</v>
      </c>
    </row>
    <row r="30" spans="2:22" x14ac:dyDescent="0.25">
      <c r="B30" s="2"/>
      <c r="C30" s="18">
        <f>SUM(C27:H29)</f>
        <v>117</v>
      </c>
      <c r="D30" s="18"/>
      <c r="E30" s="18"/>
      <c r="F30" s="18"/>
      <c r="G30" s="18"/>
      <c r="H30" s="18"/>
      <c r="J30" s="2"/>
      <c r="K30" s="19">
        <f>SUM(K27:P29)</f>
        <v>117</v>
      </c>
      <c r="L30" s="20"/>
      <c r="M30" s="20"/>
      <c r="N30" s="20"/>
      <c r="O30" s="20"/>
      <c r="P30" s="21"/>
    </row>
    <row r="32" spans="2:22" x14ac:dyDescent="0.25">
      <c r="B32" s="2"/>
      <c r="C32" s="5" t="s">
        <v>6</v>
      </c>
      <c r="D32" s="6"/>
      <c r="E32" s="6"/>
      <c r="F32" s="6"/>
      <c r="G32" s="6"/>
      <c r="H32" s="7"/>
      <c r="J32" s="2"/>
      <c r="K32" s="5" t="s">
        <v>11</v>
      </c>
      <c r="L32" s="6"/>
      <c r="M32" s="6"/>
      <c r="N32" s="6"/>
      <c r="O32" s="6"/>
      <c r="P32" s="7"/>
    </row>
    <row r="33" spans="2:16" x14ac:dyDescent="0.25">
      <c r="B33" s="2"/>
      <c r="C33" s="10" t="s">
        <v>54</v>
      </c>
      <c r="D33" s="10" t="s">
        <v>22</v>
      </c>
      <c r="E33" s="10" t="s">
        <v>19</v>
      </c>
      <c r="F33" s="10" t="s">
        <v>13</v>
      </c>
      <c r="G33" s="10" t="s">
        <v>25</v>
      </c>
      <c r="H33" s="10" t="s">
        <v>140</v>
      </c>
      <c r="J33" s="2"/>
      <c r="K33" s="10" t="s">
        <v>54</v>
      </c>
      <c r="L33" s="10" t="s">
        <v>22</v>
      </c>
      <c r="M33" s="10" t="s">
        <v>19</v>
      </c>
      <c r="N33" s="10" t="s">
        <v>13</v>
      </c>
      <c r="O33" s="10" t="s">
        <v>25</v>
      </c>
      <c r="P33" s="10" t="s">
        <v>140</v>
      </c>
    </row>
    <row r="34" spans="2:16" x14ac:dyDescent="0.25">
      <c r="B34" s="12" t="s">
        <v>136</v>
      </c>
      <c r="C34" s="13">
        <f>COUNTIFS(metricas!G2:G10000,"=1",metricas!B2:B10000,"LSCC")</f>
        <v>0</v>
      </c>
      <c r="D34" s="13">
        <f>COUNTIFS(metricas!G2:G10000,"=1",metricas!B2:B10000,"IN")</f>
        <v>0</v>
      </c>
      <c r="E34" s="13">
        <f>COUNTIFS(metricas!G2:G10000,"=1",metricas!B2:B10000,"OUT")</f>
        <v>35</v>
      </c>
      <c r="F34" s="13">
        <f>COUNTIFS(metricas!G2:G10000,"=1",metricas!B2:B10000,"TUBES")</f>
        <v>29</v>
      </c>
      <c r="G34" s="13">
        <f>COUNTIFS(metricas!G2:G10000,"=1",metricas!B2:B10000,"TENDRILS")</f>
        <v>13</v>
      </c>
      <c r="H34" s="13">
        <f>COUNTIFS(metricas!G2:G10000,"=1",metricas!B2:B10000,"DISCONNECTED")</f>
        <v>0</v>
      </c>
      <c r="J34" s="12" t="s">
        <v>136</v>
      </c>
      <c r="K34" s="13">
        <f>COUNTIFS(metricas!L2:L10000,"&lt;=11",metricas!B2:B10000,"LSCC")</f>
        <v>4</v>
      </c>
      <c r="L34" s="13">
        <f>COUNTIFS(metricas!L2:L10000,"&lt;=11",metricas!B2:B10000,"IN")</f>
        <v>5</v>
      </c>
      <c r="M34" s="13">
        <f>COUNTIFS(metricas!L2:L10000,"&lt;=11",metricas!B2:B10000,"OUT")</f>
        <v>47</v>
      </c>
      <c r="N34" s="13">
        <f>COUNTIFS(metricas!L2:L10000,"&lt;=11",metricas!B2:B10000,"TUBES")</f>
        <v>33</v>
      </c>
      <c r="O34" s="13">
        <f>COUNTIFS(metricas!L2:L10000,"&lt;=11",metricas!B2:B10000,"TENDRILS")</f>
        <v>18</v>
      </c>
      <c r="P34" s="13">
        <f>COUNTIFS(metricas!L2:L10000,"&lt;=11",metricas!B2:B10000,"DISCONNECTED")</f>
        <v>9</v>
      </c>
    </row>
    <row r="35" spans="2:16" x14ac:dyDescent="0.25">
      <c r="B35" s="12" t="s">
        <v>137</v>
      </c>
      <c r="C35" s="15">
        <f>COUNTIFS(metricas!G2:G10000,"&gt;=0,2",metricas!G2:G10000,"&lt;=0,5",metricas!B2:B10000,"LSCC")</f>
        <v>0</v>
      </c>
      <c r="D35" s="12">
        <f>COUNTIFS(metricas!G2:G10000,"&gt;=0,2",metricas!G2:G10000,"&lt;=0,5",metricas!B2:B10000,"IN")</f>
        <v>2</v>
      </c>
      <c r="E35" s="12">
        <f>COUNTIFS(metricas!G2:G10000,"&gt;=0,2",metricas!G2:G10000,"&lt;=0,5",metricas!B2:B10000,"OUT")</f>
        <v>6</v>
      </c>
      <c r="F35" s="12">
        <f>COUNTIFS(metricas!G2:G10000,"&gt;=0,2",metricas!G2:G10000,"&lt;=0,5",metricas!B2:B10000,"TUBES")</f>
        <v>0</v>
      </c>
      <c r="G35" s="12">
        <f>COUNTIFS(metricas!G2:G10000,"&gt;=0,2",metricas!G2:G10000,"&lt;=0,5",metricas!B2:B10000,"TENDRILS")</f>
        <v>2</v>
      </c>
      <c r="H35" s="12">
        <f>COUNTIFS(metricas!G2:G10000,"&gt;=0,2",metricas!G2:G10000,"&lt;=0,5",metricas!B2:B10000,"DISCONNECTED")</f>
        <v>5</v>
      </c>
      <c r="J35" s="12" t="s">
        <v>137</v>
      </c>
      <c r="K35" s="15">
        <f>COUNTIFS(metricas!L2:L10000,"&gt;11",metricas!L2:L10000,"&lt;=28",metricas!B2:B10000,"LSCC")</f>
        <v>0</v>
      </c>
      <c r="L35" s="12">
        <f>COUNTIFS(metricas!L2:L10000,"&gt;11",metricas!L2:L10000,"&lt;=28",metricas!B2:B10000,"IN")</f>
        <v>0</v>
      </c>
      <c r="M35" s="12">
        <f>COUNTIFS(metricas!L2:L10000,"&gt;11",metricas!L2:L10000,"&lt;=28",metricas!B2:B10000,"OUT")</f>
        <v>0</v>
      </c>
      <c r="N35" s="12">
        <f>COUNTIFS(metricas!L2:L10000,"&gt;11",metricas!L2:L10000,"&lt;=28",metricas!B2:B10000,"TUBES")</f>
        <v>0</v>
      </c>
      <c r="O35" s="12">
        <f>COUNTIFS(metricas!L2:L10000,"&gt;11",metricas!L2:L10000,"&lt;=28",metricas!B2:B10000,"TENDRILS")</f>
        <v>0</v>
      </c>
      <c r="P35" s="12">
        <f>COUNTIFS(metricas!L2:L10000,"&gt;11",metricas!L2:L10000,"&lt;=28",metricas!B2:B10000,"DISCONNECTED")</f>
        <v>0</v>
      </c>
    </row>
    <row r="36" spans="2:16" x14ac:dyDescent="0.25">
      <c r="B36" s="12" t="s">
        <v>138</v>
      </c>
      <c r="C36" s="12">
        <f>COUNTIFS(metricas!G2:G10000,"&lt;0,2",metricas!B2:B10000,"LSCC")</f>
        <v>4</v>
      </c>
      <c r="D36" s="12">
        <f>COUNTIFS(metricas!G2:G10000,"&lt;0,2",metricas!B2:B10000,"IN")</f>
        <v>3</v>
      </c>
      <c r="E36" s="12">
        <f>COUNTIFS(metricas!G2:G10000,"&lt;0,2",metricas!B2:B10000,"OUT")</f>
        <v>7</v>
      </c>
      <c r="F36" s="12">
        <f>COUNTIFS(metricas!G2:G10000,"&lt;0,2",metricas!B2:B10000,"TUBES")</f>
        <v>4</v>
      </c>
      <c r="G36" s="12">
        <f>COUNTIFS(metricas!G2:G10000,"&lt;0,2",metricas!B2:B10000,"TENDRILS")</f>
        <v>3</v>
      </c>
      <c r="H36" s="12">
        <f>COUNTIFS(metricas!G2:G10000,"&lt;0,2",metricas!B2:B10000,"DISCONNECTED")</f>
        <v>4</v>
      </c>
      <c r="J36" s="12" t="s">
        <v>138</v>
      </c>
      <c r="K36" s="12">
        <f>COUNTIFS(metricas!L2:L10000,"&gt;28",metricas!B2:B10000,"LSCC")</f>
        <v>0</v>
      </c>
      <c r="L36" s="12">
        <f>COUNTIFS(metricas!L2:L10000,"&gt;28",metricas!B2:B10000,"IN")</f>
        <v>0</v>
      </c>
      <c r="M36" s="12">
        <f>COUNTIFS(metricas!L2:L10000,"&gt;28",metricas!B2:B10000,"OUT")</f>
        <v>1</v>
      </c>
      <c r="N36" s="12">
        <f>COUNTIFS(metricas!L2:L10000,"&gt;28",metricas!B2:B10000,"TUBES")</f>
        <v>0</v>
      </c>
      <c r="O36" s="12">
        <f>COUNTIFS(metricas!L2:L10000,"&gt;28",metricas!B2:B10000,"TENDRILS")</f>
        <v>0</v>
      </c>
      <c r="P36" s="12"/>
    </row>
    <row r="37" spans="2:16" x14ac:dyDescent="0.25">
      <c r="B37" s="2"/>
      <c r="C37" s="19">
        <f>SUM(C34:H36)</f>
        <v>117</v>
      </c>
      <c r="D37" s="20"/>
      <c r="E37" s="20"/>
      <c r="F37" s="20"/>
      <c r="G37" s="20"/>
      <c r="H37" s="21"/>
      <c r="J37" s="2"/>
      <c r="K37" s="18">
        <f>SUM(K34:P36)</f>
        <v>117</v>
      </c>
      <c r="L37" s="18"/>
      <c r="M37" s="18"/>
      <c r="N37" s="18"/>
      <c r="O37" s="18"/>
      <c r="P37" s="18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1656-5943-4E8C-9ED4-4D89D6B6F5BA}">
  <dimension ref="A1:AM14"/>
  <sheetViews>
    <sheetView workbookViewId="0">
      <selection activeCell="O27" sqref="O27"/>
    </sheetView>
  </sheetViews>
  <sheetFormatPr defaultRowHeight="12.75" x14ac:dyDescent="0.2"/>
  <cols>
    <col min="1" max="1" width="8.140625" style="44" customWidth="1"/>
    <col min="2" max="2" width="7.5703125" style="31" bestFit="1" customWidth="1"/>
    <col min="3" max="3" width="5.7109375" style="31" customWidth="1"/>
    <col min="4" max="4" width="3" style="31" bestFit="1" customWidth="1"/>
    <col min="5" max="5" width="5.7109375" style="31" customWidth="1"/>
    <col min="6" max="6" width="3" style="31" bestFit="1" customWidth="1"/>
    <col min="7" max="7" width="5.7109375" style="31" bestFit="1" customWidth="1"/>
    <col min="8" max="8" width="5" style="31" bestFit="1" customWidth="1"/>
    <col min="9" max="9" width="6.7109375" style="31" bestFit="1" customWidth="1"/>
    <col min="10" max="10" width="4" style="31" bestFit="1" customWidth="1"/>
    <col min="11" max="11" width="6.7109375" style="31" bestFit="1" customWidth="1"/>
    <col min="12" max="12" width="4" style="31" bestFit="1" customWidth="1"/>
    <col min="13" max="13" width="6.7109375" style="31" bestFit="1" customWidth="1"/>
    <col min="14" max="14" width="3" style="31" bestFit="1" customWidth="1"/>
    <col min="15" max="15" width="6.7109375" style="31" bestFit="1" customWidth="1"/>
    <col min="16" max="16" width="3" style="31" bestFit="1" customWidth="1"/>
    <col min="17" max="17" width="5.7109375" style="31" bestFit="1" customWidth="1"/>
    <col min="18" max="18" width="2" style="31" bestFit="1" customWidth="1"/>
    <col min="19" max="19" width="5.7109375" style="31" bestFit="1" customWidth="1"/>
    <col min="20" max="20" width="3" style="31" bestFit="1" customWidth="1"/>
    <col min="21" max="21" width="6.7109375" style="31" bestFit="1" customWidth="1"/>
    <col min="22" max="22" width="2" style="31" bestFit="1" customWidth="1"/>
    <col min="23" max="23" width="5.7109375" style="31" bestFit="1" customWidth="1"/>
    <col min="24" max="24" width="2" style="31" bestFit="1" customWidth="1"/>
    <col min="25" max="25" width="5.7109375" style="31" bestFit="1" customWidth="1"/>
    <col min="26" max="26" width="4" style="31" bestFit="1" customWidth="1"/>
    <col min="27" max="27" width="6.7109375" style="31" bestFit="1" customWidth="1"/>
    <col min="28" max="28" width="4" style="31" bestFit="1" customWidth="1"/>
    <col min="29" max="29" width="5.7109375" style="31" bestFit="1" customWidth="1"/>
    <col min="30" max="30" width="3" style="31" bestFit="1" customWidth="1"/>
    <col min="31" max="31" width="5.7109375" style="31" bestFit="1" customWidth="1"/>
    <col min="32" max="32" width="4" style="31" bestFit="1" customWidth="1"/>
    <col min="33" max="33" width="6.7109375" style="31" bestFit="1" customWidth="1"/>
    <col min="34" max="34" width="3" style="31" bestFit="1" customWidth="1"/>
    <col min="35" max="35" width="5.7109375" style="31" bestFit="1" customWidth="1"/>
    <col min="36" max="36" width="3" style="31" bestFit="1" customWidth="1"/>
    <col min="37" max="37" width="5.7109375" style="31" bestFit="1" customWidth="1"/>
    <col min="38" max="16384" width="9.140625" style="31"/>
  </cols>
  <sheetData>
    <row r="1" spans="1:39" x14ac:dyDescent="0.2">
      <c r="A1" s="29" t="s">
        <v>135</v>
      </c>
      <c r="B1" s="30" t="s">
        <v>54</v>
      </c>
      <c r="C1" s="30"/>
      <c r="D1" s="30"/>
      <c r="E1" s="30"/>
      <c r="F1" s="30"/>
      <c r="G1" s="30"/>
      <c r="H1" s="30" t="s">
        <v>22</v>
      </c>
      <c r="I1" s="30"/>
      <c r="J1" s="30"/>
      <c r="K1" s="30"/>
      <c r="L1" s="30"/>
      <c r="M1" s="30"/>
      <c r="N1" s="30" t="s">
        <v>19</v>
      </c>
      <c r="O1" s="30"/>
      <c r="P1" s="30"/>
      <c r="Q1" s="30"/>
      <c r="R1" s="30"/>
      <c r="S1" s="30"/>
      <c r="T1" s="30" t="s">
        <v>13</v>
      </c>
      <c r="U1" s="30"/>
      <c r="V1" s="30"/>
      <c r="W1" s="30"/>
      <c r="X1" s="30"/>
      <c r="Y1" s="30"/>
      <c r="Z1" s="30" t="s">
        <v>25</v>
      </c>
      <c r="AA1" s="30"/>
      <c r="AB1" s="30"/>
      <c r="AC1" s="30"/>
      <c r="AD1" s="30"/>
      <c r="AE1" s="30"/>
      <c r="AF1" s="30" t="s">
        <v>140</v>
      </c>
      <c r="AG1" s="30"/>
      <c r="AH1" s="30"/>
      <c r="AI1" s="30"/>
      <c r="AJ1" s="30"/>
      <c r="AK1" s="30"/>
    </row>
    <row r="2" spans="1:39" ht="24.75" customHeight="1" x14ac:dyDescent="0.2">
      <c r="A2" s="32"/>
      <c r="B2" s="33" t="s">
        <v>172</v>
      </c>
      <c r="C2" s="30"/>
      <c r="D2" s="33" t="s">
        <v>173</v>
      </c>
      <c r="E2" s="30"/>
      <c r="F2" s="33" t="s">
        <v>174</v>
      </c>
      <c r="G2" s="30"/>
      <c r="H2" s="33" t="s">
        <v>172</v>
      </c>
      <c r="I2" s="30"/>
      <c r="J2" s="33" t="s">
        <v>173</v>
      </c>
      <c r="K2" s="30"/>
      <c r="L2" s="33" t="s">
        <v>174</v>
      </c>
      <c r="M2" s="30"/>
      <c r="N2" s="33" t="s">
        <v>172</v>
      </c>
      <c r="O2" s="30"/>
      <c r="P2" s="33" t="s">
        <v>173</v>
      </c>
      <c r="Q2" s="30"/>
      <c r="R2" s="33" t="s">
        <v>174</v>
      </c>
      <c r="S2" s="30"/>
      <c r="T2" s="33" t="s">
        <v>172</v>
      </c>
      <c r="U2" s="30"/>
      <c r="V2" s="33" t="s">
        <v>173</v>
      </c>
      <c r="W2" s="30"/>
      <c r="X2" s="33" t="s">
        <v>174</v>
      </c>
      <c r="Y2" s="30"/>
      <c r="Z2" s="33" t="s">
        <v>172</v>
      </c>
      <c r="AA2" s="30"/>
      <c r="AB2" s="33" t="s">
        <v>173</v>
      </c>
      <c r="AC2" s="30"/>
      <c r="AD2" s="33" t="s">
        <v>174</v>
      </c>
      <c r="AE2" s="30"/>
      <c r="AF2" s="33" t="s">
        <v>172</v>
      </c>
      <c r="AG2" s="30"/>
      <c r="AH2" s="33" t="s">
        <v>173</v>
      </c>
      <c r="AI2" s="30"/>
      <c r="AJ2" s="33" t="s">
        <v>174</v>
      </c>
      <c r="AK2" s="30"/>
    </row>
    <row r="3" spans="1:39" x14ac:dyDescent="0.2">
      <c r="A3" s="34" t="s">
        <v>2</v>
      </c>
      <c r="B3" s="35">
        <f>distribuicao!C6</f>
        <v>4</v>
      </c>
      <c r="C3" s="36">
        <f>distribuicao!C6/distribuicao!C9</f>
        <v>3.4188034188034191E-2</v>
      </c>
      <c r="D3" s="35">
        <f>distribuicao!C7</f>
        <v>0</v>
      </c>
      <c r="E3" s="36">
        <f>distribuicao!C7/distribuicao!C9</f>
        <v>0</v>
      </c>
      <c r="F3" s="35">
        <f>distribuicao!C8</f>
        <v>0</v>
      </c>
      <c r="G3" s="36">
        <f>distribuicao!C8/distribuicao!C9</f>
        <v>0</v>
      </c>
      <c r="H3" s="35">
        <f>distribuicao!D6</f>
        <v>5</v>
      </c>
      <c r="I3" s="36">
        <f>distribuicao!D6/distribuicao!C9</f>
        <v>4.2735042735042736E-2</v>
      </c>
      <c r="J3" s="35">
        <f>distribuicao!D7</f>
        <v>0</v>
      </c>
      <c r="K3" s="36">
        <f>distribuicao!D7/distribuicao!C9</f>
        <v>0</v>
      </c>
      <c r="L3" s="35">
        <f>distribuicao!D8</f>
        <v>0</v>
      </c>
      <c r="M3" s="36">
        <f>distribuicao!D8/distribuicao!C9</f>
        <v>0</v>
      </c>
      <c r="N3" s="35">
        <f>distribuicao!E6</f>
        <v>46</v>
      </c>
      <c r="O3" s="36">
        <f>distribuicao!E6/distribuicao!C9</f>
        <v>0.39316239316239315</v>
      </c>
      <c r="P3" s="35">
        <f>distribuicao!E7</f>
        <v>2</v>
      </c>
      <c r="Q3" s="36">
        <f>distribuicao!E7/distribuicao!C9</f>
        <v>1.7094017094017096E-2</v>
      </c>
      <c r="R3" s="35">
        <f>distribuicao!E8</f>
        <v>0</v>
      </c>
      <c r="S3" s="36">
        <f>distribuicao!E8/distribuicao!C9</f>
        <v>0</v>
      </c>
      <c r="T3" s="35">
        <f>distribuicao!F6</f>
        <v>33</v>
      </c>
      <c r="U3" s="36">
        <f>distribuicao!F6/distribuicao!C9</f>
        <v>0.28205128205128205</v>
      </c>
      <c r="V3" s="35">
        <f>distribuicao!F7</f>
        <v>0</v>
      </c>
      <c r="W3" s="36">
        <f>distribuicao!F7/distribuicao!C9</f>
        <v>0</v>
      </c>
      <c r="X3" s="35">
        <f>distribuicao!F8</f>
        <v>0</v>
      </c>
      <c r="Y3" s="36">
        <f>distribuicao!F8/distribuicao!C9</f>
        <v>0</v>
      </c>
      <c r="Z3" s="35">
        <f>distribuicao!G6</f>
        <v>18</v>
      </c>
      <c r="AA3" s="36">
        <f>distribuicao!G6/distribuicao!C9</f>
        <v>0.15384615384615385</v>
      </c>
      <c r="AB3" s="35">
        <f>distribuicao!G7</f>
        <v>0</v>
      </c>
      <c r="AC3" s="36">
        <f>distribuicao!G7/distribuicao!C9</f>
        <v>0</v>
      </c>
      <c r="AD3" s="35">
        <f>distribuicao!G8</f>
        <v>0</v>
      </c>
      <c r="AE3" s="36">
        <f>distribuicao!G8/distribuicao!C9</f>
        <v>0</v>
      </c>
      <c r="AF3" s="35">
        <f>distribuicao!H6</f>
        <v>9</v>
      </c>
      <c r="AG3" s="36">
        <f>distribuicao!H6/distribuicao!C9</f>
        <v>7.6923076923076927E-2</v>
      </c>
      <c r="AH3" s="35">
        <f>distribuicao!H7</f>
        <v>0</v>
      </c>
      <c r="AI3" s="36">
        <f>distribuicao!H7/distribuicao!C9</f>
        <v>0</v>
      </c>
      <c r="AJ3" s="35">
        <f>distribuicao!H8</f>
        <v>0</v>
      </c>
      <c r="AK3" s="36">
        <f>distribuicao!H8/distribuicao!C9</f>
        <v>0</v>
      </c>
      <c r="AL3" s="37">
        <f>SUM(B3,D3,F3,H3,J3,L3,N3,P3,R3,T3,V3,X3,Z3,AB3,AD3,AF3,AH3,AJ3)</f>
        <v>117</v>
      </c>
      <c r="AM3" s="38">
        <f>SUM(C3,E3,G3,I3,K3,M3,O3,Q3,S3,U3,W3,Y3,AA3,AC3,AE3,AG3,AI3,AK3)</f>
        <v>1</v>
      </c>
    </row>
    <row r="4" spans="1:39" ht="15" x14ac:dyDescent="0.25">
      <c r="A4" s="34" t="s">
        <v>3</v>
      </c>
      <c r="B4" s="35">
        <f>distribuicao!C13</f>
        <v>0</v>
      </c>
      <c r="C4" s="36">
        <f>distribuicao!C13/distribuicao!C9</f>
        <v>0</v>
      </c>
      <c r="D4" s="35">
        <f>distribuicao!C14</f>
        <v>2</v>
      </c>
      <c r="E4" s="36">
        <f>distribuicao!C14/distribuicao!C9</f>
        <v>1.7094017094017096E-2</v>
      </c>
      <c r="F4" s="35">
        <f>distribuicao!C15</f>
        <v>2</v>
      </c>
      <c r="G4" s="36">
        <f>distribuicao!C15/distribuicao!C9</f>
        <v>1.7094017094017096E-2</v>
      </c>
      <c r="H4" s="35">
        <f>distribuicao!D13</f>
        <v>1</v>
      </c>
      <c r="I4" s="36">
        <f>distribuicao!D13/distribuicao!C9</f>
        <v>8.5470085470085479E-3</v>
      </c>
      <c r="J4" s="35">
        <f>distribuicao!D14</f>
        <v>3</v>
      </c>
      <c r="K4" s="36">
        <f>distribuicao!D14/distribuicao!C9</f>
        <v>2.564102564102564E-2</v>
      </c>
      <c r="L4" s="26">
        <f>distribuicao!D15</f>
        <v>1</v>
      </c>
      <c r="M4" s="36">
        <f>distribuicao!D15/distribuicao!C9</f>
        <v>8.5470085470085479E-3</v>
      </c>
      <c r="N4" s="35">
        <f>distribuicao!E13</f>
        <v>42</v>
      </c>
      <c r="O4" s="36">
        <f>distribuicao!E13/distribuicao!C9</f>
        <v>0.35897435897435898</v>
      </c>
      <c r="P4" s="35">
        <f>distribuicao!E14</f>
        <v>4</v>
      </c>
      <c r="Q4" s="36">
        <f>distribuicao!E14/distribuicao!C9</f>
        <v>3.4188034188034191E-2</v>
      </c>
      <c r="R4" s="35">
        <f>distribuicao!E15</f>
        <v>2</v>
      </c>
      <c r="S4" s="36">
        <f>distribuicao!E15/distribuicao!C9</f>
        <v>1.7094017094017096E-2</v>
      </c>
      <c r="T4" s="35">
        <f>distribuicao!F13</f>
        <v>29</v>
      </c>
      <c r="U4" s="36">
        <f>distribuicao!F13/distribuicao!C9</f>
        <v>0.24786324786324787</v>
      </c>
      <c r="V4" s="35">
        <f>distribuicao!F14</f>
        <v>3</v>
      </c>
      <c r="W4" s="36">
        <f>distribuicao!F14/distribuicao!C9</f>
        <v>2.564102564102564E-2</v>
      </c>
      <c r="X4" s="35">
        <f>distribuicao!F15</f>
        <v>1</v>
      </c>
      <c r="Y4" s="36">
        <f>distribuicao!F15/distribuicao!C9</f>
        <v>8.5470085470085479E-3</v>
      </c>
      <c r="Z4" s="35">
        <f>distribuicao!G13</f>
        <v>15</v>
      </c>
      <c r="AA4" s="36">
        <f>distribuicao!G13/distribuicao!C9</f>
        <v>0.12820512820512819</v>
      </c>
      <c r="AB4" s="35">
        <f>distribuicao!G14</f>
        <v>3</v>
      </c>
      <c r="AC4" s="36">
        <f>distribuicao!G14/distribuicao!C9</f>
        <v>2.564102564102564E-2</v>
      </c>
      <c r="AD4" s="35">
        <f>distribuicao!G15</f>
        <v>0</v>
      </c>
      <c r="AE4" s="36">
        <f>distribuicao!G15/distribuicao!C9</f>
        <v>0</v>
      </c>
      <c r="AF4" s="35">
        <f>distribuicao!H13</f>
        <v>6</v>
      </c>
      <c r="AG4" s="36">
        <f>distribuicao!H13/distribuicao!C9</f>
        <v>5.128205128205128E-2</v>
      </c>
      <c r="AH4" s="35">
        <f>distribuicao!H14</f>
        <v>3</v>
      </c>
      <c r="AI4" s="36">
        <f>distribuicao!H14/distribuicao!C9</f>
        <v>2.564102564102564E-2</v>
      </c>
      <c r="AJ4" s="35">
        <f>distribuicao!H15</f>
        <v>0</v>
      </c>
      <c r="AK4" s="36">
        <f>distribuicao!H15/distribuicao!C9</f>
        <v>0</v>
      </c>
      <c r="AL4" s="37">
        <f>SUM(B4,D4,F4,H4,J4,L4,N4,P4,R4,T4,V4,X4,Z4,AB4,AD4,AF4,AH4,AJ4)</f>
        <v>117</v>
      </c>
      <c r="AM4" s="38">
        <f t="shared" ref="AM4:AM11" si="0">SUM(C4,E4,G4,I4,K4,M4,O4,Q4,S4,U4,W4,Y4,AA4,AC4,AE4,AG4,AI4,AK4)</f>
        <v>1</v>
      </c>
    </row>
    <row r="5" spans="1:39" x14ac:dyDescent="0.2">
      <c r="A5" s="34" t="s">
        <v>4</v>
      </c>
      <c r="B5" s="35">
        <f>distribuicao!C20</f>
        <v>0</v>
      </c>
      <c r="C5" s="36">
        <f>distribuicao!C20/distribuicao!C9</f>
        <v>0</v>
      </c>
      <c r="D5" s="35">
        <f>distribuicao!C21</f>
        <v>0</v>
      </c>
      <c r="E5" s="36">
        <f>distribuicao!C21/distribuicao!C9</f>
        <v>0</v>
      </c>
      <c r="F5" s="35">
        <f>distribuicao!C22</f>
        <v>4</v>
      </c>
      <c r="G5" s="36">
        <f>distribuicao!C22/distribuicao!C9</f>
        <v>3.4188034188034191E-2</v>
      </c>
      <c r="H5" s="35">
        <f>distribuicao!D20</f>
        <v>0</v>
      </c>
      <c r="I5" s="36">
        <f>distribuicao!D20/distribuicao!C9</f>
        <v>0</v>
      </c>
      <c r="J5" s="35">
        <f>distribuicao!D21</f>
        <v>1</v>
      </c>
      <c r="K5" s="36">
        <f>distribuicao!D21/distribuicao!C9</f>
        <v>8.5470085470085479E-3</v>
      </c>
      <c r="L5" s="35">
        <f>distribuicao!D22</f>
        <v>4</v>
      </c>
      <c r="M5" s="36">
        <f>distribuicao!D22/distribuicao!C9</f>
        <v>3.4188034188034191E-2</v>
      </c>
      <c r="N5" s="35">
        <f>distribuicao!E20</f>
        <v>33</v>
      </c>
      <c r="O5" s="36">
        <f>distribuicao!E20/distribuicao!C9</f>
        <v>0.28205128205128205</v>
      </c>
      <c r="P5" s="35">
        <f>distribuicao!E21</f>
        <v>7</v>
      </c>
      <c r="Q5" s="36">
        <f>distribuicao!E21/distribuicao!C9</f>
        <v>5.9829059829059832E-2</v>
      </c>
      <c r="R5" s="35">
        <f>distribuicao!E22</f>
        <v>8</v>
      </c>
      <c r="S5" s="36">
        <f>distribuicao!E22/distribuicao!C9</f>
        <v>6.8376068376068383E-2</v>
      </c>
      <c r="T5" s="35">
        <f>distribuicao!F20</f>
        <v>29</v>
      </c>
      <c r="U5" s="36">
        <f>distribuicao!F20/distribuicao!C9</f>
        <v>0.24786324786324787</v>
      </c>
      <c r="V5" s="35">
        <f>distribuicao!F21</f>
        <v>0</v>
      </c>
      <c r="W5" s="36">
        <f>distribuicao!F21/distribuicao!C9</f>
        <v>0</v>
      </c>
      <c r="X5" s="35">
        <f>distribuicao!F22</f>
        <v>4</v>
      </c>
      <c r="Y5" s="36">
        <f>distribuicao!F22/distribuicao!C9</f>
        <v>3.4188034188034191E-2</v>
      </c>
      <c r="Z5" s="35">
        <f>distribuicao!G20</f>
        <v>7</v>
      </c>
      <c r="AA5" s="36">
        <f>distribuicao!G20/distribuicao!C9</f>
        <v>5.9829059829059832E-2</v>
      </c>
      <c r="AB5" s="35">
        <f>distribuicao!G21</f>
        <v>8</v>
      </c>
      <c r="AC5" s="36">
        <f>distribuicao!G21/distribuicao!C9</f>
        <v>6.8376068376068383E-2</v>
      </c>
      <c r="AD5" s="35">
        <f>distribuicao!G22</f>
        <v>3</v>
      </c>
      <c r="AE5" s="36">
        <f>distribuicao!G22/distribuicao!C9</f>
        <v>2.564102564102564E-2</v>
      </c>
      <c r="AF5" s="35">
        <f>distribuicao!H20</f>
        <v>0</v>
      </c>
      <c r="AG5" s="36">
        <f>distribuicao!H20/distribuicao!C9</f>
        <v>0</v>
      </c>
      <c r="AH5" s="35">
        <f>distribuicao!H21</f>
        <v>5</v>
      </c>
      <c r="AI5" s="36">
        <f>distribuicao!H21/distribuicao!C9</f>
        <v>4.2735042735042736E-2</v>
      </c>
      <c r="AJ5" s="35">
        <f>distribuicao!H22</f>
        <v>4</v>
      </c>
      <c r="AK5" s="36">
        <f>distribuicao!H22/distribuicao!C9</f>
        <v>3.4188034188034191E-2</v>
      </c>
      <c r="AL5" s="37">
        <f t="shared" ref="AL5:AL12" si="1">SUM(B5,D5,F5,H5,J5,L5,N5,P5,R5,T5,V5,X5,Z5,AB5,AD5,AF5,AH5,AJ5)</f>
        <v>117</v>
      </c>
      <c r="AM5" s="38">
        <f t="shared" si="0"/>
        <v>1</v>
      </c>
    </row>
    <row r="6" spans="1:39" x14ac:dyDescent="0.2">
      <c r="A6" s="34" t="s">
        <v>5</v>
      </c>
      <c r="B6" s="39">
        <f>distribuicao!C27</f>
        <v>4</v>
      </c>
      <c r="C6" s="40">
        <f>distribuicao!C27/distribuicao!C9</f>
        <v>3.4188034188034191E-2</v>
      </c>
      <c r="D6" s="39">
        <f>distribuicao!C28</f>
        <v>0</v>
      </c>
      <c r="E6" s="40">
        <f>distribuicao!C28/distribuicao!C9</f>
        <v>0</v>
      </c>
      <c r="F6" s="39">
        <f>distribuicao!C29</f>
        <v>0</v>
      </c>
      <c r="G6" s="40">
        <f>distribuicao!C29/distribuicao!C9</f>
        <v>0</v>
      </c>
      <c r="H6" s="39">
        <f>distribuicao!D27</f>
        <v>5</v>
      </c>
      <c r="I6" s="40">
        <f>distribuicao!D27/distribuicao!C9</f>
        <v>4.2735042735042736E-2</v>
      </c>
      <c r="J6" s="39">
        <f>distribuicao!D28</f>
        <v>0</v>
      </c>
      <c r="K6" s="40">
        <f>distribuicao!D28/distribuicao!C9</f>
        <v>0</v>
      </c>
      <c r="L6" s="39">
        <f>distribuicao!D29</f>
        <v>0</v>
      </c>
      <c r="M6" s="40">
        <f>distribuicao!D29/distribuicao!C9</f>
        <v>0</v>
      </c>
      <c r="N6" s="39">
        <f>distribuicao!E27</f>
        <v>48</v>
      </c>
      <c r="O6" s="40">
        <f>distribuicao!E27/distribuicao!C9</f>
        <v>0.41025641025641024</v>
      </c>
      <c r="P6" s="39">
        <f>distribuicao!E28</f>
        <v>0</v>
      </c>
      <c r="Q6" s="40">
        <f>distribuicao!E28/distribuicao!C9</f>
        <v>0</v>
      </c>
      <c r="R6" s="39">
        <f>distribuicao!E29</f>
        <v>0</v>
      </c>
      <c r="S6" s="40">
        <f>distribuicao!E29/distribuicao!C9</f>
        <v>0</v>
      </c>
      <c r="T6" s="39">
        <f>distribuicao!F27</f>
        <v>33</v>
      </c>
      <c r="U6" s="40">
        <f>distribuicao!F27/distribuicao!C9</f>
        <v>0.28205128205128205</v>
      </c>
      <c r="V6" s="39">
        <f>distribuicao!F28</f>
        <v>0</v>
      </c>
      <c r="W6" s="40">
        <f>distribuicao!F28/distribuicao!C9</f>
        <v>0</v>
      </c>
      <c r="X6" s="39">
        <f>distribuicao!F29</f>
        <v>0</v>
      </c>
      <c r="Y6" s="40">
        <f>distribuicao!F29/distribuicao!C9</f>
        <v>0</v>
      </c>
      <c r="Z6" s="39">
        <f>distribuicao!G27</f>
        <v>18</v>
      </c>
      <c r="AA6" s="40">
        <f>distribuicao!G27/distribuicao!C9</f>
        <v>0.15384615384615385</v>
      </c>
      <c r="AB6" s="39">
        <f>distribuicao!G28</f>
        <v>0</v>
      </c>
      <c r="AC6" s="40">
        <f>distribuicao!G28/distribuicao!C9</f>
        <v>0</v>
      </c>
      <c r="AD6" s="39">
        <f>distribuicao!G29</f>
        <v>0</v>
      </c>
      <c r="AE6" s="40">
        <f>distribuicao!G29/distribuicao!C9</f>
        <v>0</v>
      </c>
      <c r="AF6" s="39">
        <f>distribuicao!H27</f>
        <v>9</v>
      </c>
      <c r="AG6" s="40">
        <f>distribuicao!H27/distribuicao!C9</f>
        <v>7.6923076923076927E-2</v>
      </c>
      <c r="AH6" s="39">
        <f>distribuicao!H28</f>
        <v>0</v>
      </c>
      <c r="AI6" s="40">
        <f>distribuicao!H28/distribuicao!C9</f>
        <v>0</v>
      </c>
      <c r="AJ6" s="39">
        <f>distribuicao!H29</f>
        <v>0</v>
      </c>
      <c r="AK6" s="40">
        <f>distribuicao!H29/distribuicao!C9</f>
        <v>0</v>
      </c>
      <c r="AL6" s="37">
        <f t="shared" si="1"/>
        <v>117</v>
      </c>
      <c r="AM6" s="38">
        <f t="shared" si="0"/>
        <v>1</v>
      </c>
    </row>
    <row r="7" spans="1:39" x14ac:dyDescent="0.2">
      <c r="A7" s="34" t="s">
        <v>6</v>
      </c>
      <c r="B7" s="41">
        <f>distribuicao!C34</f>
        <v>0</v>
      </c>
      <c r="C7" s="42">
        <f>distribuicao!C34/distribuicao!C9</f>
        <v>0</v>
      </c>
      <c r="D7" s="43">
        <f>distribuicao!C35</f>
        <v>0</v>
      </c>
      <c r="E7" s="42">
        <f>distribuicao!C35/distribuicao!C9</f>
        <v>0</v>
      </c>
      <c r="F7" s="43">
        <f>distribuicao!C36</f>
        <v>4</v>
      </c>
      <c r="G7" s="42">
        <f>distribuicao!C36/distribuicao!C9</f>
        <v>3.4188034188034191E-2</v>
      </c>
      <c r="H7" s="43">
        <f>distribuicao!D34</f>
        <v>0</v>
      </c>
      <c r="I7" s="42">
        <f>distribuicao!D34/distribuicao!C9</f>
        <v>0</v>
      </c>
      <c r="J7" s="43">
        <f>distribuicao!D35</f>
        <v>2</v>
      </c>
      <c r="K7" s="42">
        <f>distribuicao!D35/distribuicao!C9</f>
        <v>1.7094017094017096E-2</v>
      </c>
      <c r="L7" s="43">
        <f>distribuicao!D36</f>
        <v>3</v>
      </c>
      <c r="M7" s="42">
        <f>distribuicao!D36/distribuicao!C9</f>
        <v>2.564102564102564E-2</v>
      </c>
      <c r="N7" s="43">
        <f>distribuicao!E34</f>
        <v>35</v>
      </c>
      <c r="O7" s="42">
        <f>distribuicao!E34/distribuicao!C9</f>
        <v>0.29914529914529914</v>
      </c>
      <c r="P7" s="43">
        <f>distribuicao!E35</f>
        <v>6</v>
      </c>
      <c r="Q7" s="42">
        <f>distribuicao!E35/distribuicao!C9</f>
        <v>5.128205128205128E-2</v>
      </c>
      <c r="R7" s="43">
        <f>distribuicao!E36</f>
        <v>7</v>
      </c>
      <c r="S7" s="42">
        <f>distribuicao!E36/distribuicao!C9</f>
        <v>5.9829059829059832E-2</v>
      </c>
      <c r="T7" s="43">
        <f>distribuicao!F34</f>
        <v>29</v>
      </c>
      <c r="U7" s="42">
        <f>distribuicao!F34/distribuicao!C9</f>
        <v>0.24786324786324787</v>
      </c>
      <c r="V7" s="43">
        <f>distribuicao!F35</f>
        <v>0</v>
      </c>
      <c r="W7" s="42">
        <f>distribuicao!F35/distribuicao!C9</f>
        <v>0</v>
      </c>
      <c r="X7" s="43">
        <f>distribuicao!F36</f>
        <v>4</v>
      </c>
      <c r="Y7" s="42">
        <f>distribuicao!F36/distribuicao!C9</f>
        <v>3.4188034188034191E-2</v>
      </c>
      <c r="Z7" s="43">
        <f>distribuicao!G34</f>
        <v>13</v>
      </c>
      <c r="AA7" s="42">
        <f>distribuicao!G34/distribuicao!C9</f>
        <v>0.1111111111111111</v>
      </c>
      <c r="AB7" s="43">
        <f>distribuicao!G35</f>
        <v>2</v>
      </c>
      <c r="AC7" s="42">
        <f>distribuicao!G35/distribuicao!C9</f>
        <v>1.7094017094017096E-2</v>
      </c>
      <c r="AD7" s="43">
        <f>distribuicao!G36</f>
        <v>3</v>
      </c>
      <c r="AE7" s="42">
        <f>distribuicao!G36/distribuicao!C9</f>
        <v>2.564102564102564E-2</v>
      </c>
      <c r="AF7" s="43">
        <f>distribuicao!H34</f>
        <v>0</v>
      </c>
      <c r="AG7" s="42">
        <f>distribuicao!H34/distribuicao!C9</f>
        <v>0</v>
      </c>
      <c r="AH7" s="43">
        <f>distribuicao!H35</f>
        <v>5</v>
      </c>
      <c r="AI7" s="42">
        <f>distribuicao!H35/distribuicao!C9</f>
        <v>4.2735042735042736E-2</v>
      </c>
      <c r="AJ7" s="43">
        <f>distribuicao!H36</f>
        <v>4</v>
      </c>
      <c r="AK7" s="42">
        <f>distribuicao!H36/distribuicao!C9</f>
        <v>3.4188034188034191E-2</v>
      </c>
      <c r="AL7" s="37">
        <f t="shared" si="1"/>
        <v>117</v>
      </c>
      <c r="AM7" s="38">
        <f t="shared" si="0"/>
        <v>1</v>
      </c>
    </row>
    <row r="8" spans="1:39" x14ac:dyDescent="0.2">
      <c r="A8" s="34" t="s">
        <v>7</v>
      </c>
      <c r="B8" s="35">
        <f>distribuicao!K6</f>
        <v>0</v>
      </c>
      <c r="C8" s="36">
        <f>distribuicao!K6/distribuicao!C9</f>
        <v>0</v>
      </c>
      <c r="D8" s="35">
        <f>distribuicao!K7</f>
        <v>0</v>
      </c>
      <c r="E8" s="36">
        <f>distribuicao!K7/distribuicao!C9</f>
        <v>0</v>
      </c>
      <c r="F8" s="35">
        <f>distribuicao!K8</f>
        <v>4</v>
      </c>
      <c r="G8" s="36">
        <f>distribuicao!K8/distribuicao!C9</f>
        <v>3.4188034188034191E-2</v>
      </c>
      <c r="H8" s="35">
        <f>distribuicao!L6</f>
        <v>0</v>
      </c>
      <c r="I8" s="36">
        <f>distribuicao!L6/distribuicao!C9</f>
        <v>0</v>
      </c>
      <c r="J8" s="35">
        <f>distribuicao!L7</f>
        <v>0</v>
      </c>
      <c r="K8" s="36">
        <f>distribuicao!L7/distribuicao!C9</f>
        <v>0</v>
      </c>
      <c r="L8" s="35">
        <f>distribuicao!L8</f>
        <v>5</v>
      </c>
      <c r="M8" s="36">
        <f>distribuicao!L8/distribuicao!C9</f>
        <v>4.2735042735042736E-2</v>
      </c>
      <c r="N8" s="35">
        <f>distribuicao!M6</f>
        <v>41</v>
      </c>
      <c r="O8" s="36">
        <f>distribuicao!M6/distribuicao!C9</f>
        <v>0.3504273504273504</v>
      </c>
      <c r="P8" s="35">
        <f>distribuicao!M7</f>
        <v>2</v>
      </c>
      <c r="Q8" s="36">
        <f>distribuicao!M7/distribuicao!C9</f>
        <v>1.7094017094017096E-2</v>
      </c>
      <c r="R8" s="35">
        <f>distribuicao!M8</f>
        <v>5</v>
      </c>
      <c r="S8" s="36">
        <f>distribuicao!M8/distribuicao!C9</f>
        <v>4.2735042735042736E-2</v>
      </c>
      <c r="T8" s="35">
        <f>distribuicao!N6</f>
        <v>26</v>
      </c>
      <c r="U8" s="36">
        <f>distribuicao!N6/distribuicao!C9</f>
        <v>0.22222222222222221</v>
      </c>
      <c r="V8" s="35">
        <f>distribuicao!N7</f>
        <v>5</v>
      </c>
      <c r="W8" s="36">
        <f>distribuicao!N7/distribuicao!C9</f>
        <v>4.2735042735042736E-2</v>
      </c>
      <c r="X8" s="35">
        <f>distribuicao!N8</f>
        <v>2</v>
      </c>
      <c r="Y8" s="36">
        <f>distribuicao!N8/distribuicao!C9</f>
        <v>1.7094017094017096E-2</v>
      </c>
      <c r="Z8" s="35">
        <f>distribuicao!O6</f>
        <v>14</v>
      </c>
      <c r="AA8" s="36">
        <f>distribuicao!O6/distribuicao!C9</f>
        <v>0.11965811965811966</v>
      </c>
      <c r="AB8" s="35">
        <f>distribuicao!O7</f>
        <v>2</v>
      </c>
      <c r="AC8" s="36">
        <f>distribuicao!O7/distribuicao!C9</f>
        <v>1.7094017094017096E-2</v>
      </c>
      <c r="AD8" s="35">
        <f>distribuicao!O8</f>
        <v>2</v>
      </c>
      <c r="AE8" s="36">
        <f>distribuicao!O8/distribuicao!C9</f>
        <v>1.7094017094017096E-2</v>
      </c>
      <c r="AF8" s="35">
        <f>distribuicao!P6</f>
        <v>9</v>
      </c>
      <c r="AG8" s="36">
        <f>distribuicao!P6/distribuicao!C9</f>
        <v>7.6923076923076927E-2</v>
      </c>
      <c r="AH8" s="35">
        <f>distribuicao!P7</f>
        <v>0</v>
      </c>
      <c r="AI8" s="36">
        <f>distribuicao!P7/distribuicao!C9</f>
        <v>0</v>
      </c>
      <c r="AJ8" s="35">
        <f>distribuicao!P8</f>
        <v>0</v>
      </c>
      <c r="AK8" s="36">
        <f>distribuicao!P8/distribuicao!C9</f>
        <v>0</v>
      </c>
      <c r="AL8" s="37">
        <f t="shared" si="1"/>
        <v>117</v>
      </c>
      <c r="AM8" s="38">
        <f t="shared" si="0"/>
        <v>1</v>
      </c>
    </row>
    <row r="9" spans="1:39" x14ac:dyDescent="0.2">
      <c r="A9" s="34" t="s">
        <v>8</v>
      </c>
      <c r="B9" s="43">
        <f>distribuicao!K13</f>
        <v>0</v>
      </c>
      <c r="C9" s="42">
        <f>distribuicao!K13/distribuicao!C9</f>
        <v>0</v>
      </c>
      <c r="D9" s="43">
        <f>distribuicao!K14</f>
        <v>0</v>
      </c>
      <c r="E9" s="42">
        <f>distribuicao!K14/distribuicao!C9</f>
        <v>0</v>
      </c>
      <c r="F9" s="43">
        <f>distribuicao!K15</f>
        <v>4</v>
      </c>
      <c r="G9" s="42">
        <f>distribuicao!K15/distribuicao!C9</f>
        <v>3.4188034188034191E-2</v>
      </c>
      <c r="H9" s="43">
        <f>distribuicao!L13</f>
        <v>0</v>
      </c>
      <c r="I9" s="42">
        <f>distribuicao!L13/distribuicao!C9</f>
        <v>0</v>
      </c>
      <c r="J9" s="43">
        <f>distribuicao!L14</f>
        <v>0</v>
      </c>
      <c r="K9" s="42">
        <f>distribuicao!L14/distribuicao!C9</f>
        <v>0</v>
      </c>
      <c r="L9" s="43">
        <f>distribuicao!L15</f>
        <v>5</v>
      </c>
      <c r="M9" s="42">
        <f>distribuicao!L15/distribuicao!C9</f>
        <v>4.2735042735042736E-2</v>
      </c>
      <c r="N9" s="43">
        <f>distribuicao!M13</f>
        <v>40</v>
      </c>
      <c r="O9" s="42">
        <f>distribuicao!M13/distribuicao!C9</f>
        <v>0.34188034188034189</v>
      </c>
      <c r="P9" s="43">
        <f>distribuicao!M14</f>
        <v>2</v>
      </c>
      <c r="Q9" s="42">
        <f>distribuicao!M14/distribuicao!C9</f>
        <v>1.7094017094017096E-2</v>
      </c>
      <c r="R9" s="43">
        <f>distribuicao!M15</f>
        <v>6</v>
      </c>
      <c r="S9" s="42">
        <f>distribuicao!M15/distribuicao!C9</f>
        <v>5.128205128205128E-2</v>
      </c>
      <c r="T9" s="43">
        <f>distribuicao!N13</f>
        <v>29</v>
      </c>
      <c r="U9" s="42">
        <f>distribuicao!N13/distribuicao!C9</f>
        <v>0.24786324786324787</v>
      </c>
      <c r="V9" s="43">
        <f>distribuicao!N14</f>
        <v>2</v>
      </c>
      <c r="W9" s="42">
        <f>distribuicao!N14/distribuicao!C9</f>
        <v>1.7094017094017096E-2</v>
      </c>
      <c r="X9" s="43">
        <f>distribuicao!N15</f>
        <v>2</v>
      </c>
      <c r="Y9" s="42">
        <f>distribuicao!N15/distribuicao!C9</f>
        <v>1.7094017094017096E-2</v>
      </c>
      <c r="Z9" s="43">
        <f>distribuicao!O13</f>
        <v>15</v>
      </c>
      <c r="AA9" s="42">
        <f>distribuicao!O13/distribuicao!C9</f>
        <v>0.12820512820512819</v>
      </c>
      <c r="AB9" s="43">
        <f>distribuicao!O14</f>
        <v>2</v>
      </c>
      <c r="AC9" s="42">
        <f>distribuicao!O14/distribuicao!C9</f>
        <v>1.7094017094017096E-2</v>
      </c>
      <c r="AD9" s="43">
        <f>distribuicao!O15</f>
        <v>1</v>
      </c>
      <c r="AE9" s="42">
        <f>distribuicao!O15/distribuicao!C9</f>
        <v>8.5470085470085479E-3</v>
      </c>
      <c r="AF9" s="43">
        <f>distribuicao!P13</f>
        <v>7</v>
      </c>
      <c r="AG9" s="42">
        <f>distribuicao!P13/distribuicao!C9</f>
        <v>5.9829059829059832E-2</v>
      </c>
      <c r="AH9" s="43">
        <f>distribuicao!P14</f>
        <v>2</v>
      </c>
      <c r="AI9" s="42">
        <f>distribuicao!P14/distribuicao!C9</f>
        <v>1.7094017094017096E-2</v>
      </c>
      <c r="AJ9" s="43">
        <f>distribuicao!P15</f>
        <v>0</v>
      </c>
      <c r="AK9" s="42">
        <f>distribuicao!P15/distribuicao!C9</f>
        <v>0</v>
      </c>
      <c r="AL9" s="37">
        <f t="shared" si="1"/>
        <v>117</v>
      </c>
      <c r="AM9" s="38">
        <f t="shared" si="0"/>
        <v>1.0000000000000002</v>
      </c>
    </row>
    <row r="10" spans="1:39" x14ac:dyDescent="0.2">
      <c r="A10" s="34" t="s">
        <v>9</v>
      </c>
      <c r="B10" s="43">
        <f>distribuicao!K20</f>
        <v>3</v>
      </c>
      <c r="C10" s="42">
        <f>distribuicao!K20/distribuicao!C9</f>
        <v>2.564102564102564E-2</v>
      </c>
      <c r="D10" s="43">
        <f>distribuicao!K21</f>
        <v>1</v>
      </c>
      <c r="E10" s="42">
        <f>distribuicao!K21/distribuicao!C9</f>
        <v>8.5470085470085479E-3</v>
      </c>
      <c r="F10" s="43">
        <f>distribuicao!K22</f>
        <v>0</v>
      </c>
      <c r="G10" s="42">
        <f>distribuicao!K22/distribuicao!C9</f>
        <v>0</v>
      </c>
      <c r="H10" s="43">
        <f>distribuicao!L20</f>
        <v>5</v>
      </c>
      <c r="I10" s="42">
        <f>distribuicao!L20/distribuicao!C9</f>
        <v>4.2735042735042736E-2</v>
      </c>
      <c r="J10" s="43">
        <f>distribuicao!L21</f>
        <v>0</v>
      </c>
      <c r="K10" s="42">
        <f>distribuicao!L21/distribuicao!C9</f>
        <v>0</v>
      </c>
      <c r="L10" s="43">
        <f>distribuicao!L22</f>
        <v>0</v>
      </c>
      <c r="M10" s="42">
        <f>distribuicao!L22/distribuicao!C9</f>
        <v>0</v>
      </c>
      <c r="N10" s="43">
        <f>distribuicao!M20</f>
        <v>42</v>
      </c>
      <c r="O10" s="42">
        <f>distribuicao!M20/distribuicao!C9</f>
        <v>0.35897435897435898</v>
      </c>
      <c r="P10" s="43">
        <f>distribuicao!M21</f>
        <v>5</v>
      </c>
      <c r="Q10" s="42">
        <f>distribuicao!M21/distribuicao!C9</f>
        <v>4.2735042735042736E-2</v>
      </c>
      <c r="R10" s="43">
        <f>distribuicao!M22</f>
        <v>1</v>
      </c>
      <c r="S10" s="42">
        <f>distribuicao!M22/distribuicao!C9</f>
        <v>8.5470085470085479E-3</v>
      </c>
      <c r="T10" s="43">
        <f>distribuicao!N20</f>
        <v>32</v>
      </c>
      <c r="U10" s="42">
        <f>distribuicao!N20/distribuicao!C9</f>
        <v>0.27350427350427353</v>
      </c>
      <c r="V10" s="43">
        <f>distribuicao!N21</f>
        <v>1</v>
      </c>
      <c r="W10" s="42">
        <f>distribuicao!N21/distribuicao!C9</f>
        <v>8.5470085470085479E-3</v>
      </c>
      <c r="X10" s="43">
        <f>distribuicao!N22</f>
        <v>0</v>
      </c>
      <c r="Y10" s="42">
        <f>distribuicao!N22/distribuicao!C9</f>
        <v>0</v>
      </c>
      <c r="Z10" s="43">
        <f>distribuicao!O20</f>
        <v>18</v>
      </c>
      <c r="AA10" s="42">
        <f>distribuicao!O20/distribuicao!C9</f>
        <v>0.15384615384615385</v>
      </c>
      <c r="AB10" s="43">
        <f>distribuicao!O21</f>
        <v>0</v>
      </c>
      <c r="AC10" s="42">
        <f>distribuicao!O21/distribuicao!C9</f>
        <v>0</v>
      </c>
      <c r="AD10" s="43">
        <f>distribuicao!O22</f>
        <v>0</v>
      </c>
      <c r="AE10" s="42">
        <f>distribuicao!O22/distribuicao!C9</f>
        <v>0</v>
      </c>
      <c r="AF10" s="43">
        <f>distribuicao!P20</f>
        <v>9</v>
      </c>
      <c r="AG10" s="42">
        <f>distribuicao!P20/distribuicao!C9</f>
        <v>7.6923076923076927E-2</v>
      </c>
      <c r="AH10" s="43">
        <f>distribuicao!P21</f>
        <v>0</v>
      </c>
      <c r="AI10" s="42">
        <f>distribuicao!P21/distribuicao!C9</f>
        <v>0</v>
      </c>
      <c r="AJ10" s="43">
        <f>distribuicao!P22</f>
        <v>0</v>
      </c>
      <c r="AK10" s="42">
        <f>distribuicao!P22/distribuicao!C9</f>
        <v>0</v>
      </c>
      <c r="AL10" s="37">
        <f t="shared" si="1"/>
        <v>117</v>
      </c>
      <c r="AM10" s="38">
        <f t="shared" si="0"/>
        <v>1</v>
      </c>
    </row>
    <row r="11" spans="1:39" x14ac:dyDescent="0.2">
      <c r="A11" s="34" t="s">
        <v>10</v>
      </c>
      <c r="B11" s="35">
        <f>distribuicao!K27</f>
        <v>0</v>
      </c>
      <c r="C11" s="36">
        <f>distribuicao!K27/distribuicao!C9</f>
        <v>0</v>
      </c>
      <c r="D11" s="35">
        <f>distribuicao!K28</f>
        <v>2</v>
      </c>
      <c r="E11" s="36">
        <f>distribuicao!K28/distribuicao!C9</f>
        <v>1.7094017094017096E-2</v>
      </c>
      <c r="F11" s="35">
        <f>distribuicao!K29</f>
        <v>2</v>
      </c>
      <c r="G11" s="36">
        <f>distribuicao!K29/distribuicao!C9</f>
        <v>1.7094017094017096E-2</v>
      </c>
      <c r="H11" s="35">
        <f>distribuicao!L27</f>
        <v>1</v>
      </c>
      <c r="I11" s="36">
        <f>distribuicao!L27/distribuicao!C9</f>
        <v>8.5470085470085479E-3</v>
      </c>
      <c r="J11" s="35">
        <f>distribuicao!L28</f>
        <v>3</v>
      </c>
      <c r="K11" s="36">
        <f>distribuicao!L28/distribuicao!C9</f>
        <v>2.564102564102564E-2</v>
      </c>
      <c r="L11" s="35">
        <f>distribuicao!L29</f>
        <v>1</v>
      </c>
      <c r="M11" s="36">
        <f>distribuicao!L29/distribuicao!C9</f>
        <v>8.5470085470085479E-3</v>
      </c>
      <c r="N11" s="35">
        <f>distribuicao!M27</f>
        <v>42</v>
      </c>
      <c r="O11" s="36">
        <f>distribuicao!M27/distribuicao!C9</f>
        <v>0.35897435897435898</v>
      </c>
      <c r="P11" s="35">
        <f>distribuicao!M28</f>
        <v>4</v>
      </c>
      <c r="Q11" s="36">
        <f>distribuicao!M28/distribuicao!C9</f>
        <v>3.4188034188034191E-2</v>
      </c>
      <c r="R11" s="35">
        <f>distribuicao!M29</f>
        <v>2</v>
      </c>
      <c r="S11" s="36">
        <f>distribuicao!M29/distribuicao!C9</f>
        <v>1.7094017094017096E-2</v>
      </c>
      <c r="T11" s="35">
        <f>distribuicao!N27</f>
        <v>30</v>
      </c>
      <c r="U11" s="36">
        <f>distribuicao!N27/distribuicao!C9</f>
        <v>0.25641025641025639</v>
      </c>
      <c r="V11" s="35">
        <f>distribuicao!N28</f>
        <v>1</v>
      </c>
      <c r="W11" s="36">
        <f>distribuicao!N28/distribuicao!C9</f>
        <v>8.5470085470085479E-3</v>
      </c>
      <c r="X11" s="35">
        <f>distribuicao!N29</f>
        <v>2</v>
      </c>
      <c r="Y11" s="36">
        <f>distribuicao!N29/distribuicao!C9</f>
        <v>1.7094017094017096E-2</v>
      </c>
      <c r="Z11" s="35">
        <f>distribuicao!O27</f>
        <v>15</v>
      </c>
      <c r="AA11" s="36">
        <f>distribuicao!O27/distribuicao!C9</f>
        <v>0.12820512820512819</v>
      </c>
      <c r="AB11" s="35">
        <f>distribuicao!O28</f>
        <v>3</v>
      </c>
      <c r="AC11" s="36">
        <f>distribuicao!O28/distribuicao!C9</f>
        <v>2.564102564102564E-2</v>
      </c>
      <c r="AD11" s="35">
        <f>distribuicao!O29</f>
        <v>0</v>
      </c>
      <c r="AE11" s="36">
        <f>distribuicao!O29/distribuicao!C9</f>
        <v>0</v>
      </c>
      <c r="AF11" s="35">
        <f>distribuicao!P27</f>
        <v>6</v>
      </c>
      <c r="AG11" s="36">
        <f>distribuicao!P27/distribuicao!C9</f>
        <v>5.128205128205128E-2</v>
      </c>
      <c r="AH11" s="35">
        <f>distribuicao!P28</f>
        <v>1</v>
      </c>
      <c r="AI11" s="36">
        <f>distribuicao!P28/distribuicao!C9</f>
        <v>8.5470085470085479E-3</v>
      </c>
      <c r="AJ11" s="35">
        <f>distribuicao!P29</f>
        <v>2</v>
      </c>
      <c r="AK11" s="36">
        <f>distribuicao!P29/distribuicao!C9</f>
        <v>1.7094017094017096E-2</v>
      </c>
      <c r="AL11" s="37">
        <f t="shared" si="1"/>
        <v>117</v>
      </c>
      <c r="AM11" s="38">
        <f t="shared" si="0"/>
        <v>1</v>
      </c>
    </row>
    <row r="12" spans="1:39" x14ac:dyDescent="0.2">
      <c r="A12" s="34" t="s">
        <v>11</v>
      </c>
      <c r="B12" s="43">
        <f>distribuicao!K34</f>
        <v>4</v>
      </c>
      <c r="C12" s="42">
        <f>distribuicao!K34/distribuicao!C9</f>
        <v>3.4188034188034191E-2</v>
      </c>
      <c r="D12" s="43">
        <f>distribuicao!K35</f>
        <v>0</v>
      </c>
      <c r="E12" s="42">
        <f>distribuicao!K35/distribuicao!C9</f>
        <v>0</v>
      </c>
      <c r="F12" s="43">
        <f>distribuicao!K36</f>
        <v>0</v>
      </c>
      <c r="G12" s="42">
        <f>distribuicao!K36/distribuicao!C9</f>
        <v>0</v>
      </c>
      <c r="H12" s="43">
        <f>distribuicao!L34</f>
        <v>5</v>
      </c>
      <c r="I12" s="42">
        <f>distribuicao!L34/distribuicao!C9</f>
        <v>4.2735042735042736E-2</v>
      </c>
      <c r="J12" s="43">
        <f>distribuicao!L35</f>
        <v>0</v>
      </c>
      <c r="K12" s="42">
        <f>distribuicao!L35/distribuicao!C9</f>
        <v>0</v>
      </c>
      <c r="L12" s="43">
        <f>distribuicao!L36</f>
        <v>0</v>
      </c>
      <c r="M12" s="42">
        <f>distribuicao!L36/distribuicao!C9</f>
        <v>0</v>
      </c>
      <c r="N12" s="43">
        <f>distribuicao!M34</f>
        <v>47</v>
      </c>
      <c r="O12" s="42">
        <f>distribuicao!M34/distribuicao!C9</f>
        <v>0.40170940170940173</v>
      </c>
      <c r="P12" s="43">
        <f>distribuicao!M35</f>
        <v>0</v>
      </c>
      <c r="Q12" s="42">
        <f>distribuicao!M35/distribuicao!C9</f>
        <v>0</v>
      </c>
      <c r="R12" s="43">
        <f>distribuicao!M36</f>
        <v>1</v>
      </c>
      <c r="S12" s="42">
        <f>distribuicao!M36/distribuicao!C9</f>
        <v>8.5470085470085479E-3</v>
      </c>
      <c r="T12" s="43">
        <f>distribuicao!N34</f>
        <v>33</v>
      </c>
      <c r="U12" s="42">
        <f>distribuicao!N34/distribuicao!C9</f>
        <v>0.28205128205128205</v>
      </c>
      <c r="V12" s="43">
        <f>distribuicao!N35</f>
        <v>0</v>
      </c>
      <c r="W12" s="42">
        <f>distribuicao!N35/distribuicao!C9</f>
        <v>0</v>
      </c>
      <c r="X12" s="43">
        <f>distribuicao!N36</f>
        <v>0</v>
      </c>
      <c r="Y12" s="42">
        <f>distribuicao!N36/distribuicao!C9</f>
        <v>0</v>
      </c>
      <c r="Z12" s="43">
        <f>distribuicao!O34</f>
        <v>18</v>
      </c>
      <c r="AA12" s="42">
        <f>distribuicao!O34/distribuicao!C9</f>
        <v>0.15384615384615385</v>
      </c>
      <c r="AB12" s="43">
        <f>distribuicao!O35</f>
        <v>0</v>
      </c>
      <c r="AC12" s="42">
        <f>distribuicao!O35/distribuicao!C9</f>
        <v>0</v>
      </c>
      <c r="AD12" s="43">
        <f>distribuicao!O36</f>
        <v>0</v>
      </c>
      <c r="AE12" s="42">
        <f>distribuicao!O36/distribuicao!C9</f>
        <v>0</v>
      </c>
      <c r="AF12" s="43">
        <f>distribuicao!P34</f>
        <v>9</v>
      </c>
      <c r="AG12" s="42">
        <f>distribuicao!P34/distribuicao!C9</f>
        <v>7.6923076923076927E-2</v>
      </c>
      <c r="AH12" s="43">
        <f>distribuicao!P35</f>
        <v>0</v>
      </c>
      <c r="AI12" s="42">
        <f>distribuicao!P35/distribuicao!C9</f>
        <v>0</v>
      </c>
      <c r="AJ12" s="43">
        <f>distribuicao!P36</f>
        <v>0</v>
      </c>
      <c r="AK12" s="42">
        <f>distribuicao!P36/distribuicao!C9</f>
        <v>0</v>
      </c>
      <c r="AL12" s="37">
        <f t="shared" si="1"/>
        <v>117</v>
      </c>
      <c r="AM12" s="38">
        <f>SUM(C12,E12,G12,I12,K12,M12,O12,Q12,S12,U12,W12,Y12,AA12,AC12,AE12,AG12,AI12,AK12)</f>
        <v>1</v>
      </c>
    </row>
    <row r="13" spans="1:39" x14ac:dyDescent="0.2">
      <c r="AM13" s="38"/>
    </row>
    <row r="14" spans="1:39" x14ac:dyDescent="0.2">
      <c r="B14" s="37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Lima Daniele</dc:creator>
  <dc:description/>
  <cp:lastModifiedBy>Daniele Lima</cp:lastModifiedBy>
  <cp:revision>1</cp:revision>
  <dcterms:created xsi:type="dcterms:W3CDTF">2019-04-03T14:47:22Z</dcterms:created>
  <dcterms:modified xsi:type="dcterms:W3CDTF">2019-04-09T23:12:34Z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