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1D6DE9EB-AFB4-4AB8-B8C4-D26465216B99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O36" i="2"/>
  <c r="AD12" i="3" s="1"/>
  <c r="N36" i="2"/>
  <c r="M36" i="2"/>
  <c r="L36" i="2"/>
  <c r="K36" i="2"/>
  <c r="F12" i="3" s="1"/>
  <c r="H36" i="2"/>
  <c r="G36" i="2"/>
  <c r="F36" i="2"/>
  <c r="E36" i="2"/>
  <c r="R7" i="3" s="1"/>
  <c r="D36" i="2"/>
  <c r="C36" i="2"/>
  <c r="P35" i="2"/>
  <c r="O35" i="2"/>
  <c r="N35" i="2"/>
  <c r="V12" i="3" s="1"/>
  <c r="M35" i="2"/>
  <c r="L35" i="2"/>
  <c r="K35" i="2"/>
  <c r="H35" i="2"/>
  <c r="AH7" i="3" s="1"/>
  <c r="G35" i="2"/>
  <c r="F35" i="2"/>
  <c r="E35" i="2"/>
  <c r="D35" i="2"/>
  <c r="J7" i="3" s="1"/>
  <c r="C35" i="2"/>
  <c r="P34" i="2"/>
  <c r="O34" i="2"/>
  <c r="N34" i="2"/>
  <c r="M34" i="2"/>
  <c r="N12" i="3" s="1"/>
  <c r="L34" i="2"/>
  <c r="K34" i="2"/>
  <c r="H34" i="2"/>
  <c r="G34" i="2"/>
  <c r="Z7" i="3" s="1"/>
  <c r="F34" i="2"/>
  <c r="E34" i="2"/>
  <c r="D34" i="2"/>
  <c r="C34" i="2"/>
  <c r="B7" i="3" s="1"/>
  <c r="P29" i="2"/>
  <c r="O29" i="2"/>
  <c r="N29" i="2"/>
  <c r="M29" i="2"/>
  <c r="R11" i="3" s="1"/>
  <c r="L29" i="2"/>
  <c r="K29" i="2"/>
  <c r="H29" i="2"/>
  <c r="G29" i="2"/>
  <c r="AD6" i="3" s="1"/>
  <c r="F29" i="2"/>
  <c r="E29" i="2"/>
  <c r="D29" i="2"/>
  <c r="C29" i="2"/>
  <c r="F6" i="3" s="1"/>
  <c r="P28" i="2"/>
  <c r="AH11" i="3" s="1"/>
  <c r="O28" i="2"/>
  <c r="N28" i="2"/>
  <c r="M28" i="2"/>
  <c r="L28" i="2"/>
  <c r="J11" i="3" s="1"/>
  <c r="K28" i="2"/>
  <c r="H28" i="2"/>
  <c r="G28" i="2"/>
  <c r="F28" i="2"/>
  <c r="V6" i="3" s="1"/>
  <c r="E28" i="2"/>
  <c r="D28" i="2"/>
  <c r="C28" i="2"/>
  <c r="P27" i="2"/>
  <c r="O27" i="2"/>
  <c r="Z11" i="3" s="1"/>
  <c r="N27" i="2"/>
  <c r="M27" i="2"/>
  <c r="L27" i="2"/>
  <c r="K27" i="2"/>
  <c r="B11" i="3" s="1"/>
  <c r="H27" i="2"/>
  <c r="G27" i="2"/>
  <c r="F27" i="2"/>
  <c r="E27" i="2"/>
  <c r="N6" i="3" s="1"/>
  <c r="D27" i="2"/>
  <c r="C27" i="2"/>
  <c r="P22" i="2"/>
  <c r="O22" i="2"/>
  <c r="AD10" i="3" s="1"/>
  <c r="N22" i="2"/>
  <c r="M22" i="2"/>
  <c r="L22" i="2"/>
  <c r="K22" i="2"/>
  <c r="F10" i="3" s="1"/>
  <c r="H22" i="2"/>
  <c r="G22" i="2"/>
  <c r="F22" i="2"/>
  <c r="E22" i="2"/>
  <c r="R5" i="3" s="1"/>
  <c r="D22" i="2"/>
  <c r="C22" i="2"/>
  <c r="P21" i="2"/>
  <c r="O21" i="2"/>
  <c r="N21" i="2"/>
  <c r="V10" i="3" s="1"/>
  <c r="M21" i="2"/>
  <c r="L21" i="2"/>
  <c r="K21" i="2"/>
  <c r="H21" i="2"/>
  <c r="AH5" i="3" s="1"/>
  <c r="G21" i="2"/>
  <c r="F21" i="2"/>
  <c r="E21" i="2"/>
  <c r="D21" i="2"/>
  <c r="J5" i="3" s="1"/>
  <c r="C21" i="2"/>
  <c r="P20" i="2"/>
  <c r="O20" i="2"/>
  <c r="N20" i="2"/>
  <c r="M20" i="2"/>
  <c r="N10" i="3" s="1"/>
  <c r="L20" i="2"/>
  <c r="K20" i="2"/>
  <c r="H20" i="2"/>
  <c r="G20" i="2"/>
  <c r="Z5" i="3" s="1"/>
  <c r="F20" i="2"/>
  <c r="E20" i="2"/>
  <c r="D20" i="2"/>
  <c r="C20" i="2"/>
  <c r="B5" i="3" s="1"/>
  <c r="P15" i="2"/>
  <c r="O15" i="2"/>
  <c r="N15" i="2"/>
  <c r="M15" i="2"/>
  <c r="R9" i="3" s="1"/>
  <c r="L15" i="2"/>
  <c r="K15" i="2"/>
  <c r="H15" i="2"/>
  <c r="G15" i="2"/>
  <c r="AD4" i="3" s="1"/>
  <c r="F15" i="2"/>
  <c r="E15" i="2"/>
  <c r="D15" i="2"/>
  <c r="C15" i="2"/>
  <c r="P14" i="2"/>
  <c r="AH9" i="3" s="1"/>
  <c r="O14" i="2"/>
  <c r="N14" i="2"/>
  <c r="M14" i="2"/>
  <c r="L14" i="2"/>
  <c r="J9" i="3" s="1"/>
  <c r="K14" i="2"/>
  <c r="H14" i="2"/>
  <c r="G14" i="2"/>
  <c r="F14" i="2"/>
  <c r="V4" i="3" s="1"/>
  <c r="E14" i="2"/>
  <c r="D14" i="2"/>
  <c r="C14" i="2"/>
  <c r="D4" i="3" s="1"/>
  <c r="P13" i="2"/>
  <c r="O13" i="2"/>
  <c r="Z9" i="3" s="1"/>
  <c r="N13" i="2"/>
  <c r="M13" i="2"/>
  <c r="L13" i="2"/>
  <c r="K13" i="2"/>
  <c r="B9" i="3" s="1"/>
  <c r="H13" i="2"/>
  <c r="G13" i="2"/>
  <c r="F13" i="2"/>
  <c r="E13" i="2"/>
  <c r="N4" i="3" s="1"/>
  <c r="D13" i="2"/>
  <c r="H4" i="3" s="1"/>
  <c r="C13" i="2"/>
  <c r="B4" i="3" s="1"/>
  <c r="P8" i="2"/>
  <c r="O8" i="2"/>
  <c r="AD8" i="3" s="1"/>
  <c r="N8" i="2"/>
  <c r="M8" i="2"/>
  <c r="L8" i="2"/>
  <c r="K8" i="2"/>
  <c r="F8" i="3" s="1"/>
  <c r="H8" i="2"/>
  <c r="G8" i="2"/>
  <c r="F8" i="2"/>
  <c r="X3" i="3" s="1"/>
  <c r="E8" i="2"/>
  <c r="R3" i="3" s="1"/>
  <c r="D8" i="2"/>
  <c r="C8" i="2"/>
  <c r="F3" i="3" s="1"/>
  <c r="P7" i="2"/>
  <c r="O7" i="2"/>
  <c r="N7" i="2"/>
  <c r="V8" i="3" s="1"/>
  <c r="M7" i="2"/>
  <c r="L7" i="2"/>
  <c r="K7" i="2"/>
  <c r="H7" i="2"/>
  <c r="G7" i="2"/>
  <c r="AB3" i="3" s="1"/>
  <c r="F7" i="2"/>
  <c r="V3" i="3" s="1"/>
  <c r="E7" i="2"/>
  <c r="D7" i="2"/>
  <c r="J3" i="3" s="1"/>
  <c r="C7" i="2"/>
  <c r="P6" i="2"/>
  <c r="O6" i="2"/>
  <c r="N6" i="2"/>
  <c r="M6" i="2"/>
  <c r="N8" i="3" s="1"/>
  <c r="L6" i="2"/>
  <c r="K6" i="2"/>
  <c r="H6" i="2"/>
  <c r="G6" i="2"/>
  <c r="F6" i="2"/>
  <c r="E6" i="2"/>
  <c r="N3" i="3" s="1"/>
  <c r="D6" i="2"/>
  <c r="C6" i="2"/>
  <c r="B3" i="3" s="1"/>
  <c r="K37" i="2"/>
  <c r="C37" i="2"/>
  <c r="K30" i="2"/>
  <c r="C30" i="2"/>
  <c r="C16" i="2"/>
  <c r="AA4" i="3" l="1"/>
  <c r="I3" i="3"/>
  <c r="AI6" i="3"/>
  <c r="W9" i="3"/>
  <c r="O5" i="3"/>
  <c r="G11" i="3"/>
  <c r="AA12" i="3"/>
  <c r="AE5" i="3"/>
  <c r="AI3" i="3"/>
  <c r="S4" i="3"/>
  <c r="K8" i="3"/>
  <c r="AI10" i="3"/>
  <c r="AC4" i="3"/>
  <c r="AB4" i="3"/>
  <c r="AB5" i="3"/>
  <c r="E6" i="3"/>
  <c r="D6" i="3"/>
  <c r="AB6" i="3"/>
  <c r="Q11" i="3"/>
  <c r="P11" i="3"/>
  <c r="D7" i="3"/>
  <c r="AL7" i="3" s="1"/>
  <c r="AC7" i="3"/>
  <c r="AB7" i="3"/>
  <c r="P12" i="3"/>
  <c r="C3" i="3"/>
  <c r="S3" i="3"/>
  <c r="AH3" i="3"/>
  <c r="O4" i="3"/>
  <c r="K5" i="3"/>
  <c r="AE6" i="3"/>
  <c r="O8" i="3"/>
  <c r="K9" i="3"/>
  <c r="O10" i="3"/>
  <c r="Q10" i="3"/>
  <c r="P10" i="3"/>
  <c r="K16" i="2"/>
  <c r="AK3" i="3"/>
  <c r="T9" i="3"/>
  <c r="M4" i="3"/>
  <c r="L4" i="3"/>
  <c r="AJ4" i="3"/>
  <c r="Y9" i="3"/>
  <c r="X9" i="3"/>
  <c r="H5" i="3"/>
  <c r="AG5" i="3"/>
  <c r="AF5" i="3"/>
  <c r="T10" i="3"/>
  <c r="M5" i="3"/>
  <c r="L5" i="3"/>
  <c r="AJ5" i="3"/>
  <c r="Y10" i="3"/>
  <c r="X10" i="3"/>
  <c r="H6" i="3"/>
  <c r="AG6" i="3"/>
  <c r="AF6" i="3"/>
  <c r="T11" i="3"/>
  <c r="M6" i="3"/>
  <c r="L6" i="3"/>
  <c r="AJ6" i="3"/>
  <c r="Y11" i="3"/>
  <c r="X11" i="3"/>
  <c r="H7" i="3"/>
  <c r="AG7" i="3"/>
  <c r="AF7" i="3"/>
  <c r="T12" i="3"/>
  <c r="M7" i="3"/>
  <c r="L7" i="3"/>
  <c r="AJ7" i="3"/>
  <c r="Y12" i="3"/>
  <c r="X12" i="3"/>
  <c r="D3" i="3"/>
  <c r="AL3" i="3" s="1"/>
  <c r="H3" i="3"/>
  <c r="L3" i="3"/>
  <c r="P3" i="3"/>
  <c r="T3" i="3"/>
  <c r="AD3" i="3"/>
  <c r="J4" i="3"/>
  <c r="R4" i="3"/>
  <c r="Z4" i="3"/>
  <c r="AH4" i="3"/>
  <c r="F5" i="3"/>
  <c r="AL5" i="3" s="1"/>
  <c r="N5" i="3"/>
  <c r="V5" i="3"/>
  <c r="AD5" i="3"/>
  <c r="B6" i="3"/>
  <c r="J6" i="3"/>
  <c r="R6" i="3"/>
  <c r="Z6" i="3"/>
  <c r="AH6" i="3"/>
  <c r="F7" i="3"/>
  <c r="N7" i="3"/>
  <c r="V7" i="3"/>
  <c r="AD7" i="3"/>
  <c r="B8" i="3"/>
  <c r="J8" i="3"/>
  <c r="R8" i="3"/>
  <c r="Z8" i="3"/>
  <c r="AH8" i="3"/>
  <c r="F9" i="3"/>
  <c r="N9" i="3"/>
  <c r="V9" i="3"/>
  <c r="AD9" i="3"/>
  <c r="B10" i="3"/>
  <c r="J10" i="3"/>
  <c r="R10" i="3"/>
  <c r="Z10" i="3"/>
  <c r="AH10" i="3"/>
  <c r="F11" i="3"/>
  <c r="N11" i="3"/>
  <c r="V11" i="3"/>
  <c r="AD11" i="3"/>
  <c r="B12" i="3"/>
  <c r="J12" i="3"/>
  <c r="R12" i="3"/>
  <c r="Z12" i="3"/>
  <c r="AH12" i="3"/>
  <c r="Q8" i="3"/>
  <c r="P8" i="3"/>
  <c r="E4" i="3"/>
  <c r="Q9" i="3"/>
  <c r="P9" i="3"/>
  <c r="D5" i="3"/>
  <c r="U8" i="3"/>
  <c r="T8" i="3"/>
  <c r="X8" i="3"/>
  <c r="AG4" i="3"/>
  <c r="AF4" i="3"/>
  <c r="C9" i="2"/>
  <c r="E3" i="3" s="1"/>
  <c r="C23" i="2"/>
  <c r="E8" i="3"/>
  <c r="D8" i="3"/>
  <c r="AC8" i="3"/>
  <c r="AB8" i="3"/>
  <c r="Q4" i="3"/>
  <c r="P4" i="3"/>
  <c r="E9" i="3"/>
  <c r="D9" i="3"/>
  <c r="AL9" i="3" s="1"/>
  <c r="AC9" i="3"/>
  <c r="AB9" i="3"/>
  <c r="Q5" i="3"/>
  <c r="P5" i="3"/>
  <c r="E10" i="3"/>
  <c r="D10" i="3"/>
  <c r="AC10" i="3"/>
  <c r="AB10" i="3"/>
  <c r="Q6" i="3"/>
  <c r="P6" i="3"/>
  <c r="E11" i="3"/>
  <c r="D11" i="3"/>
  <c r="AL11" i="3" s="1"/>
  <c r="AC11" i="3"/>
  <c r="AB11" i="3"/>
  <c r="Q7" i="3"/>
  <c r="P7" i="3"/>
  <c r="E12" i="3"/>
  <c r="D12" i="3"/>
  <c r="AC12" i="3"/>
  <c r="AB12" i="3"/>
  <c r="Z3" i="3"/>
  <c r="AJ3" i="3"/>
  <c r="F4" i="3"/>
  <c r="AL4" i="3" s="1"/>
  <c r="AC3" i="3"/>
  <c r="K9" i="2"/>
  <c r="K23" i="2"/>
  <c r="I8" i="3"/>
  <c r="H8" i="3"/>
  <c r="AG8" i="3"/>
  <c r="AF8" i="3"/>
  <c r="Y3" i="3"/>
  <c r="M8" i="3"/>
  <c r="L8" i="3"/>
  <c r="AK8" i="3"/>
  <c r="AJ8" i="3"/>
  <c r="U4" i="3"/>
  <c r="T4" i="3"/>
  <c r="I9" i="3"/>
  <c r="H9" i="3"/>
  <c r="AG9" i="3"/>
  <c r="AF9" i="3"/>
  <c r="Y4" i="3"/>
  <c r="X4" i="3"/>
  <c r="M9" i="3"/>
  <c r="L9" i="3"/>
  <c r="AK9" i="3"/>
  <c r="AJ9" i="3"/>
  <c r="U5" i="3"/>
  <c r="T5" i="3"/>
  <c r="I10" i="3"/>
  <c r="H10" i="3"/>
  <c r="AG10" i="3"/>
  <c r="AF10" i="3"/>
  <c r="Y5" i="3"/>
  <c r="X5" i="3"/>
  <c r="M10" i="3"/>
  <c r="L10" i="3"/>
  <c r="AK10" i="3"/>
  <c r="AJ10" i="3"/>
  <c r="U6" i="3"/>
  <c r="T6" i="3"/>
  <c r="I11" i="3"/>
  <c r="H11" i="3"/>
  <c r="AG11" i="3"/>
  <c r="AF11" i="3"/>
  <c r="Y6" i="3"/>
  <c r="X6" i="3"/>
  <c r="M11" i="3"/>
  <c r="L11" i="3"/>
  <c r="AK11" i="3"/>
  <c r="AJ11" i="3"/>
  <c r="U7" i="3"/>
  <c r="T7" i="3"/>
  <c r="I12" i="3"/>
  <c r="H12" i="3"/>
  <c r="AG12" i="3"/>
  <c r="AF12" i="3"/>
  <c r="Y7" i="3"/>
  <c r="X7" i="3"/>
  <c r="M12" i="3"/>
  <c r="L12" i="3"/>
  <c r="AF3" i="3"/>
  <c r="AL6" i="3" l="1"/>
  <c r="AL12" i="3"/>
  <c r="AG3" i="3"/>
  <c r="O12" i="3"/>
  <c r="AI9" i="3"/>
  <c r="C9" i="3"/>
  <c r="G8" i="3"/>
  <c r="G6" i="3"/>
  <c r="C5" i="3"/>
  <c r="C4" i="3"/>
  <c r="O3" i="3"/>
  <c r="AI12" i="3"/>
  <c r="K10" i="3"/>
  <c r="U3" i="3"/>
  <c r="Q3" i="3"/>
  <c r="S12" i="3"/>
  <c r="G4" i="3"/>
  <c r="C12" i="3"/>
  <c r="S6" i="3"/>
  <c r="G9" i="3"/>
  <c r="AE7" i="3"/>
  <c r="S8" i="3"/>
  <c r="K6" i="3"/>
  <c r="G7" i="3"/>
  <c r="AE3" i="3"/>
  <c r="AL10" i="3"/>
  <c r="AK7" i="3"/>
  <c r="U12" i="3"/>
  <c r="I7" i="3"/>
  <c r="AK6" i="3"/>
  <c r="U11" i="3"/>
  <c r="I6" i="3"/>
  <c r="AK5" i="3"/>
  <c r="U10" i="3"/>
  <c r="I5" i="3"/>
  <c r="AK4" i="3"/>
  <c r="U9" i="3"/>
  <c r="S11" i="3"/>
  <c r="AA9" i="3"/>
  <c r="AE8" i="3"/>
  <c r="AA7" i="3"/>
  <c r="AI5" i="3"/>
  <c r="AE4" i="3"/>
  <c r="K3" i="3"/>
  <c r="Q12" i="3"/>
  <c r="E7" i="3"/>
  <c r="AC6" i="3"/>
  <c r="AC5" i="3"/>
  <c r="K12" i="3"/>
  <c r="W5" i="3"/>
  <c r="C10" i="3"/>
  <c r="AM10" i="3" s="1"/>
  <c r="C8" i="3"/>
  <c r="AA6" i="3"/>
  <c r="O9" i="3"/>
  <c r="O7" i="3"/>
  <c r="AI4" i="3"/>
  <c r="O11" i="3"/>
  <c r="AK12" i="3"/>
  <c r="AE12" i="3"/>
  <c r="W12" i="3"/>
  <c r="G12" i="3"/>
  <c r="AI11" i="3"/>
  <c r="AA11" i="3"/>
  <c r="K11" i="3"/>
  <c r="C11" i="3"/>
  <c r="AE10" i="3"/>
  <c r="G10" i="3"/>
  <c r="AI7" i="3"/>
  <c r="S7" i="3"/>
  <c r="K7" i="3"/>
  <c r="W6" i="3"/>
  <c r="O6" i="3"/>
  <c r="S5" i="3"/>
  <c r="Y8" i="3"/>
  <c r="E5" i="3"/>
  <c r="AL8" i="3"/>
  <c r="I4" i="3"/>
  <c r="W10" i="3"/>
  <c r="S9" i="3"/>
  <c r="W8" i="3"/>
  <c r="C7" i="3"/>
  <c r="AA5" i="3"/>
  <c r="W4" i="3"/>
  <c r="W3" i="3"/>
  <c r="G3" i="3"/>
  <c r="AM3" i="3" s="1"/>
  <c r="W7" i="3"/>
  <c r="AI8" i="3"/>
  <c r="AE9" i="3"/>
  <c r="K4" i="3"/>
  <c r="C6" i="3"/>
  <c r="AE11" i="3"/>
  <c r="AA10" i="3"/>
  <c r="AA8" i="3"/>
  <c r="G5" i="3"/>
  <c r="W11" i="3"/>
  <c r="M3" i="3"/>
  <c r="S10" i="3"/>
  <c r="AA3" i="3"/>
  <c r="AM6" i="3" l="1"/>
  <c r="AM7" i="3"/>
  <c r="AM11" i="3"/>
  <c r="AM12" i="3"/>
  <c r="AM4" i="3"/>
  <c r="AM9" i="3"/>
  <c r="AM8" i="3"/>
  <c r="AM5" i="3"/>
</calcChain>
</file>

<file path=xl/sharedStrings.xml><?xml version="1.0" encoding="utf-8"?>
<sst xmlns="http://schemas.openxmlformats.org/spreadsheetml/2006/main" count="663" uniqueCount="286">
  <si>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</si>
  <si>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</si>
  <si>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</si>
  <si>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</si>
  <si>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</si>
  <si>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</si>
  <si>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</si>
  <si>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</si>
  <si>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</si>
  <si>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</si>
  <si>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</si>
  <si>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</si>
  <si>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com.ivata.groupware.admin.AdminTestCase</t>
  </si>
  <si>
    <t>TENDRILS</t>
  </si>
  <si>
    <t>com.ivata.groupware.admin.script.ExternalScriptExecutor</t>
  </si>
  <si>
    <t>Disconnected</t>
  </si>
  <si>
    <t>com.ivata.groupware.admin.script.ScriptExecutor</t>
  </si>
  <si>
    <t>com.ivata.groupware.admin.security.addressbook.AddressBookSecurity</t>
  </si>
  <si>
    <t>com.ivata.groupware.admin.security.addressbook.AddressBookSecurityImpl</t>
  </si>
  <si>
    <t>com.ivata.groupware.admin.security.right.SecurityRights</t>
  </si>
  <si>
    <t>com.ivata.groupware.admin.security.right.SecurityRightsBean</t>
  </si>
  <si>
    <t>com.ivata.groupware.admin.security.right.SecurityRightsImpl</t>
  </si>
  <si>
    <t>com.ivata.groupware.admin.security.Security</t>
  </si>
  <si>
    <t>com.ivata.groupware.admin.security.SecurityBean</t>
  </si>
  <si>
    <t>com.ivata.groupware.admin.security.SecurityImpl</t>
  </si>
  <si>
    <t>com.ivata.groupware.admin.security.SecurityImplTest</t>
  </si>
  <si>
    <t>com.ivata.groupware.admin.security.server.AbstractSecuritySession</t>
  </si>
  <si>
    <t>com.ivata.groupware.admin.security.server.PlainTextSecurityServer</t>
  </si>
  <si>
    <t>com.ivata.groupware.admin.security.server.PlainTextSecuritySession</t>
  </si>
  <si>
    <t>com.ivata.groupware.admin.security.server.SecurityServer</t>
  </si>
  <si>
    <t>com.ivata.groupware.admin.security.server.SecurityServerException</t>
  </si>
  <si>
    <t>com.ivata.groupware.admin.security.server.SecuritySession</t>
  </si>
  <si>
    <t>com.ivata.groupware.admin.security.server.TestSecurityServer</t>
  </si>
  <si>
    <t>com.ivata.groupware.admin.security.server.TestSecuritySession</t>
  </si>
  <si>
    <t>com.ivata.groupware.admin.security.struts.JavaScriptAction</t>
  </si>
  <si>
    <t>com.ivata.groupware.admin.security.struts.LoginAction</t>
  </si>
  <si>
    <t>com.ivata.groupware.admin.security.struts.LoginGuestAction</t>
  </si>
  <si>
    <t>com.ivata.groupware.admin.security.struts.PasswordAction</t>
  </si>
  <si>
    <t>com.ivata.groupware.admin.security.user.UserConstants</t>
  </si>
  <si>
    <t>com.ivata.groupware.admin.security.user.UserDO</t>
  </si>
  <si>
    <t>com.ivata.groupware.admin.security.user.UserEvent</t>
  </si>
  <si>
    <t>com.ivata.groupware.admin.security.user.UserEventConstants</t>
  </si>
  <si>
    <t>com.ivata.groupware.admin.setting.right.SettingsRights</t>
  </si>
  <si>
    <t>com.ivata.groupware.admin.setting.right.SettingsRightsBean</t>
  </si>
  <si>
    <t>com.ivata.groupware.admin.setting.right.SettingsRightsImpl</t>
  </si>
  <si>
    <t>com.ivata.groupware.admin.setting.SettingConstants</t>
  </si>
  <si>
    <t>com.ivata.groupware.admin.setting.SettingDO</t>
  </si>
  <si>
    <t>com.ivata.groupware.admin.setting.SettingNullException</t>
  </si>
  <si>
    <t>com.ivata.groupware.admin.setting.Settings</t>
  </si>
  <si>
    <t>com.ivata.groupware.admin.setting.SettingsBean</t>
  </si>
  <si>
    <t>com.ivata.groupware.admin.setting.SettingsDataTypeException</t>
  </si>
  <si>
    <t>com.ivata.groupware.admin.setting.SettingsImpl</t>
  </si>
  <si>
    <t>com.ivata.groupware.admin.setting.SettingsImplTest</t>
  </si>
  <si>
    <t>com.ivata.groupware.admin.setting.SettingsInitializationException</t>
  </si>
  <si>
    <t>com.ivata.groupware.admin.setting.struts.SettingAction</t>
  </si>
  <si>
    <t>com.ivata.groupware.admin.setting.struts.SettingForm</t>
  </si>
  <si>
    <t>com.ivata.groupware.admin.struts.HibernateSetupAction</t>
  </si>
  <si>
    <t>com.ivata.groupware.admin.struts.HibernateSetupForm</t>
  </si>
  <si>
    <t>com.ivata.groupware.business.addressbook.address.AddressDO</t>
  </si>
  <si>
    <t>com.ivata.groupware.business.addressbook.address.country.CountryDO</t>
  </si>
  <si>
    <t>com.ivata.groupware.business.addressbook.AddressBook</t>
  </si>
  <si>
    <t>com.ivata.groupware.business.addressbook.AddressBookBean</t>
  </si>
  <si>
    <t>com.ivata.groupware.business.addressbook.AddressBookImpl</t>
  </si>
  <si>
    <t>com.ivata.groupware.business.addressbook.AddressBookImpl$CountryComparator</t>
  </si>
  <si>
    <t>com.ivata.groupware.business.addressbook.AddressBookImpl$PersonComparator</t>
  </si>
  <si>
    <t>com.ivata.groupware.business.addressbook.AddressBookImplTest</t>
  </si>
  <si>
    <t>com.ivata.groupware.business.addressbook.person.employee.EmployeeDO</t>
  </si>
  <si>
    <t>com.ivata.groupware.business.addressbook.person.group.GroupConstants</t>
  </si>
  <si>
    <t>com.ivata.groupware.business.addressbook.person.group.GroupDO</t>
  </si>
  <si>
    <t>com.ivata.groupware.business.addressbook.person.group.right.detail.RightDetailDO</t>
  </si>
  <si>
    <t>com.ivata.groupware.business.addressbook.person.group.right.GroupRights</t>
  </si>
  <si>
    <t>com.ivata.groupware.business.addressbook.person.group.right.RightConstants</t>
  </si>
  <si>
    <t>com.ivata.groupware.business.addressbook.person.group.right.RightDO</t>
  </si>
  <si>
    <t>com.ivata.groupware.business.addressbook.person.group.right.UserRightFilter</t>
  </si>
  <si>
    <t>com.ivata.groupware.business.addressbook.person.group.tree.PersonTreeModel</t>
  </si>
  <si>
    <t>com.ivata.groupware.business.addressbook.person.group.tree.PersonTreeNode</t>
  </si>
  <si>
    <t>com.ivata.groupware.business.addressbook.person.PersonDO</t>
  </si>
  <si>
    <t>com.ivata.groupware.business.addressbook.right.AddressBookRights</t>
  </si>
  <si>
    <t>com.ivata.groupware.business.addressbook.right.AddressBookRightsBean</t>
  </si>
  <si>
    <t>com.ivata.groupware.business.addressbook.right.AddressBookRightsImpl</t>
  </si>
  <si>
    <t>com.ivata.groupware.business.addressbook.struts.FindPersonAction</t>
  </si>
  <si>
    <t>com.ivata.groupware.business.addressbook.struts.GroupFrameAction</t>
  </si>
  <si>
    <t>com.ivata.groupware.business.addressbook.struts.GroupListAction</t>
  </si>
  <si>
    <t>com.ivata.groupware.business.addressbook.struts.GroupRightAction</t>
  </si>
  <si>
    <t>com.ivata.groupware.business.addressbook.struts.GroupRightForm</t>
  </si>
  <si>
    <t>com.ivata.groupware.business.addressbook.struts.PersonAction</t>
  </si>
  <si>
    <t>com.ivata.groupware.business.addressbook.struts.PersonForm</t>
  </si>
  <si>
    <t>com.ivata.groupware.business.addressbook.struts.PersonListAction</t>
  </si>
  <si>
    <t>com.ivata.groupware.business.addressbook.telecomaddress.EMailAddressLocator</t>
  </si>
  <si>
    <t>com.ivata.groupware.business.addressbook.telecomaddress.TelecomAddressConstants</t>
  </si>
  <si>
    <t>com.ivata.groupware.business.addressbook.telecomaddress.TelecomAddressDO</t>
  </si>
  <si>
    <t>com.ivata.groupware.business.BusinessLogic</t>
  </si>
  <si>
    <t>com.ivata.groupware.business.calendar.Calendar</t>
  </si>
  <si>
    <t>com.ivata.groupware.business.calendar.CalendarBean</t>
  </si>
  <si>
    <t>com.ivata.groupware.business.calendar.CalendarImpl</t>
  </si>
  <si>
    <t>com.ivata.groupware.business.calendar.CalendarImpl$EventComparator</t>
  </si>
  <si>
    <t>com.ivata.groupware.business.calendar.event.EventDO</t>
  </si>
  <si>
    <t>com.ivata.groupware.business.calendar.event.meeting.agendapoint.AgendaPointDO</t>
  </si>
  <si>
    <t>com.ivata.groupware.business.calendar.event.meeting.attendee.AttendeeDO</t>
  </si>
  <si>
    <t>com.ivata.groupware.business.calendar.event.meeting.category.MeetingCategoryDO</t>
  </si>
  <si>
    <t>com.ivata.groupware.business.calendar.event.meeting.MeetingDO</t>
  </si>
  <si>
    <t>com.ivata.groupware.business.calendar.event.publicholiday.PublicHolidayDO</t>
  </si>
  <si>
    <t>com.ivata.groupware.business.calendar.event.vacation.VacationDO</t>
  </si>
  <si>
    <t>com.ivata.groupware.business.calendar.struts.EventAction</t>
  </si>
  <si>
    <t>com.ivata.groupware.business.calendar.struts.EventForm</t>
  </si>
  <si>
    <t>com.ivata.groupware.business.calendar.struts.EventHourComparator</t>
  </si>
  <si>
    <t>com.ivata.groupware.business.calendar.struts.FindEventAction</t>
  </si>
  <si>
    <t>com.ivata.groupware.business.calendar.struts.IndexAction</t>
  </si>
  <si>
    <t>com.ivata.groupware.business.calendar.struts.IndexForm</t>
  </si>
  <si>
    <t>com.ivata.groupware.business.calendar.struts.IndexFormConstants</t>
  </si>
  <si>
    <t>com.ivata.groupware.business.drive.directory.DirectoryConstants</t>
  </si>
  <si>
    <t>com.ivata.groupware.business.drive.directory.DirectoryDO</t>
  </si>
  <si>
    <t>com.ivata.groupware.business.drive.file.DriveFileDO</t>
  </si>
  <si>
    <t>com.ivata.groupware.business.drive.file.FileContentDO</t>
  </si>
  <si>
    <t>com.ivata.groupware.business.drive.file.FileDO</t>
  </si>
  <si>
    <t>com.ivata.groupware.business.drive.file.FileRevisionDO</t>
  </si>
  <si>
    <t>com.ivata.groupware.business.event.Event</t>
  </si>
  <si>
    <t>com.ivata.groupware.business.event.EventManager</t>
  </si>
  <si>
    <t>com.ivata.groupware.business.library.comment.CommentDO</t>
  </si>
  <si>
    <t>com.ivata.groupware.business.library.comment.tree.CommentTreeModel</t>
  </si>
  <si>
    <t>com.ivata.groupware.business.library.faq.category.FAQCategoryDO</t>
  </si>
  <si>
    <t>com.ivata.groupware.business.library.faq.FAQDO</t>
  </si>
  <si>
    <t>com.ivata.groupware.business.library.item.LibraryItemConstants</t>
  </si>
  <si>
    <t>com.ivata.groupware.business.library.item.LibraryItemDO</t>
  </si>
  <si>
    <t>com.ivata.groupware.business.library.Library</t>
  </si>
  <si>
    <t>com.ivata.groupware.business.library.LibraryImpl</t>
  </si>
  <si>
    <t>com.ivata.groupware.business.library.LibraryImpl$CommentComparator</t>
  </si>
  <si>
    <t>com.ivata.groupware.business.library.LibraryImpl$LibraryItemComparator</t>
  </si>
  <si>
    <t>com.ivata.groupware.business.library.listener.UserRemoveBean</t>
  </si>
  <si>
    <t>com.ivata.groupware.business.library.NotificationException</t>
  </si>
  <si>
    <t>com.ivata.groupware.business.library.page.PageDO</t>
  </si>
  <si>
    <t>com.ivata.groupware.business.library.right.LibraryRights</t>
  </si>
  <si>
    <t>com.ivata.groupware.business.library.right.LibraryRightsImpl</t>
  </si>
  <si>
    <t>com.ivata.groupware.business.library.struts.CommentAction</t>
  </si>
  <si>
    <t>com.ivata.groupware.business.library.struts.CommentForm</t>
  </si>
  <si>
    <t>com.ivata.groupware.business.library.struts.DisplayAction</t>
  </si>
  <si>
    <t>com.ivata.groupware.business.library.struts.FindTopicAction</t>
  </si>
  <si>
    <t>com.ivata.groupware.business.library.struts.IndexAction</t>
  </si>
  <si>
    <t>com.ivata.groupware.business.library.struts.ItemForm</t>
  </si>
  <si>
    <t>com.ivata.groupware.business.library.struts.LibraryForm</t>
  </si>
  <si>
    <t>com.ivata.groupware.business.library.struts.SubmitAction</t>
  </si>
  <si>
    <t>com.ivata.groupware.business.library.struts.TopicAction</t>
  </si>
  <si>
    <t>com.ivata.groupware.business.library.struts.TopicForm</t>
  </si>
  <si>
    <t>com.ivata.groupware.business.library.struts.UnacknowledgedCommentsAction</t>
  </si>
  <si>
    <t>com.ivata.groupware.business.library.struts.UploadHTMLAction</t>
  </si>
  <si>
    <t>com.ivata.groupware.business.library.struts.UploadHTMLForm</t>
  </si>
  <si>
    <t>com.ivata.groupware.business.library.struts.UploadImagesAction</t>
  </si>
  <si>
    <t>com.ivata.groupware.business.library.struts.UploadImagesForm</t>
  </si>
  <si>
    <t>com.ivata.groupware.business.library.topic.TopicDO</t>
  </si>
  <si>
    <t>com.ivata.groupware.business.mail.Mail</t>
  </si>
  <si>
    <t>com.ivata.groupware.business.mail.MailBean</t>
  </si>
  <si>
    <t>com.ivata.groupware.business.mail.MailConstants</t>
  </si>
  <si>
    <t>com.ivata.groupware.business.mail.MailImpl</t>
  </si>
  <si>
    <t>com.ivata.groupware.business.mail.MailImpl$MessageTextParts</t>
  </si>
  <si>
    <t>com.ivata.groupware.business.mail.message.MessageDO</t>
  </si>
  <si>
    <t>com.ivata.groupware.business.mail.message.MessageNotFoundException</t>
  </si>
  <si>
    <t>com.ivata.groupware.business.mail.server.HMailServer</t>
  </si>
  <si>
    <t>com.ivata.groupware.business.mail.server.JavaMailServer</t>
  </si>
  <si>
    <t>com.ivata.groupware.business.mail.server.MailServer</t>
  </si>
  <si>
    <t>com.ivata.groupware.business.mail.server.NoMailServerException</t>
  </si>
  <si>
    <t>com.ivata.groupware.business.mail.server.ScriptMailServer</t>
  </si>
  <si>
    <t>com.ivata.groupware.business.mail.session.MailAuthenticator</t>
  </si>
  <si>
    <t>com.ivata.groupware.business.mail.session.MailSession</t>
  </si>
  <si>
    <t>com.ivata.groupware.business.mail.struts.ComposeAction</t>
  </si>
  <si>
    <t>com.ivata.groupware.business.mail.struts.ComposeForm</t>
  </si>
  <si>
    <t>com.ivata.groupware.business.mail.struts.DisplayAction</t>
  </si>
  <si>
    <t>com.ivata.groupware.business.mail.struts.DisplayForm</t>
  </si>
  <si>
    <t>com.ivata.groupware.business.mail.struts.FindMailUserAction</t>
  </si>
  <si>
    <t>com.ivata.groupware.business.mail.struts.IndexAction</t>
  </si>
  <si>
    <t>com.ivata.groupware.business.mail.struts.IndexForm</t>
  </si>
  <si>
    <t>com.ivata.groupware.business.mail.struts.MailSetupAction</t>
  </si>
  <si>
    <t>com.ivata.groupware.business.mail.struts.MailSetupConstants</t>
  </si>
  <si>
    <t>com.ivata.groupware.business.mail.struts.MailSetupForm</t>
  </si>
  <si>
    <t>com.ivata.groupware.business.mail.struts.MailUserAction</t>
  </si>
  <si>
    <t>com.ivata.groupware.business.mail.struts.MailUserForm</t>
  </si>
  <si>
    <t>com.ivata.groupware.business.search.index.SearchIndexDO</t>
  </si>
  <si>
    <t>com.ivata.groupware.business.search.item.content.SearchItemContentDO</t>
  </si>
  <si>
    <t>com.ivata.groupware.business.search.item.SearchItemDO</t>
  </si>
  <si>
    <t>com.ivata.groupware.business.search.PorterStemmer</t>
  </si>
  <si>
    <t>com.ivata.groupware.business.search.result.SearchResult</t>
  </si>
  <si>
    <t>com.ivata.groupware.business.search.SearchEngine</t>
  </si>
  <si>
    <t>com.ivata.groupware.business.search.SearchEngineImpl</t>
  </si>
  <si>
    <t>com.ivata.groupware.business.search.stopword.SearchStopwordDO</t>
  </si>
  <si>
    <t>com.ivata.groupware.container.persistence.BaseDO</t>
  </si>
  <si>
    <t>com.ivata.groupware.container.persistence.hibernate.HibernateInterceptor</t>
  </si>
  <si>
    <t>com.ivata.groupware.container.persistence.hibernate.HibernateManager</t>
  </si>
  <si>
    <t>com.ivata.groupware.container.persistence.hibernate.HibernateQuery</t>
  </si>
  <si>
    <t>com.ivata.groupware.container.persistence.hibernate.HibernateQueryFactory</t>
  </si>
  <si>
    <t>com.ivata.groupware.container.persistence.hibernate.HibernateSession</t>
  </si>
  <si>
    <t>com.ivata.groupware.container.persistence.hibernate.HibernateSetupConstants</t>
  </si>
  <si>
    <t>com.ivata.groupware.container.persistence.listener.AddPersistenceListener</t>
  </si>
  <si>
    <t>com.ivata.groupware.container.persistence.listener.AmendPersistenceListener</t>
  </si>
  <si>
    <t>com.ivata.groupware.container.persistence.listener.RemovePersistenceListener</t>
  </si>
  <si>
    <t>com.ivata.groupware.container.persistence.NamedDO</t>
  </si>
  <si>
    <t>com.ivata.groupware.container.persistence.QueryPersistenceManager</t>
  </si>
  <si>
    <t>com.ivata.groupware.container.persistence.TimestampDO</t>
  </si>
  <si>
    <t>com.ivata.groupware.container.persistence.TimestampDOHandling</t>
  </si>
  <si>
    <t>com.ivata.groupware.container.persistence.TimestampDOListener</t>
  </si>
  <si>
    <t>com.ivata.groupware.container.PicoContainerFactory</t>
  </si>
  <si>
    <t>com.ivata.groupware.container.PicoContainerFactory$1</t>
  </si>
  <si>
    <t>com.ivata.groupware.container.struts.PicoRequestProcessor</t>
  </si>
  <si>
    <t>com.ivata.groupware.container.struts.PicoRequestProcessorImplementation</t>
  </si>
  <si>
    <t>com.ivata.groupware.container.struts.PicoTilesRequestProcessor</t>
  </si>
  <si>
    <t>com.ivata.groupware.container.struts.ResetContainerAction</t>
  </si>
  <si>
    <t>com.ivata.groupware.GroupwareTestCase</t>
  </si>
  <si>
    <t>com.ivata.groupware.mask.struts.ResetAction</t>
  </si>
  <si>
    <t>com.ivata.groupware.mask.struts.SecurityMaskAuthenticator</t>
  </si>
  <si>
    <t>com.ivata.groupware.navigation.menu.item.listener.UserRemoveBean</t>
  </si>
  <si>
    <t>com.ivata.groupware.navigation.menu.item.MenuItemComparator</t>
  </si>
  <si>
    <t>com.ivata.groupware.navigation.menu.item.MenuItemDO</t>
  </si>
  <si>
    <t>com.ivata.groupware.navigation.menu.MenuConstants</t>
  </si>
  <si>
    <t>com.ivata.groupware.navigation.menu.MenuDO</t>
  </si>
  <si>
    <t>com.ivata.groupware.navigation.Navigation</t>
  </si>
  <si>
    <t>com.ivata.groupware.navigation.NavigationBean</t>
  </si>
  <si>
    <t>com.ivata.groupware.navigation.NavigationImpl</t>
  </si>
  <si>
    <t>com.ivata.groupware.navigation.struts.AddFavoriteAction</t>
  </si>
  <si>
    <t>com.ivata.groupware.navigation.struts.FavoriteAction</t>
  </si>
  <si>
    <t>com.ivata.groupware.navigation.struts.FindFavoriteAction</t>
  </si>
  <si>
    <t>com.ivata.groupware.struts.SetupAction</t>
  </si>
  <si>
    <t>com.ivata.groupware.util.SettingDateFormatter</t>
  </si>
  <si>
    <t>com.ivata.groupware.web.container.JSPPicoContainerFactory</t>
  </si>
  <si>
    <t>com.ivata.groupware.web.format.ByteSizeFormat</t>
  </si>
  <si>
    <t>com.ivata.groupware.web.format.EmailAddressFormatter</t>
  </si>
  <si>
    <t>com.ivata.groupware.web.format.SanitizerFormat</t>
  </si>
  <si>
    <t>com.ivata.groupware.web.servlet.SanitizeLibrary</t>
  </si>
  <si>
    <t>com.ivata.groupware.web.servlet.UpdateLibrarySearchIndex</t>
  </si>
  <si>
    <t>com.ivata.groupware.web.tag.CheckLoginTag</t>
  </si>
  <si>
    <t>com.ivata.groupware.web.tag.CheckSiteTag</t>
  </si>
  <si>
    <t>com.ivata.groupware.web.tag.container.ContainerBeanTag</t>
  </si>
  <si>
    <t>com.ivata.groupware.web.tag.container.ContainerBeanTei</t>
  </si>
  <si>
    <t>com.ivata.groupware.web.tag.GetSettingTag</t>
  </si>
  <si>
    <t>com.ivata.groupware.web.tag.GetSettingTei</t>
  </si>
  <si>
    <t>com.ivata.groupware.web.tag.HeadTag</t>
  </si>
  <si>
    <t>com.ivata.groupware.web.tag.SetSettingTag</t>
  </si>
  <si>
    <t>com.ivata.groupware.web.tag.webgui.tree.TreeSelectTag</t>
  </si>
  <si>
    <t>com.ivata.groupware.web.tag.webgui.tree.TreeTag</t>
  </si>
  <si>
    <t>LSCC</t>
  </si>
  <si>
    <t>com.ivata.groupware.web.tree.comment.CommentTreeNodeRenderer</t>
  </si>
  <si>
    <t>IN</t>
  </si>
  <si>
    <t>com.ivata.groupware.web.tree.DefaultTreeNodeRenderer</t>
  </si>
  <si>
    <t>com.ivata.groupware.web.tree.person.PersonTreeNodeRenderer</t>
  </si>
  <si>
    <t>com.ivata.groupware.web.tree.TreeNode</t>
  </si>
  <si>
    <t>com.ivata.groupware.web.tree.TreeNodeRenderer</t>
  </si>
  <si>
    <t>OUT</t>
  </si>
  <si>
    <t>HelloCom</t>
  </si>
  <si>
    <t>Métrica</t>
  </si>
  <si>
    <t>BOM</t>
  </si>
  <si>
    <t>REGULAR</t>
  </si>
  <si>
    <t>RUIM</t>
  </si>
  <si>
    <t>Referência</t>
  </si>
  <si>
    <t>TUBES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</si>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</sst>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  <charset val="1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1"/>
  <sheetViews>
    <sheetView zoomScaleNormal="100" workbookViewId="0">
      <selection activeCell="F1" sqref="F1"/>
    </sheetView>
  </sheetViews>
  <sheetFormatPr defaultRowHeight="12.75" x14ac:dyDescent="0.2"/>
  <cols>
    <col min="1" max="1" width="68.710937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4.4257812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1</v>
      </c>
      <c r="E2">
        <v>1</v>
      </c>
      <c r="F2">
        <v>0</v>
      </c>
      <c r="G2">
        <v>1</v>
      </c>
      <c r="H2">
        <v>3</v>
      </c>
      <c r="I2">
        <v>9</v>
      </c>
      <c r="J2">
        <v>3</v>
      </c>
      <c r="K2">
        <v>2</v>
      </c>
      <c r="L2">
        <v>3</v>
      </c>
    </row>
    <row r="3" spans="1:12" x14ac:dyDescent="0.2">
      <c r="A3" t="s">
        <v>14</v>
      </c>
      <c r="B3" t="s">
        <v>15</v>
      </c>
      <c r="C3">
        <v>0</v>
      </c>
      <c r="D3">
        <v>2</v>
      </c>
      <c r="E3">
        <v>2</v>
      </c>
      <c r="F3">
        <v>1</v>
      </c>
      <c r="G3">
        <v>1</v>
      </c>
      <c r="H3">
        <v>8</v>
      </c>
      <c r="I3">
        <v>45</v>
      </c>
      <c r="J3">
        <v>0</v>
      </c>
      <c r="K3">
        <v>4</v>
      </c>
      <c r="L3">
        <v>0</v>
      </c>
    </row>
    <row r="4" spans="1:12" x14ac:dyDescent="0.2">
      <c r="A4" t="s">
        <v>16</v>
      </c>
      <c r="B4" t="s">
        <v>15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2</v>
      </c>
      <c r="K4">
        <v>1</v>
      </c>
      <c r="L4">
        <v>0</v>
      </c>
    </row>
    <row r="5" spans="1:12" x14ac:dyDescent="0.2">
      <c r="A5" t="s">
        <v>17</v>
      </c>
      <c r="B5" t="s">
        <v>15</v>
      </c>
      <c r="C5">
        <v>0</v>
      </c>
      <c r="D5">
        <v>1</v>
      </c>
      <c r="E5">
        <v>0</v>
      </c>
      <c r="F5">
        <v>1</v>
      </c>
      <c r="G5">
        <v>1</v>
      </c>
      <c r="H5">
        <v>4</v>
      </c>
      <c r="I5">
        <v>1</v>
      </c>
      <c r="J5">
        <v>3</v>
      </c>
      <c r="K5">
        <v>1</v>
      </c>
      <c r="L5">
        <v>0</v>
      </c>
    </row>
    <row r="6" spans="1:12" x14ac:dyDescent="0.2">
      <c r="A6" t="s">
        <v>18</v>
      </c>
      <c r="B6" t="s">
        <v>13</v>
      </c>
      <c r="C6">
        <v>0</v>
      </c>
      <c r="D6">
        <v>5</v>
      </c>
      <c r="E6">
        <v>0</v>
      </c>
      <c r="F6">
        <v>0</v>
      </c>
      <c r="G6">
        <v>1</v>
      </c>
      <c r="H6">
        <v>21</v>
      </c>
      <c r="I6">
        <v>51</v>
      </c>
      <c r="J6">
        <v>0</v>
      </c>
      <c r="K6">
        <v>7</v>
      </c>
      <c r="L6">
        <v>0</v>
      </c>
    </row>
    <row r="7" spans="1:12" x14ac:dyDescent="0.2">
      <c r="A7" t="s">
        <v>19</v>
      </c>
      <c r="B7" t="s">
        <v>15</v>
      </c>
      <c r="C7">
        <v>0</v>
      </c>
      <c r="D7">
        <v>4</v>
      </c>
      <c r="E7">
        <v>0</v>
      </c>
      <c r="F7">
        <v>1</v>
      </c>
      <c r="G7">
        <v>1</v>
      </c>
      <c r="H7">
        <v>2</v>
      </c>
      <c r="I7">
        <v>4</v>
      </c>
      <c r="J7">
        <v>4</v>
      </c>
      <c r="K7">
        <v>4</v>
      </c>
      <c r="L7">
        <v>0</v>
      </c>
    </row>
    <row r="8" spans="1:12" x14ac:dyDescent="0.2">
      <c r="A8" t="s">
        <v>20</v>
      </c>
      <c r="B8" t="s">
        <v>13</v>
      </c>
      <c r="C8">
        <v>0</v>
      </c>
      <c r="D8">
        <v>10</v>
      </c>
      <c r="E8">
        <v>55</v>
      </c>
      <c r="F8">
        <v>1</v>
      </c>
      <c r="G8">
        <v>0.16700000000000001</v>
      </c>
      <c r="H8">
        <v>5</v>
      </c>
      <c r="I8">
        <v>19</v>
      </c>
      <c r="J8">
        <v>0</v>
      </c>
      <c r="K8">
        <v>11</v>
      </c>
      <c r="L8">
        <v>0</v>
      </c>
    </row>
    <row r="9" spans="1:12" x14ac:dyDescent="0.2">
      <c r="A9" t="s">
        <v>21</v>
      </c>
      <c r="B9" t="s">
        <v>13</v>
      </c>
      <c r="C9">
        <v>0</v>
      </c>
      <c r="D9">
        <v>5</v>
      </c>
      <c r="E9">
        <v>10</v>
      </c>
      <c r="F9">
        <v>0</v>
      </c>
      <c r="G9">
        <v>1</v>
      </c>
      <c r="H9">
        <v>6</v>
      </c>
      <c r="I9">
        <v>6</v>
      </c>
      <c r="J9">
        <v>0</v>
      </c>
      <c r="K9">
        <v>5</v>
      </c>
      <c r="L9">
        <v>0</v>
      </c>
    </row>
    <row r="10" spans="1:12" x14ac:dyDescent="0.2">
      <c r="A10" t="s">
        <v>22</v>
      </c>
      <c r="B10" t="s">
        <v>15</v>
      </c>
      <c r="C10">
        <v>1</v>
      </c>
      <c r="D10">
        <v>14</v>
      </c>
      <c r="E10">
        <v>0</v>
      </c>
      <c r="F10">
        <v>1</v>
      </c>
      <c r="G10">
        <v>1</v>
      </c>
      <c r="H10">
        <v>3</v>
      </c>
      <c r="I10">
        <v>14</v>
      </c>
      <c r="J10">
        <v>18</v>
      </c>
      <c r="K10">
        <v>14</v>
      </c>
      <c r="L10">
        <v>0</v>
      </c>
    </row>
    <row r="11" spans="1:12" x14ac:dyDescent="0.2">
      <c r="A11" t="s">
        <v>23</v>
      </c>
      <c r="B11" t="s">
        <v>13</v>
      </c>
      <c r="C11">
        <v>0</v>
      </c>
      <c r="D11">
        <v>16</v>
      </c>
      <c r="E11">
        <v>136</v>
      </c>
      <c r="F11">
        <v>1</v>
      </c>
      <c r="G11">
        <v>0.16700000000000001</v>
      </c>
      <c r="H11">
        <v>6</v>
      </c>
      <c r="I11">
        <v>31</v>
      </c>
      <c r="J11">
        <v>0</v>
      </c>
      <c r="K11">
        <v>17</v>
      </c>
      <c r="L11">
        <v>0</v>
      </c>
    </row>
    <row r="12" spans="1:12" x14ac:dyDescent="0.2">
      <c r="A12" t="s">
        <v>24</v>
      </c>
      <c r="B12" t="s">
        <v>13</v>
      </c>
      <c r="C12">
        <v>0</v>
      </c>
      <c r="D12">
        <v>16</v>
      </c>
      <c r="E12">
        <v>0</v>
      </c>
      <c r="F12">
        <v>0</v>
      </c>
      <c r="G12">
        <v>0.5</v>
      </c>
      <c r="H12">
        <v>15</v>
      </c>
      <c r="I12">
        <v>54</v>
      </c>
      <c r="J12">
        <v>2</v>
      </c>
      <c r="K12">
        <v>20</v>
      </c>
      <c r="L12">
        <v>1</v>
      </c>
    </row>
    <row r="13" spans="1:12" x14ac:dyDescent="0.2">
      <c r="A13" t="s">
        <v>25</v>
      </c>
      <c r="B13" t="s">
        <v>13</v>
      </c>
      <c r="C13">
        <v>0</v>
      </c>
      <c r="D13">
        <v>16</v>
      </c>
      <c r="E13">
        <v>161</v>
      </c>
      <c r="F13">
        <v>0</v>
      </c>
      <c r="G13">
        <v>6.2E-2</v>
      </c>
      <c r="H13">
        <v>16</v>
      </c>
      <c r="I13">
        <v>35</v>
      </c>
      <c r="J13">
        <v>0</v>
      </c>
      <c r="K13">
        <v>19</v>
      </c>
      <c r="L13">
        <v>0</v>
      </c>
    </row>
    <row r="14" spans="1:12" x14ac:dyDescent="0.2">
      <c r="A14" t="s">
        <v>26</v>
      </c>
      <c r="B14" t="s">
        <v>13</v>
      </c>
      <c r="C14">
        <v>0</v>
      </c>
      <c r="D14">
        <v>10</v>
      </c>
      <c r="E14">
        <v>48</v>
      </c>
      <c r="F14">
        <v>1</v>
      </c>
      <c r="G14">
        <v>0.14299999999999999</v>
      </c>
      <c r="H14">
        <v>8</v>
      </c>
      <c r="I14">
        <v>24</v>
      </c>
      <c r="J14">
        <v>2</v>
      </c>
      <c r="K14">
        <v>12</v>
      </c>
      <c r="L14">
        <v>2</v>
      </c>
    </row>
    <row r="15" spans="1:12" x14ac:dyDescent="0.2">
      <c r="A15" t="s">
        <v>27</v>
      </c>
      <c r="B15" t="s">
        <v>13</v>
      </c>
      <c r="C15">
        <v>0</v>
      </c>
      <c r="D15">
        <v>10</v>
      </c>
      <c r="E15">
        <v>39</v>
      </c>
      <c r="F15">
        <v>1</v>
      </c>
      <c r="G15">
        <v>0.16700000000000001</v>
      </c>
      <c r="H15">
        <v>13</v>
      </c>
      <c r="I15">
        <v>35</v>
      </c>
      <c r="J15">
        <v>1</v>
      </c>
      <c r="K15">
        <v>10</v>
      </c>
      <c r="L15">
        <v>0</v>
      </c>
    </row>
    <row r="16" spans="1:12" x14ac:dyDescent="0.2">
      <c r="A16" t="s">
        <v>28</v>
      </c>
      <c r="B16" t="s">
        <v>13</v>
      </c>
      <c r="C16">
        <v>0</v>
      </c>
      <c r="D16">
        <v>1</v>
      </c>
      <c r="E16">
        <v>0</v>
      </c>
      <c r="F16">
        <v>0</v>
      </c>
      <c r="G16">
        <v>1</v>
      </c>
      <c r="H16">
        <v>4</v>
      </c>
      <c r="I16">
        <v>2</v>
      </c>
      <c r="J16">
        <v>2</v>
      </c>
      <c r="K16">
        <v>1</v>
      </c>
      <c r="L16">
        <v>0</v>
      </c>
    </row>
    <row r="17" spans="1:12" x14ac:dyDescent="0.2">
      <c r="A17" t="s">
        <v>29</v>
      </c>
      <c r="B17" t="s">
        <v>15</v>
      </c>
      <c r="C17">
        <v>0</v>
      </c>
      <c r="D17">
        <v>9</v>
      </c>
      <c r="E17">
        <v>0</v>
      </c>
      <c r="F17">
        <v>1</v>
      </c>
      <c r="G17">
        <v>1</v>
      </c>
      <c r="H17">
        <v>3</v>
      </c>
      <c r="I17">
        <v>9</v>
      </c>
      <c r="J17">
        <v>8</v>
      </c>
      <c r="K17">
        <v>9</v>
      </c>
      <c r="L17">
        <v>0</v>
      </c>
    </row>
    <row r="18" spans="1:12" x14ac:dyDescent="0.2">
      <c r="A18" t="s">
        <v>30</v>
      </c>
      <c r="B18" t="s">
        <v>13</v>
      </c>
      <c r="C18">
        <v>0</v>
      </c>
      <c r="D18">
        <v>3</v>
      </c>
      <c r="E18">
        <v>0</v>
      </c>
      <c r="F18">
        <v>0</v>
      </c>
      <c r="G18">
        <v>1</v>
      </c>
      <c r="H18">
        <v>1</v>
      </c>
      <c r="I18">
        <v>6</v>
      </c>
      <c r="J18">
        <v>3</v>
      </c>
      <c r="K18">
        <v>3</v>
      </c>
      <c r="L18">
        <v>0</v>
      </c>
    </row>
    <row r="19" spans="1:12" x14ac:dyDescent="0.2">
      <c r="A19" t="s">
        <v>31</v>
      </c>
      <c r="B19" t="s">
        <v>15</v>
      </c>
      <c r="C19">
        <v>0</v>
      </c>
      <c r="D19">
        <v>8</v>
      </c>
      <c r="E19">
        <v>0</v>
      </c>
      <c r="F19">
        <v>1</v>
      </c>
      <c r="G19">
        <v>1</v>
      </c>
      <c r="H19">
        <v>2</v>
      </c>
      <c r="I19">
        <v>8</v>
      </c>
      <c r="J19">
        <v>101</v>
      </c>
      <c r="K19">
        <v>8</v>
      </c>
      <c r="L19">
        <v>0</v>
      </c>
    </row>
    <row r="20" spans="1:12" x14ac:dyDescent="0.2">
      <c r="A20" t="s">
        <v>32</v>
      </c>
      <c r="B20" t="s">
        <v>15</v>
      </c>
      <c r="C20">
        <v>0</v>
      </c>
      <c r="D20">
        <v>10</v>
      </c>
      <c r="E20">
        <v>45</v>
      </c>
      <c r="F20">
        <v>1</v>
      </c>
      <c r="G20">
        <v>0.111</v>
      </c>
      <c r="H20">
        <v>4</v>
      </c>
      <c r="I20">
        <v>11</v>
      </c>
      <c r="J20">
        <v>0</v>
      </c>
      <c r="K20">
        <v>10</v>
      </c>
      <c r="L20">
        <v>0</v>
      </c>
    </row>
    <row r="21" spans="1:12" x14ac:dyDescent="0.2">
      <c r="A21" t="s">
        <v>33</v>
      </c>
      <c r="B21" t="s">
        <v>13</v>
      </c>
      <c r="C21">
        <v>0</v>
      </c>
      <c r="D21">
        <v>9</v>
      </c>
      <c r="E21">
        <v>26</v>
      </c>
      <c r="F21">
        <v>1</v>
      </c>
      <c r="G21">
        <v>0.16700000000000001</v>
      </c>
      <c r="H21">
        <v>3</v>
      </c>
      <c r="I21">
        <v>13</v>
      </c>
      <c r="J21">
        <v>1</v>
      </c>
      <c r="K21">
        <v>9</v>
      </c>
      <c r="L21">
        <v>0</v>
      </c>
    </row>
    <row r="22" spans="1:12" x14ac:dyDescent="0.2">
      <c r="A22" t="s">
        <v>34</v>
      </c>
      <c r="B22" t="s">
        <v>13</v>
      </c>
      <c r="C22">
        <v>0</v>
      </c>
      <c r="D22">
        <v>2</v>
      </c>
      <c r="E22">
        <v>1</v>
      </c>
      <c r="F22">
        <v>0</v>
      </c>
      <c r="G22">
        <v>1</v>
      </c>
      <c r="H22">
        <v>11</v>
      </c>
      <c r="I22">
        <v>9</v>
      </c>
      <c r="J22">
        <v>0</v>
      </c>
      <c r="K22">
        <v>2</v>
      </c>
      <c r="L22">
        <v>0</v>
      </c>
    </row>
    <row r="23" spans="1:12" x14ac:dyDescent="0.2">
      <c r="A23" t="s">
        <v>35</v>
      </c>
      <c r="B23" t="s">
        <v>13</v>
      </c>
      <c r="C23">
        <v>0</v>
      </c>
      <c r="D23">
        <v>3</v>
      </c>
      <c r="E23">
        <v>0</v>
      </c>
      <c r="F23">
        <v>0</v>
      </c>
      <c r="G23">
        <v>1</v>
      </c>
      <c r="H23">
        <v>26</v>
      </c>
      <c r="I23">
        <v>58</v>
      </c>
      <c r="J23">
        <v>2</v>
      </c>
      <c r="K23">
        <v>4</v>
      </c>
      <c r="L23">
        <v>2</v>
      </c>
    </row>
    <row r="24" spans="1:12" x14ac:dyDescent="0.2">
      <c r="A24" t="s">
        <v>36</v>
      </c>
      <c r="B24" t="s">
        <v>13</v>
      </c>
      <c r="C24">
        <v>0</v>
      </c>
      <c r="D24">
        <v>3</v>
      </c>
      <c r="E24">
        <v>3</v>
      </c>
      <c r="F24">
        <v>0</v>
      </c>
      <c r="G24">
        <v>0.5</v>
      </c>
      <c r="H24">
        <v>15</v>
      </c>
      <c r="I24">
        <v>20</v>
      </c>
      <c r="J24">
        <v>1</v>
      </c>
      <c r="K24">
        <v>4</v>
      </c>
      <c r="L24">
        <v>1</v>
      </c>
    </row>
    <row r="25" spans="1:12" x14ac:dyDescent="0.2">
      <c r="A25" t="s">
        <v>37</v>
      </c>
      <c r="B25" t="s">
        <v>13</v>
      </c>
      <c r="C25">
        <v>0</v>
      </c>
      <c r="D25">
        <v>3</v>
      </c>
      <c r="E25">
        <v>0</v>
      </c>
      <c r="F25">
        <v>0</v>
      </c>
      <c r="G25">
        <v>1</v>
      </c>
      <c r="H25">
        <v>21</v>
      </c>
      <c r="I25">
        <v>38</v>
      </c>
      <c r="J25">
        <v>0</v>
      </c>
      <c r="K25">
        <v>4</v>
      </c>
      <c r="L25">
        <v>0</v>
      </c>
    </row>
    <row r="26" spans="1:12" x14ac:dyDescent="0.2">
      <c r="A26" t="s">
        <v>38</v>
      </c>
      <c r="B26" t="s">
        <v>13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4</v>
      </c>
      <c r="J26">
        <v>2</v>
      </c>
      <c r="K26">
        <v>2</v>
      </c>
      <c r="L26">
        <v>0</v>
      </c>
    </row>
    <row r="27" spans="1:12" x14ac:dyDescent="0.2">
      <c r="A27" t="s">
        <v>39</v>
      </c>
      <c r="B27" t="s">
        <v>13</v>
      </c>
      <c r="C27">
        <v>0</v>
      </c>
      <c r="D27">
        <v>14</v>
      </c>
      <c r="E27">
        <v>77</v>
      </c>
      <c r="F27">
        <v>0</v>
      </c>
      <c r="G27">
        <v>0.2</v>
      </c>
      <c r="H27">
        <v>1</v>
      </c>
      <c r="I27">
        <v>20</v>
      </c>
      <c r="J27">
        <v>58</v>
      </c>
      <c r="K27">
        <v>14</v>
      </c>
      <c r="L27">
        <v>0</v>
      </c>
    </row>
    <row r="28" spans="1:12" x14ac:dyDescent="0.2">
      <c r="A28" t="s">
        <v>40</v>
      </c>
      <c r="B28" t="s">
        <v>15</v>
      </c>
      <c r="C28">
        <v>0</v>
      </c>
      <c r="D28">
        <v>2</v>
      </c>
      <c r="E28">
        <v>0</v>
      </c>
      <c r="F28">
        <v>0</v>
      </c>
      <c r="G28">
        <v>1</v>
      </c>
      <c r="H28">
        <v>1</v>
      </c>
      <c r="I28">
        <v>3</v>
      </c>
      <c r="J28">
        <v>1</v>
      </c>
      <c r="K28">
        <v>2</v>
      </c>
      <c r="L28">
        <v>0</v>
      </c>
    </row>
    <row r="29" spans="1:12" x14ac:dyDescent="0.2">
      <c r="A29" t="s">
        <v>41</v>
      </c>
      <c r="B29" t="s">
        <v>15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3</v>
      </c>
      <c r="J29">
        <v>0</v>
      </c>
      <c r="K29">
        <v>2</v>
      </c>
      <c r="L29">
        <v>0</v>
      </c>
    </row>
    <row r="30" spans="1:12" x14ac:dyDescent="0.2">
      <c r="A30" t="s">
        <v>42</v>
      </c>
      <c r="B30" t="s">
        <v>15</v>
      </c>
      <c r="C30">
        <v>0</v>
      </c>
      <c r="D30">
        <v>4</v>
      </c>
      <c r="E30">
        <v>0</v>
      </c>
      <c r="F30">
        <v>1</v>
      </c>
      <c r="G30">
        <v>1</v>
      </c>
      <c r="H30">
        <v>2</v>
      </c>
      <c r="I30">
        <v>4</v>
      </c>
      <c r="J30">
        <v>3</v>
      </c>
      <c r="K30">
        <v>4</v>
      </c>
      <c r="L30">
        <v>0</v>
      </c>
    </row>
    <row r="31" spans="1:12" x14ac:dyDescent="0.2">
      <c r="A31" t="s">
        <v>43</v>
      </c>
      <c r="B31" t="s">
        <v>13</v>
      </c>
      <c r="C31">
        <v>0</v>
      </c>
      <c r="D31">
        <v>10</v>
      </c>
      <c r="E31">
        <v>55</v>
      </c>
      <c r="F31">
        <v>1</v>
      </c>
      <c r="G31">
        <v>0.16700000000000001</v>
      </c>
      <c r="H31">
        <v>5</v>
      </c>
      <c r="I31">
        <v>19</v>
      </c>
      <c r="J31">
        <v>0</v>
      </c>
      <c r="K31">
        <v>11</v>
      </c>
      <c r="L31">
        <v>0</v>
      </c>
    </row>
    <row r="32" spans="1:12" x14ac:dyDescent="0.2">
      <c r="A32" t="s">
        <v>44</v>
      </c>
      <c r="B32" t="s">
        <v>13</v>
      </c>
      <c r="C32">
        <v>0</v>
      </c>
      <c r="D32">
        <v>5</v>
      </c>
      <c r="E32">
        <v>0</v>
      </c>
      <c r="F32">
        <v>0</v>
      </c>
      <c r="G32">
        <v>1</v>
      </c>
      <c r="H32">
        <v>14</v>
      </c>
      <c r="I32">
        <v>27</v>
      </c>
      <c r="J32">
        <v>0</v>
      </c>
      <c r="K32">
        <v>5</v>
      </c>
      <c r="L32">
        <v>0</v>
      </c>
    </row>
    <row r="33" spans="1:12" x14ac:dyDescent="0.2">
      <c r="A33" t="s">
        <v>45</v>
      </c>
      <c r="B33" t="s">
        <v>15</v>
      </c>
      <c r="C33">
        <v>5</v>
      </c>
      <c r="D33">
        <v>1</v>
      </c>
      <c r="E33">
        <v>0</v>
      </c>
      <c r="F33">
        <v>1</v>
      </c>
      <c r="G33">
        <v>1</v>
      </c>
      <c r="H33">
        <v>0</v>
      </c>
      <c r="I33">
        <v>2</v>
      </c>
      <c r="J33">
        <v>0</v>
      </c>
      <c r="K33">
        <v>1</v>
      </c>
      <c r="L33">
        <v>0</v>
      </c>
    </row>
    <row r="34" spans="1:12" x14ac:dyDescent="0.2">
      <c r="A34" t="s">
        <v>46</v>
      </c>
      <c r="B34" t="s">
        <v>13</v>
      </c>
      <c r="C34">
        <v>0</v>
      </c>
      <c r="D34">
        <v>13</v>
      </c>
      <c r="E34">
        <v>62</v>
      </c>
      <c r="F34">
        <v>0</v>
      </c>
      <c r="G34">
        <v>0.16700000000000001</v>
      </c>
      <c r="H34">
        <v>2</v>
      </c>
      <c r="I34">
        <v>14</v>
      </c>
      <c r="J34">
        <v>3</v>
      </c>
      <c r="K34">
        <v>13</v>
      </c>
      <c r="L34">
        <v>0</v>
      </c>
    </row>
    <row r="35" spans="1:12" x14ac:dyDescent="0.2">
      <c r="A35" t="s">
        <v>47</v>
      </c>
      <c r="B35" t="s">
        <v>15</v>
      </c>
      <c r="C35">
        <v>0</v>
      </c>
      <c r="D35">
        <v>1</v>
      </c>
      <c r="E35">
        <v>0</v>
      </c>
      <c r="F35">
        <v>0</v>
      </c>
      <c r="G35">
        <v>1</v>
      </c>
      <c r="H35">
        <v>1</v>
      </c>
      <c r="I35">
        <v>2</v>
      </c>
      <c r="J35">
        <v>1</v>
      </c>
      <c r="K35">
        <v>1</v>
      </c>
      <c r="L35">
        <v>0</v>
      </c>
    </row>
    <row r="36" spans="1:12" x14ac:dyDescent="0.2">
      <c r="A36" t="s">
        <v>48</v>
      </c>
      <c r="B36" t="s">
        <v>15</v>
      </c>
      <c r="C36">
        <v>0</v>
      </c>
      <c r="D36">
        <v>9</v>
      </c>
      <c r="E36">
        <v>0</v>
      </c>
      <c r="F36">
        <v>1</v>
      </c>
      <c r="G36">
        <v>1</v>
      </c>
      <c r="H36">
        <v>4</v>
      </c>
      <c r="I36">
        <v>9</v>
      </c>
      <c r="J36">
        <v>36</v>
      </c>
      <c r="K36">
        <v>9</v>
      </c>
      <c r="L36">
        <v>0</v>
      </c>
    </row>
    <row r="37" spans="1:12" x14ac:dyDescent="0.2">
      <c r="A37" t="s">
        <v>49</v>
      </c>
      <c r="B37" t="s">
        <v>13</v>
      </c>
      <c r="C37">
        <v>0</v>
      </c>
      <c r="D37">
        <v>15</v>
      </c>
      <c r="E37">
        <v>120</v>
      </c>
      <c r="F37">
        <v>1</v>
      </c>
      <c r="G37">
        <v>0.16700000000000001</v>
      </c>
      <c r="H37">
        <v>7</v>
      </c>
      <c r="I37">
        <v>29</v>
      </c>
      <c r="J37">
        <v>0</v>
      </c>
      <c r="K37">
        <v>16</v>
      </c>
      <c r="L37">
        <v>0</v>
      </c>
    </row>
    <row r="38" spans="1:12" x14ac:dyDescent="0.2">
      <c r="A38" t="s">
        <v>50</v>
      </c>
      <c r="B38" t="s">
        <v>13</v>
      </c>
      <c r="C38">
        <v>0</v>
      </c>
      <c r="D38">
        <v>1</v>
      </c>
      <c r="E38">
        <v>0</v>
      </c>
      <c r="F38">
        <v>0</v>
      </c>
      <c r="G38">
        <v>1</v>
      </c>
      <c r="H38">
        <v>1</v>
      </c>
      <c r="I38">
        <v>2</v>
      </c>
      <c r="J38">
        <v>7</v>
      </c>
      <c r="K38">
        <v>1</v>
      </c>
      <c r="L38">
        <v>0</v>
      </c>
    </row>
    <row r="39" spans="1:12" x14ac:dyDescent="0.2">
      <c r="A39" t="s">
        <v>51</v>
      </c>
      <c r="B39" t="s">
        <v>13</v>
      </c>
      <c r="C39">
        <v>0</v>
      </c>
      <c r="D39">
        <v>10</v>
      </c>
      <c r="E39">
        <v>46</v>
      </c>
      <c r="F39">
        <v>0</v>
      </c>
      <c r="G39">
        <v>0.33300000000000002</v>
      </c>
      <c r="H39">
        <v>15</v>
      </c>
      <c r="I39">
        <v>62</v>
      </c>
      <c r="J39">
        <v>2</v>
      </c>
      <c r="K39">
        <v>13</v>
      </c>
      <c r="L39">
        <v>0</v>
      </c>
    </row>
    <row r="40" spans="1:12" x14ac:dyDescent="0.2">
      <c r="A40" t="s">
        <v>52</v>
      </c>
      <c r="B40" t="s">
        <v>13</v>
      </c>
      <c r="C40">
        <v>0</v>
      </c>
      <c r="D40">
        <v>10</v>
      </c>
      <c r="E40">
        <v>52</v>
      </c>
      <c r="F40">
        <v>0</v>
      </c>
      <c r="G40">
        <v>0.16700000000000001</v>
      </c>
      <c r="H40">
        <v>12</v>
      </c>
      <c r="I40">
        <v>51</v>
      </c>
      <c r="J40">
        <v>0</v>
      </c>
      <c r="K40">
        <v>13</v>
      </c>
      <c r="L40">
        <v>0</v>
      </c>
    </row>
    <row r="41" spans="1:12" x14ac:dyDescent="0.2">
      <c r="A41" t="s">
        <v>53</v>
      </c>
      <c r="B41" t="s">
        <v>13</v>
      </c>
      <c r="C41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2</v>
      </c>
      <c r="J41">
        <v>4</v>
      </c>
      <c r="K41">
        <v>1</v>
      </c>
      <c r="L41">
        <v>0</v>
      </c>
    </row>
    <row r="42" spans="1:12" x14ac:dyDescent="0.2">
      <c r="A42" t="s">
        <v>54</v>
      </c>
      <c r="B42" t="s">
        <v>15</v>
      </c>
      <c r="C42">
        <v>0</v>
      </c>
      <c r="D42">
        <v>4</v>
      </c>
      <c r="E42">
        <v>9</v>
      </c>
      <c r="F42">
        <v>0</v>
      </c>
      <c r="G42">
        <v>0.5</v>
      </c>
      <c r="H42">
        <v>12</v>
      </c>
      <c r="I42">
        <v>58</v>
      </c>
      <c r="J42">
        <v>0</v>
      </c>
      <c r="K42">
        <v>7</v>
      </c>
      <c r="L42">
        <v>0</v>
      </c>
    </row>
    <row r="43" spans="1:12" x14ac:dyDescent="0.2">
      <c r="A43" t="s">
        <v>55</v>
      </c>
      <c r="B43" t="s">
        <v>15</v>
      </c>
      <c r="C43">
        <v>0</v>
      </c>
      <c r="D43">
        <v>30</v>
      </c>
      <c r="E43">
        <v>325</v>
      </c>
      <c r="F43">
        <v>0</v>
      </c>
      <c r="G43">
        <v>0.2</v>
      </c>
      <c r="H43">
        <v>9</v>
      </c>
      <c r="I43">
        <v>74</v>
      </c>
      <c r="J43">
        <v>1</v>
      </c>
      <c r="K43">
        <v>31</v>
      </c>
      <c r="L43">
        <v>0</v>
      </c>
    </row>
    <row r="44" spans="1:12" x14ac:dyDescent="0.2">
      <c r="A44" t="s">
        <v>56</v>
      </c>
      <c r="B44" t="s">
        <v>13</v>
      </c>
      <c r="C44">
        <v>0</v>
      </c>
      <c r="D44">
        <v>4</v>
      </c>
      <c r="E44">
        <v>63</v>
      </c>
      <c r="F44">
        <v>0</v>
      </c>
      <c r="G44">
        <v>0.5</v>
      </c>
      <c r="H44">
        <v>26</v>
      </c>
      <c r="I44">
        <v>101</v>
      </c>
      <c r="J44">
        <v>1</v>
      </c>
      <c r="K44">
        <v>15</v>
      </c>
      <c r="L44">
        <v>1</v>
      </c>
    </row>
    <row r="45" spans="1:12" x14ac:dyDescent="0.2">
      <c r="A45" t="s">
        <v>57</v>
      </c>
      <c r="B45" t="s">
        <v>13</v>
      </c>
      <c r="C45">
        <v>0</v>
      </c>
      <c r="D45">
        <v>23</v>
      </c>
      <c r="E45">
        <v>112</v>
      </c>
      <c r="F45">
        <v>0</v>
      </c>
      <c r="G45">
        <v>0.5</v>
      </c>
      <c r="H45">
        <v>8</v>
      </c>
      <c r="I45">
        <v>42</v>
      </c>
      <c r="J45">
        <v>3</v>
      </c>
      <c r="K45">
        <v>25</v>
      </c>
      <c r="L45">
        <v>1</v>
      </c>
    </row>
    <row r="46" spans="1:12" x14ac:dyDescent="0.2">
      <c r="A46" t="s">
        <v>58</v>
      </c>
      <c r="B46" t="s">
        <v>13</v>
      </c>
      <c r="C46">
        <v>0</v>
      </c>
      <c r="D46">
        <v>15</v>
      </c>
      <c r="E46">
        <v>73</v>
      </c>
      <c r="F46">
        <v>0</v>
      </c>
      <c r="G46">
        <v>0.33300000000000002</v>
      </c>
      <c r="H46">
        <v>3</v>
      </c>
      <c r="I46">
        <v>22</v>
      </c>
      <c r="J46">
        <v>7</v>
      </c>
      <c r="K46">
        <v>15</v>
      </c>
      <c r="L46">
        <v>0</v>
      </c>
    </row>
    <row r="47" spans="1:12" x14ac:dyDescent="0.2">
      <c r="A47" t="s">
        <v>59</v>
      </c>
      <c r="B47" t="s">
        <v>13</v>
      </c>
      <c r="C47">
        <v>0</v>
      </c>
      <c r="D47">
        <v>8</v>
      </c>
      <c r="E47">
        <v>22</v>
      </c>
      <c r="F47">
        <v>0</v>
      </c>
      <c r="G47">
        <v>0.33300000000000002</v>
      </c>
      <c r="H47">
        <v>1</v>
      </c>
      <c r="I47">
        <v>9</v>
      </c>
      <c r="J47">
        <v>9</v>
      </c>
      <c r="K47">
        <v>8</v>
      </c>
      <c r="L47">
        <v>0</v>
      </c>
    </row>
    <row r="48" spans="1:12" x14ac:dyDescent="0.2">
      <c r="A48" t="s">
        <v>60</v>
      </c>
      <c r="B48" t="s">
        <v>15</v>
      </c>
      <c r="C48">
        <v>1</v>
      </c>
      <c r="D48">
        <v>21</v>
      </c>
      <c r="E48">
        <v>0</v>
      </c>
      <c r="F48">
        <v>1</v>
      </c>
      <c r="G48">
        <v>1</v>
      </c>
      <c r="H48">
        <v>7</v>
      </c>
      <c r="I48">
        <v>21</v>
      </c>
      <c r="J48">
        <v>20</v>
      </c>
      <c r="K48">
        <v>21</v>
      </c>
      <c r="L48">
        <v>0</v>
      </c>
    </row>
    <row r="49" spans="1:12" x14ac:dyDescent="0.2">
      <c r="A49" t="s">
        <v>61</v>
      </c>
      <c r="B49" t="s">
        <v>13</v>
      </c>
      <c r="C49">
        <v>0</v>
      </c>
      <c r="D49">
        <v>27</v>
      </c>
      <c r="E49">
        <v>325</v>
      </c>
      <c r="F49">
        <v>1</v>
      </c>
      <c r="G49">
        <v>0.16700000000000001</v>
      </c>
      <c r="H49">
        <v>10</v>
      </c>
      <c r="I49">
        <v>53</v>
      </c>
      <c r="J49">
        <v>0</v>
      </c>
      <c r="K49">
        <v>28</v>
      </c>
      <c r="L49">
        <v>0</v>
      </c>
    </row>
    <row r="50" spans="1:12" x14ac:dyDescent="0.2">
      <c r="A50" t="s">
        <v>62</v>
      </c>
      <c r="B50" t="s">
        <v>13</v>
      </c>
      <c r="C50">
        <v>0</v>
      </c>
      <c r="D50">
        <v>23</v>
      </c>
      <c r="E50">
        <v>0</v>
      </c>
      <c r="F50">
        <v>0</v>
      </c>
      <c r="G50">
        <v>0.5</v>
      </c>
      <c r="H50">
        <v>30</v>
      </c>
      <c r="I50">
        <v>115</v>
      </c>
      <c r="J50">
        <v>3</v>
      </c>
      <c r="K50">
        <v>25</v>
      </c>
      <c r="L50">
        <v>0</v>
      </c>
    </row>
    <row r="51" spans="1:12" x14ac:dyDescent="0.2">
      <c r="A51" t="s">
        <v>63</v>
      </c>
      <c r="B51" t="s">
        <v>13</v>
      </c>
      <c r="C51">
        <v>0</v>
      </c>
      <c r="D51">
        <v>1</v>
      </c>
      <c r="E51">
        <v>1</v>
      </c>
      <c r="F51">
        <v>1</v>
      </c>
      <c r="G51">
        <v>1</v>
      </c>
      <c r="H51">
        <v>2</v>
      </c>
      <c r="I51">
        <v>6</v>
      </c>
      <c r="J51">
        <v>0</v>
      </c>
      <c r="K51">
        <v>2</v>
      </c>
      <c r="L51">
        <v>0</v>
      </c>
    </row>
    <row r="52" spans="1:12" x14ac:dyDescent="0.2">
      <c r="A52" t="s">
        <v>64</v>
      </c>
      <c r="B52" t="s">
        <v>13</v>
      </c>
      <c r="C52">
        <v>0</v>
      </c>
      <c r="D52">
        <v>1</v>
      </c>
      <c r="E52">
        <v>1</v>
      </c>
      <c r="F52">
        <v>1</v>
      </c>
      <c r="G52">
        <v>1</v>
      </c>
      <c r="H52">
        <v>2</v>
      </c>
      <c r="I52">
        <v>11</v>
      </c>
      <c r="J52">
        <v>0</v>
      </c>
      <c r="K52">
        <v>2</v>
      </c>
      <c r="L52">
        <v>0</v>
      </c>
    </row>
    <row r="53" spans="1:12" x14ac:dyDescent="0.2">
      <c r="A53" t="s">
        <v>65</v>
      </c>
      <c r="B53" t="s">
        <v>13</v>
      </c>
      <c r="C53">
        <v>0</v>
      </c>
      <c r="D53">
        <v>19</v>
      </c>
      <c r="E53">
        <v>0</v>
      </c>
      <c r="F53">
        <v>0</v>
      </c>
      <c r="G53">
        <v>0.25</v>
      </c>
      <c r="H53">
        <v>26</v>
      </c>
      <c r="I53">
        <v>176</v>
      </c>
      <c r="J53">
        <v>0</v>
      </c>
      <c r="K53">
        <v>24</v>
      </c>
      <c r="L53">
        <v>0</v>
      </c>
    </row>
    <row r="54" spans="1:12" x14ac:dyDescent="0.2">
      <c r="A54" t="s">
        <v>66</v>
      </c>
      <c r="B54" t="s">
        <v>13</v>
      </c>
      <c r="C54">
        <v>1</v>
      </c>
      <c r="D54">
        <v>10</v>
      </c>
      <c r="E54">
        <v>37</v>
      </c>
      <c r="F54">
        <v>0</v>
      </c>
      <c r="G54">
        <v>0.25</v>
      </c>
      <c r="H54">
        <v>2</v>
      </c>
      <c r="I54">
        <v>14</v>
      </c>
      <c r="J54">
        <v>9</v>
      </c>
      <c r="K54">
        <v>10</v>
      </c>
      <c r="L54">
        <v>0</v>
      </c>
    </row>
    <row r="55" spans="1:12" x14ac:dyDescent="0.2">
      <c r="A55" t="s">
        <v>67</v>
      </c>
      <c r="B55" t="s">
        <v>13</v>
      </c>
      <c r="C55">
        <v>7</v>
      </c>
      <c r="D55">
        <v>2</v>
      </c>
      <c r="E55">
        <v>1</v>
      </c>
      <c r="F55">
        <v>1</v>
      </c>
      <c r="G55">
        <v>1</v>
      </c>
      <c r="H55">
        <v>0</v>
      </c>
      <c r="I55">
        <v>8</v>
      </c>
      <c r="J55">
        <v>11</v>
      </c>
      <c r="K55">
        <v>3</v>
      </c>
      <c r="L55">
        <v>0</v>
      </c>
    </row>
    <row r="56" spans="1:12" x14ac:dyDescent="0.2">
      <c r="A56" t="s">
        <v>68</v>
      </c>
      <c r="B56" t="s">
        <v>13</v>
      </c>
      <c r="C56">
        <v>0</v>
      </c>
      <c r="D56">
        <v>15</v>
      </c>
      <c r="E56">
        <v>54</v>
      </c>
      <c r="F56">
        <v>0</v>
      </c>
      <c r="G56">
        <v>0.5</v>
      </c>
      <c r="H56">
        <v>5</v>
      </c>
      <c r="I56">
        <v>30</v>
      </c>
      <c r="J56">
        <v>22</v>
      </c>
      <c r="K56">
        <v>16</v>
      </c>
      <c r="L56">
        <v>0</v>
      </c>
    </row>
    <row r="57" spans="1:12" x14ac:dyDescent="0.2">
      <c r="A57" t="s">
        <v>69</v>
      </c>
      <c r="B57" t="s">
        <v>13</v>
      </c>
      <c r="C57">
        <v>0</v>
      </c>
      <c r="D57">
        <v>5</v>
      </c>
      <c r="E57">
        <v>6</v>
      </c>
      <c r="F57">
        <v>0</v>
      </c>
      <c r="G57">
        <v>0.5</v>
      </c>
      <c r="H57">
        <v>1</v>
      </c>
      <c r="I57">
        <v>6</v>
      </c>
      <c r="J57">
        <v>3</v>
      </c>
      <c r="K57">
        <v>5</v>
      </c>
      <c r="L57">
        <v>0</v>
      </c>
    </row>
    <row r="58" spans="1:12" x14ac:dyDescent="0.2">
      <c r="A58" t="s">
        <v>70</v>
      </c>
      <c r="B58" t="s">
        <v>13</v>
      </c>
      <c r="C58">
        <v>0</v>
      </c>
      <c r="D58">
        <v>5</v>
      </c>
      <c r="E58">
        <v>4</v>
      </c>
      <c r="F58">
        <v>1</v>
      </c>
      <c r="G58">
        <v>0.33300000000000002</v>
      </c>
      <c r="H58">
        <v>8</v>
      </c>
      <c r="I58">
        <v>17</v>
      </c>
      <c r="J58">
        <v>0</v>
      </c>
      <c r="K58">
        <v>5</v>
      </c>
      <c r="L58">
        <v>0</v>
      </c>
    </row>
    <row r="59" spans="1:12" x14ac:dyDescent="0.2">
      <c r="A59" t="s">
        <v>71</v>
      </c>
      <c r="B59" t="s">
        <v>13</v>
      </c>
      <c r="C59">
        <v>11</v>
      </c>
      <c r="D59">
        <v>1</v>
      </c>
      <c r="E59">
        <v>1</v>
      </c>
      <c r="F59">
        <v>1</v>
      </c>
      <c r="G59">
        <v>1</v>
      </c>
      <c r="H59">
        <v>0</v>
      </c>
      <c r="I59">
        <v>4</v>
      </c>
      <c r="J59">
        <v>8</v>
      </c>
      <c r="K59">
        <v>2</v>
      </c>
      <c r="L59">
        <v>0</v>
      </c>
    </row>
    <row r="60" spans="1:12" x14ac:dyDescent="0.2">
      <c r="A60" t="s">
        <v>72</v>
      </c>
      <c r="B60" t="s">
        <v>13</v>
      </c>
      <c r="C60">
        <v>0</v>
      </c>
      <c r="D60">
        <v>9</v>
      </c>
      <c r="E60">
        <v>28</v>
      </c>
      <c r="F60">
        <v>0</v>
      </c>
      <c r="G60">
        <v>0.25</v>
      </c>
      <c r="H60">
        <v>3</v>
      </c>
      <c r="I60">
        <v>10</v>
      </c>
      <c r="J60">
        <v>3</v>
      </c>
      <c r="K60">
        <v>9</v>
      </c>
      <c r="L60">
        <v>0</v>
      </c>
    </row>
    <row r="61" spans="1:12" x14ac:dyDescent="0.2">
      <c r="A61" t="s">
        <v>73</v>
      </c>
      <c r="B61" t="s">
        <v>15</v>
      </c>
      <c r="C61">
        <v>0</v>
      </c>
      <c r="D61">
        <v>9</v>
      </c>
      <c r="E61">
        <v>13</v>
      </c>
      <c r="F61">
        <v>1</v>
      </c>
      <c r="G61">
        <v>0.33300000000000002</v>
      </c>
      <c r="H61">
        <v>0</v>
      </c>
      <c r="I61">
        <v>18</v>
      </c>
      <c r="J61">
        <v>1</v>
      </c>
      <c r="K61">
        <v>11</v>
      </c>
      <c r="L61">
        <v>0</v>
      </c>
    </row>
    <row r="62" spans="1:12" x14ac:dyDescent="0.2">
      <c r="A62" t="s">
        <v>74</v>
      </c>
      <c r="B62" t="s">
        <v>13</v>
      </c>
      <c r="C62">
        <v>0</v>
      </c>
      <c r="D62">
        <v>19</v>
      </c>
      <c r="E62">
        <v>183</v>
      </c>
      <c r="F62">
        <v>1</v>
      </c>
      <c r="G62">
        <v>0.111</v>
      </c>
      <c r="H62">
        <v>8</v>
      </c>
      <c r="I62">
        <v>49</v>
      </c>
      <c r="J62">
        <v>0</v>
      </c>
      <c r="K62">
        <v>22</v>
      </c>
      <c r="L62">
        <v>0</v>
      </c>
    </row>
    <row r="63" spans="1:12" x14ac:dyDescent="0.2">
      <c r="A63" t="s">
        <v>75</v>
      </c>
      <c r="B63" t="s">
        <v>13</v>
      </c>
      <c r="C63">
        <v>0</v>
      </c>
      <c r="D63">
        <v>7</v>
      </c>
      <c r="E63">
        <v>5</v>
      </c>
      <c r="F63">
        <v>1</v>
      </c>
      <c r="G63">
        <v>0.33300000000000002</v>
      </c>
      <c r="H63">
        <v>3</v>
      </c>
      <c r="I63">
        <v>18</v>
      </c>
      <c r="J63">
        <v>2</v>
      </c>
      <c r="K63">
        <v>9</v>
      </c>
      <c r="L63">
        <v>0</v>
      </c>
    </row>
    <row r="64" spans="1:12" x14ac:dyDescent="0.2">
      <c r="A64" t="s">
        <v>76</v>
      </c>
      <c r="B64" t="s">
        <v>13</v>
      </c>
      <c r="C64">
        <v>0</v>
      </c>
      <c r="D64">
        <v>30</v>
      </c>
      <c r="E64">
        <v>373</v>
      </c>
      <c r="F64">
        <v>1</v>
      </c>
      <c r="G64">
        <v>9.0999999999999998E-2</v>
      </c>
      <c r="H64">
        <v>7</v>
      </c>
      <c r="I64">
        <v>42</v>
      </c>
      <c r="J64">
        <v>31</v>
      </c>
      <c r="K64">
        <v>30</v>
      </c>
      <c r="L64">
        <v>0</v>
      </c>
    </row>
    <row r="65" spans="1:12" x14ac:dyDescent="0.2">
      <c r="A65" t="s">
        <v>77</v>
      </c>
      <c r="B65" t="s">
        <v>15</v>
      </c>
      <c r="C65">
        <v>0</v>
      </c>
      <c r="D65">
        <v>10</v>
      </c>
      <c r="E65">
        <v>0</v>
      </c>
      <c r="F65">
        <v>1</v>
      </c>
      <c r="G65">
        <v>1</v>
      </c>
      <c r="H65">
        <v>5</v>
      </c>
      <c r="I65">
        <v>10</v>
      </c>
      <c r="J65">
        <v>9</v>
      </c>
      <c r="K65">
        <v>10</v>
      </c>
      <c r="L65">
        <v>0</v>
      </c>
    </row>
    <row r="66" spans="1:12" x14ac:dyDescent="0.2">
      <c r="A66" t="s">
        <v>78</v>
      </c>
      <c r="B66" t="s">
        <v>13</v>
      </c>
      <c r="C66">
        <v>0</v>
      </c>
      <c r="D66">
        <v>16</v>
      </c>
      <c r="E66">
        <v>136</v>
      </c>
      <c r="F66">
        <v>1</v>
      </c>
      <c r="G66">
        <v>0.16700000000000001</v>
      </c>
      <c r="H66">
        <v>8</v>
      </c>
      <c r="I66">
        <v>31</v>
      </c>
      <c r="J66">
        <v>0</v>
      </c>
      <c r="K66">
        <v>17</v>
      </c>
      <c r="L66">
        <v>0</v>
      </c>
    </row>
    <row r="67" spans="1:12" x14ac:dyDescent="0.2">
      <c r="A67" t="s">
        <v>79</v>
      </c>
      <c r="B67" t="s">
        <v>13</v>
      </c>
      <c r="C67">
        <v>0</v>
      </c>
      <c r="D67">
        <v>11</v>
      </c>
      <c r="E67">
        <v>54</v>
      </c>
      <c r="F67">
        <v>0</v>
      </c>
      <c r="G67">
        <v>0.2</v>
      </c>
      <c r="H67">
        <v>15</v>
      </c>
      <c r="I67">
        <v>49</v>
      </c>
      <c r="J67">
        <v>1</v>
      </c>
      <c r="K67">
        <v>12</v>
      </c>
      <c r="L67">
        <v>0</v>
      </c>
    </row>
    <row r="68" spans="1:12" x14ac:dyDescent="0.2">
      <c r="A68" t="s">
        <v>80</v>
      </c>
      <c r="B68" t="s">
        <v>13</v>
      </c>
      <c r="C68">
        <v>0</v>
      </c>
      <c r="D68">
        <v>2</v>
      </c>
      <c r="E68">
        <v>0</v>
      </c>
      <c r="F68">
        <v>0</v>
      </c>
      <c r="G68">
        <v>1</v>
      </c>
      <c r="H68">
        <v>21</v>
      </c>
      <c r="I68">
        <v>42</v>
      </c>
      <c r="J68">
        <v>1</v>
      </c>
      <c r="K68">
        <v>2</v>
      </c>
      <c r="L68">
        <v>1</v>
      </c>
    </row>
    <row r="69" spans="1:12" x14ac:dyDescent="0.2">
      <c r="A69" t="s">
        <v>81</v>
      </c>
      <c r="B69" t="s">
        <v>15</v>
      </c>
      <c r="C69">
        <v>0</v>
      </c>
      <c r="D69">
        <v>2</v>
      </c>
      <c r="E69">
        <v>1</v>
      </c>
      <c r="F69">
        <v>0</v>
      </c>
      <c r="G69">
        <v>1</v>
      </c>
      <c r="H69">
        <v>9</v>
      </c>
      <c r="I69">
        <v>13</v>
      </c>
      <c r="J69">
        <v>0</v>
      </c>
      <c r="K69">
        <v>2</v>
      </c>
      <c r="L69">
        <v>0</v>
      </c>
    </row>
    <row r="70" spans="1:12" x14ac:dyDescent="0.2">
      <c r="A70" t="s">
        <v>82</v>
      </c>
      <c r="B70" t="s">
        <v>13</v>
      </c>
      <c r="C70">
        <v>0</v>
      </c>
      <c r="D70">
        <v>2</v>
      </c>
      <c r="E70">
        <v>2</v>
      </c>
      <c r="F70">
        <v>0</v>
      </c>
      <c r="G70">
        <v>0.5</v>
      </c>
      <c r="H70">
        <v>14</v>
      </c>
      <c r="I70">
        <v>35</v>
      </c>
      <c r="J70">
        <v>0</v>
      </c>
      <c r="K70">
        <v>4</v>
      </c>
      <c r="L70">
        <v>0</v>
      </c>
    </row>
    <row r="71" spans="1:12" x14ac:dyDescent="0.2">
      <c r="A71" t="s">
        <v>83</v>
      </c>
      <c r="B71" t="s">
        <v>13</v>
      </c>
      <c r="C71">
        <v>0</v>
      </c>
      <c r="D71">
        <v>5</v>
      </c>
      <c r="E71">
        <v>3</v>
      </c>
      <c r="F71">
        <v>0</v>
      </c>
      <c r="G71">
        <v>0.5</v>
      </c>
      <c r="H71">
        <v>18</v>
      </c>
      <c r="I71">
        <v>91</v>
      </c>
      <c r="J71">
        <v>0</v>
      </c>
      <c r="K71">
        <v>7</v>
      </c>
      <c r="L71">
        <v>0</v>
      </c>
    </row>
    <row r="72" spans="1:12" x14ac:dyDescent="0.2">
      <c r="A72" t="s">
        <v>84</v>
      </c>
      <c r="B72" t="s">
        <v>13</v>
      </c>
      <c r="C72">
        <v>0</v>
      </c>
      <c r="D72">
        <v>46</v>
      </c>
      <c r="E72">
        <v>912</v>
      </c>
      <c r="F72">
        <v>1</v>
      </c>
      <c r="G72">
        <v>0.25</v>
      </c>
      <c r="H72">
        <v>6</v>
      </c>
      <c r="I72">
        <v>60</v>
      </c>
      <c r="J72">
        <v>1</v>
      </c>
      <c r="K72">
        <v>48</v>
      </c>
      <c r="L72">
        <v>0</v>
      </c>
    </row>
    <row r="73" spans="1:12" x14ac:dyDescent="0.2">
      <c r="A73" t="s">
        <v>85</v>
      </c>
      <c r="B73" t="s">
        <v>13</v>
      </c>
      <c r="C73">
        <v>0</v>
      </c>
      <c r="D73">
        <v>5</v>
      </c>
      <c r="E73">
        <v>0</v>
      </c>
      <c r="F73">
        <v>0</v>
      </c>
      <c r="G73">
        <v>1</v>
      </c>
      <c r="H73">
        <v>23</v>
      </c>
      <c r="I73">
        <v>103</v>
      </c>
      <c r="J73">
        <v>1</v>
      </c>
      <c r="K73">
        <v>6</v>
      </c>
      <c r="L73">
        <v>1</v>
      </c>
    </row>
    <row r="74" spans="1:12" x14ac:dyDescent="0.2">
      <c r="A74" t="s">
        <v>86</v>
      </c>
      <c r="B74" t="s">
        <v>13</v>
      </c>
      <c r="C74">
        <v>0</v>
      </c>
      <c r="D74">
        <v>54</v>
      </c>
      <c r="E74">
        <v>1266</v>
      </c>
      <c r="F74">
        <v>0</v>
      </c>
      <c r="G74">
        <v>0.33300000000000002</v>
      </c>
      <c r="H74">
        <v>23</v>
      </c>
      <c r="I74">
        <v>143</v>
      </c>
      <c r="J74">
        <v>4</v>
      </c>
      <c r="K74">
        <v>56</v>
      </c>
      <c r="L74">
        <v>1</v>
      </c>
    </row>
    <row r="75" spans="1:12" x14ac:dyDescent="0.2">
      <c r="A75" t="s">
        <v>87</v>
      </c>
      <c r="B75" t="s">
        <v>13</v>
      </c>
      <c r="C75">
        <v>0</v>
      </c>
      <c r="D75">
        <v>2</v>
      </c>
      <c r="E75">
        <v>0</v>
      </c>
      <c r="F75">
        <v>0</v>
      </c>
      <c r="G75">
        <v>1</v>
      </c>
      <c r="H75">
        <v>13</v>
      </c>
      <c r="I75">
        <v>22</v>
      </c>
      <c r="J75">
        <v>0</v>
      </c>
      <c r="K75">
        <v>2</v>
      </c>
      <c r="L75">
        <v>0</v>
      </c>
    </row>
    <row r="76" spans="1:12" x14ac:dyDescent="0.2">
      <c r="A76" t="s">
        <v>88</v>
      </c>
      <c r="B76" t="s">
        <v>15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">
      <c r="A77" t="s">
        <v>89</v>
      </c>
      <c r="B77" t="s">
        <v>13</v>
      </c>
      <c r="C77">
        <v>6</v>
      </c>
      <c r="D77">
        <v>3</v>
      </c>
      <c r="E77">
        <v>0</v>
      </c>
      <c r="F77">
        <v>1</v>
      </c>
      <c r="G77">
        <v>1</v>
      </c>
      <c r="H77">
        <v>0</v>
      </c>
      <c r="I77">
        <v>5</v>
      </c>
      <c r="J77">
        <v>1</v>
      </c>
      <c r="K77">
        <v>4</v>
      </c>
      <c r="L77">
        <v>0</v>
      </c>
    </row>
    <row r="78" spans="1:12" x14ac:dyDescent="0.2">
      <c r="A78" t="s">
        <v>90</v>
      </c>
      <c r="B78" t="s">
        <v>13</v>
      </c>
      <c r="C78">
        <v>0</v>
      </c>
      <c r="D78">
        <v>8</v>
      </c>
      <c r="E78">
        <v>22</v>
      </c>
      <c r="F78">
        <v>0</v>
      </c>
      <c r="G78">
        <v>0.33300000000000002</v>
      </c>
      <c r="H78">
        <v>1</v>
      </c>
      <c r="I78">
        <v>9</v>
      </c>
      <c r="J78">
        <v>5</v>
      </c>
      <c r="K78">
        <v>8</v>
      </c>
      <c r="L78">
        <v>0</v>
      </c>
    </row>
    <row r="79" spans="1:12" x14ac:dyDescent="0.2">
      <c r="A79" t="s">
        <v>91</v>
      </c>
      <c r="B79" t="s">
        <v>13</v>
      </c>
      <c r="C79">
        <v>0</v>
      </c>
      <c r="D79">
        <v>1</v>
      </c>
      <c r="E79">
        <v>0</v>
      </c>
      <c r="F79">
        <v>1</v>
      </c>
      <c r="G79">
        <v>1</v>
      </c>
      <c r="H79">
        <v>0</v>
      </c>
      <c r="I79">
        <v>2</v>
      </c>
      <c r="J79">
        <v>9</v>
      </c>
      <c r="K79">
        <v>1</v>
      </c>
      <c r="L79">
        <v>9</v>
      </c>
    </row>
    <row r="80" spans="1:12" x14ac:dyDescent="0.2">
      <c r="A80" t="s">
        <v>92</v>
      </c>
      <c r="B80" t="s">
        <v>15</v>
      </c>
      <c r="C80">
        <v>1</v>
      </c>
      <c r="D80">
        <v>7</v>
      </c>
      <c r="E80">
        <v>0</v>
      </c>
      <c r="F80">
        <v>1</v>
      </c>
      <c r="G80">
        <v>1</v>
      </c>
      <c r="H80">
        <v>5</v>
      </c>
      <c r="I80">
        <v>7</v>
      </c>
      <c r="J80">
        <v>6</v>
      </c>
      <c r="K80">
        <v>7</v>
      </c>
      <c r="L80">
        <v>0</v>
      </c>
    </row>
    <row r="81" spans="1:12" x14ac:dyDescent="0.2">
      <c r="A81" t="s">
        <v>93</v>
      </c>
      <c r="B81" t="s">
        <v>13</v>
      </c>
      <c r="C81">
        <v>0</v>
      </c>
      <c r="D81">
        <v>13</v>
      </c>
      <c r="E81">
        <v>78</v>
      </c>
      <c r="F81">
        <v>1</v>
      </c>
      <c r="G81">
        <v>0.16700000000000001</v>
      </c>
      <c r="H81">
        <v>8</v>
      </c>
      <c r="I81">
        <v>25</v>
      </c>
      <c r="J81">
        <v>0</v>
      </c>
      <c r="K81">
        <v>14</v>
      </c>
      <c r="L81">
        <v>0</v>
      </c>
    </row>
    <row r="82" spans="1:12" x14ac:dyDescent="0.2">
      <c r="A82" t="s">
        <v>94</v>
      </c>
      <c r="B82" t="s">
        <v>13</v>
      </c>
      <c r="C82">
        <v>0</v>
      </c>
      <c r="D82">
        <v>8</v>
      </c>
      <c r="E82">
        <v>0</v>
      </c>
      <c r="F82">
        <v>0</v>
      </c>
      <c r="G82">
        <v>1</v>
      </c>
      <c r="H82">
        <v>20</v>
      </c>
      <c r="I82">
        <v>58</v>
      </c>
      <c r="J82">
        <v>1</v>
      </c>
      <c r="K82">
        <v>8</v>
      </c>
      <c r="L82">
        <v>0</v>
      </c>
    </row>
    <row r="83" spans="1:12" x14ac:dyDescent="0.2">
      <c r="A83" t="s">
        <v>95</v>
      </c>
      <c r="B83" t="s">
        <v>13</v>
      </c>
      <c r="C83">
        <v>0</v>
      </c>
      <c r="D83">
        <v>1</v>
      </c>
      <c r="E83">
        <v>1</v>
      </c>
      <c r="F83">
        <v>1</v>
      </c>
      <c r="G83">
        <v>1</v>
      </c>
      <c r="H83">
        <v>2</v>
      </c>
      <c r="I83">
        <v>7</v>
      </c>
      <c r="J83">
        <v>1</v>
      </c>
      <c r="K83">
        <v>3</v>
      </c>
      <c r="L83">
        <v>0</v>
      </c>
    </row>
    <row r="84" spans="1:12" x14ac:dyDescent="0.2">
      <c r="A84" t="s">
        <v>96</v>
      </c>
      <c r="B84" t="s">
        <v>13</v>
      </c>
      <c r="C84">
        <v>0</v>
      </c>
      <c r="D84">
        <v>11</v>
      </c>
      <c r="E84">
        <v>45</v>
      </c>
      <c r="F84">
        <v>0</v>
      </c>
      <c r="G84">
        <v>0.2</v>
      </c>
      <c r="H84">
        <v>1</v>
      </c>
      <c r="I84">
        <v>12</v>
      </c>
      <c r="J84">
        <v>12</v>
      </c>
      <c r="K84">
        <v>11</v>
      </c>
      <c r="L84">
        <v>3</v>
      </c>
    </row>
    <row r="85" spans="1:12" x14ac:dyDescent="0.2">
      <c r="A85" t="s">
        <v>97</v>
      </c>
      <c r="B85" t="s">
        <v>13</v>
      </c>
      <c r="C85">
        <v>0</v>
      </c>
      <c r="D85">
        <v>7</v>
      </c>
      <c r="E85">
        <v>15</v>
      </c>
      <c r="F85">
        <v>0</v>
      </c>
      <c r="G85">
        <v>0.33300000000000002</v>
      </c>
      <c r="H85">
        <v>2</v>
      </c>
      <c r="I85">
        <v>8</v>
      </c>
      <c r="J85">
        <v>0</v>
      </c>
      <c r="K85">
        <v>7</v>
      </c>
      <c r="L85">
        <v>0</v>
      </c>
    </row>
    <row r="86" spans="1:12" x14ac:dyDescent="0.2">
      <c r="A86" t="s">
        <v>98</v>
      </c>
      <c r="B86" t="s">
        <v>13</v>
      </c>
      <c r="C86">
        <v>0</v>
      </c>
      <c r="D86">
        <v>7</v>
      </c>
      <c r="E86">
        <v>15</v>
      </c>
      <c r="F86">
        <v>0</v>
      </c>
      <c r="G86">
        <v>0.33300000000000002</v>
      </c>
      <c r="H86">
        <v>3</v>
      </c>
      <c r="I86">
        <v>8</v>
      </c>
      <c r="J86">
        <v>0</v>
      </c>
      <c r="K86">
        <v>7</v>
      </c>
      <c r="L86">
        <v>0</v>
      </c>
    </row>
    <row r="87" spans="1:12" x14ac:dyDescent="0.2">
      <c r="A87" t="s">
        <v>99</v>
      </c>
      <c r="B87" t="s">
        <v>13</v>
      </c>
      <c r="C87">
        <v>0</v>
      </c>
      <c r="D87">
        <v>7</v>
      </c>
      <c r="E87">
        <v>15</v>
      </c>
      <c r="F87">
        <v>0</v>
      </c>
      <c r="G87">
        <v>0.33300000000000002</v>
      </c>
      <c r="H87">
        <v>2</v>
      </c>
      <c r="I87">
        <v>8</v>
      </c>
      <c r="J87">
        <v>2</v>
      </c>
      <c r="K87">
        <v>7</v>
      </c>
      <c r="L87">
        <v>0</v>
      </c>
    </row>
    <row r="88" spans="1:12" x14ac:dyDescent="0.2">
      <c r="A88" t="s">
        <v>100</v>
      </c>
      <c r="B88" t="s">
        <v>13</v>
      </c>
      <c r="C88">
        <v>0</v>
      </c>
      <c r="D88">
        <v>9</v>
      </c>
      <c r="E88">
        <v>28</v>
      </c>
      <c r="F88">
        <v>0</v>
      </c>
      <c r="G88">
        <v>0.25</v>
      </c>
      <c r="H88">
        <v>2</v>
      </c>
      <c r="I88">
        <v>10</v>
      </c>
      <c r="J88">
        <v>8</v>
      </c>
      <c r="K88">
        <v>9</v>
      </c>
      <c r="L88">
        <v>0</v>
      </c>
    </row>
    <row r="89" spans="1:12" x14ac:dyDescent="0.2">
      <c r="A89" t="s">
        <v>101</v>
      </c>
      <c r="B89" t="s">
        <v>13</v>
      </c>
      <c r="C89">
        <v>0</v>
      </c>
      <c r="D89">
        <v>5</v>
      </c>
      <c r="E89">
        <v>6</v>
      </c>
      <c r="F89">
        <v>0</v>
      </c>
      <c r="G89">
        <v>0.5</v>
      </c>
      <c r="H89">
        <v>2</v>
      </c>
      <c r="I89">
        <v>6</v>
      </c>
      <c r="J89">
        <v>4</v>
      </c>
      <c r="K89">
        <v>5</v>
      </c>
      <c r="L89">
        <v>0</v>
      </c>
    </row>
    <row r="90" spans="1:12" x14ac:dyDescent="0.2">
      <c r="A90" t="s">
        <v>102</v>
      </c>
      <c r="B90" t="s">
        <v>13</v>
      </c>
      <c r="C90">
        <v>0</v>
      </c>
      <c r="D90">
        <v>3</v>
      </c>
      <c r="E90">
        <v>0</v>
      </c>
      <c r="F90">
        <v>0</v>
      </c>
      <c r="G90">
        <v>1</v>
      </c>
      <c r="H90">
        <v>1</v>
      </c>
      <c r="I90">
        <v>4</v>
      </c>
      <c r="J90">
        <v>0</v>
      </c>
      <c r="K90">
        <v>3</v>
      </c>
      <c r="L90">
        <v>0</v>
      </c>
    </row>
    <row r="91" spans="1:12" x14ac:dyDescent="0.2">
      <c r="A91" t="s">
        <v>103</v>
      </c>
      <c r="B91" t="s">
        <v>13</v>
      </c>
      <c r="C91">
        <v>0</v>
      </c>
      <c r="D91">
        <v>6</v>
      </c>
      <c r="E91">
        <v>11</v>
      </c>
      <c r="F91">
        <v>0</v>
      </c>
      <c r="G91">
        <v>0.33300000000000002</v>
      </c>
      <c r="H91">
        <v>22</v>
      </c>
      <c r="I91">
        <v>66</v>
      </c>
      <c r="J91">
        <v>0</v>
      </c>
      <c r="K91">
        <v>7</v>
      </c>
      <c r="L91">
        <v>0</v>
      </c>
    </row>
    <row r="92" spans="1:12" x14ac:dyDescent="0.2">
      <c r="A92" t="s">
        <v>104</v>
      </c>
      <c r="B92" t="s">
        <v>13</v>
      </c>
      <c r="C92">
        <v>0</v>
      </c>
      <c r="D92">
        <v>28</v>
      </c>
      <c r="E92">
        <v>237</v>
      </c>
      <c r="F92">
        <v>0</v>
      </c>
      <c r="G92">
        <v>0.33300000000000002</v>
      </c>
      <c r="H92">
        <v>17</v>
      </c>
      <c r="I92">
        <v>65</v>
      </c>
      <c r="J92">
        <v>2</v>
      </c>
      <c r="K92">
        <v>30</v>
      </c>
      <c r="L92">
        <v>0</v>
      </c>
    </row>
    <row r="93" spans="1:12" x14ac:dyDescent="0.2">
      <c r="A93" t="s">
        <v>105</v>
      </c>
      <c r="B93" t="s">
        <v>13</v>
      </c>
      <c r="C93">
        <v>0</v>
      </c>
      <c r="D93">
        <v>6</v>
      </c>
      <c r="E93">
        <v>0</v>
      </c>
      <c r="F93">
        <v>1</v>
      </c>
      <c r="G93">
        <v>0.5</v>
      </c>
      <c r="H93">
        <v>1</v>
      </c>
      <c r="I93">
        <v>28</v>
      </c>
      <c r="J93">
        <v>1</v>
      </c>
      <c r="K93">
        <v>7</v>
      </c>
      <c r="L93">
        <v>0</v>
      </c>
    </row>
    <row r="94" spans="1:12" x14ac:dyDescent="0.2">
      <c r="A94" t="s">
        <v>106</v>
      </c>
      <c r="B94" t="s">
        <v>13</v>
      </c>
      <c r="C94">
        <v>0</v>
      </c>
      <c r="D94">
        <v>2</v>
      </c>
      <c r="E94">
        <v>0</v>
      </c>
      <c r="F94">
        <v>0</v>
      </c>
      <c r="G94">
        <v>1</v>
      </c>
      <c r="H94">
        <v>18</v>
      </c>
      <c r="I94">
        <v>39</v>
      </c>
      <c r="J94">
        <v>0</v>
      </c>
      <c r="K94">
        <v>2</v>
      </c>
      <c r="L94">
        <v>0</v>
      </c>
    </row>
    <row r="95" spans="1:12" x14ac:dyDescent="0.2">
      <c r="A95" t="s">
        <v>107</v>
      </c>
      <c r="B95" t="s">
        <v>13</v>
      </c>
      <c r="C95">
        <v>0</v>
      </c>
      <c r="D95">
        <v>2</v>
      </c>
      <c r="E95">
        <v>0</v>
      </c>
      <c r="F95">
        <v>0</v>
      </c>
      <c r="G95">
        <v>1</v>
      </c>
      <c r="H95">
        <v>18</v>
      </c>
      <c r="I95">
        <v>58</v>
      </c>
      <c r="J95">
        <v>0</v>
      </c>
      <c r="K95">
        <v>3</v>
      </c>
      <c r="L95">
        <v>0</v>
      </c>
    </row>
    <row r="96" spans="1:12" x14ac:dyDescent="0.2">
      <c r="A96" t="s">
        <v>108</v>
      </c>
      <c r="B96" t="s">
        <v>13</v>
      </c>
      <c r="C96">
        <v>0</v>
      </c>
      <c r="D96">
        <v>27</v>
      </c>
      <c r="E96">
        <v>262</v>
      </c>
      <c r="F96">
        <v>0</v>
      </c>
      <c r="G96">
        <v>0.14299999999999999</v>
      </c>
      <c r="H96">
        <v>8</v>
      </c>
      <c r="I96">
        <v>34</v>
      </c>
      <c r="J96">
        <v>1</v>
      </c>
      <c r="K96">
        <v>28</v>
      </c>
      <c r="L96">
        <v>0</v>
      </c>
    </row>
    <row r="97" spans="1:12" x14ac:dyDescent="0.2">
      <c r="A97" t="s">
        <v>109</v>
      </c>
      <c r="B97" t="s">
        <v>13</v>
      </c>
      <c r="C97">
        <v>6</v>
      </c>
      <c r="D97">
        <v>1</v>
      </c>
      <c r="E97">
        <v>1</v>
      </c>
      <c r="F97">
        <v>1</v>
      </c>
      <c r="G97">
        <v>1</v>
      </c>
      <c r="H97">
        <v>0</v>
      </c>
      <c r="I97">
        <v>4</v>
      </c>
      <c r="J97">
        <v>1</v>
      </c>
      <c r="K97">
        <v>2</v>
      </c>
      <c r="L97">
        <v>0</v>
      </c>
    </row>
    <row r="98" spans="1:12" x14ac:dyDescent="0.2">
      <c r="A98" t="s">
        <v>110</v>
      </c>
      <c r="B98" t="s">
        <v>15</v>
      </c>
      <c r="C98">
        <v>6</v>
      </c>
      <c r="D98">
        <v>1</v>
      </c>
      <c r="E98">
        <v>1</v>
      </c>
      <c r="F98">
        <v>1</v>
      </c>
      <c r="G98">
        <v>1</v>
      </c>
      <c r="H98">
        <v>0</v>
      </c>
      <c r="I98">
        <v>4</v>
      </c>
      <c r="J98">
        <v>0</v>
      </c>
      <c r="K98">
        <v>2</v>
      </c>
      <c r="L98">
        <v>0</v>
      </c>
    </row>
    <row r="99" spans="1:12" x14ac:dyDescent="0.2">
      <c r="A99" t="s">
        <v>111</v>
      </c>
      <c r="B99" t="s">
        <v>13</v>
      </c>
      <c r="C99">
        <v>0</v>
      </c>
      <c r="D99">
        <v>5</v>
      </c>
      <c r="E99">
        <v>6</v>
      </c>
      <c r="F99">
        <v>0</v>
      </c>
      <c r="G99">
        <v>0.5</v>
      </c>
      <c r="H99">
        <v>2</v>
      </c>
      <c r="I99">
        <v>6</v>
      </c>
      <c r="J99">
        <v>1</v>
      </c>
      <c r="K99">
        <v>5</v>
      </c>
      <c r="L99">
        <v>0</v>
      </c>
    </row>
    <row r="100" spans="1:12" x14ac:dyDescent="0.2">
      <c r="A100" t="s">
        <v>112</v>
      </c>
      <c r="B100" t="s">
        <v>13</v>
      </c>
      <c r="C100">
        <v>0</v>
      </c>
      <c r="D100">
        <v>7</v>
      </c>
      <c r="E100">
        <v>15</v>
      </c>
      <c r="F100">
        <v>0</v>
      </c>
      <c r="G100">
        <v>0.33300000000000002</v>
      </c>
      <c r="H100">
        <v>3</v>
      </c>
      <c r="I100">
        <v>8</v>
      </c>
      <c r="J100">
        <v>0</v>
      </c>
      <c r="K100">
        <v>7</v>
      </c>
      <c r="L100">
        <v>0</v>
      </c>
    </row>
    <row r="101" spans="1:12" x14ac:dyDescent="0.2">
      <c r="A101" t="s">
        <v>113</v>
      </c>
      <c r="B101" t="s">
        <v>13</v>
      </c>
      <c r="C101">
        <v>0</v>
      </c>
      <c r="D101">
        <v>3</v>
      </c>
      <c r="E101">
        <v>6</v>
      </c>
      <c r="F101">
        <v>1</v>
      </c>
      <c r="G101">
        <v>0.25</v>
      </c>
      <c r="H101">
        <v>1</v>
      </c>
      <c r="I101">
        <v>8</v>
      </c>
      <c r="J101">
        <v>4</v>
      </c>
      <c r="K101">
        <v>5</v>
      </c>
      <c r="L101">
        <v>0</v>
      </c>
    </row>
    <row r="102" spans="1:12" x14ac:dyDescent="0.2">
      <c r="A102" t="s">
        <v>114</v>
      </c>
      <c r="B102" t="s">
        <v>13</v>
      </c>
      <c r="C102">
        <v>0</v>
      </c>
      <c r="D102">
        <v>9</v>
      </c>
      <c r="E102">
        <v>28</v>
      </c>
      <c r="F102">
        <v>0</v>
      </c>
      <c r="G102">
        <v>0.25</v>
      </c>
      <c r="H102">
        <v>1</v>
      </c>
      <c r="I102">
        <v>10</v>
      </c>
      <c r="J102">
        <v>3</v>
      </c>
      <c r="K102">
        <v>9</v>
      </c>
      <c r="L102">
        <v>1</v>
      </c>
    </row>
    <row r="103" spans="1:12" x14ac:dyDescent="0.2">
      <c r="A103" t="s">
        <v>115</v>
      </c>
      <c r="B103" t="s">
        <v>15</v>
      </c>
      <c r="C103">
        <v>0</v>
      </c>
      <c r="D103">
        <v>9</v>
      </c>
      <c r="E103">
        <v>47</v>
      </c>
      <c r="F103">
        <v>1</v>
      </c>
      <c r="G103">
        <v>0.16700000000000001</v>
      </c>
      <c r="H103">
        <v>0</v>
      </c>
      <c r="I103">
        <v>14</v>
      </c>
      <c r="J103">
        <v>1</v>
      </c>
      <c r="K103">
        <v>11</v>
      </c>
      <c r="L103">
        <v>0</v>
      </c>
    </row>
    <row r="104" spans="1:12" x14ac:dyDescent="0.2">
      <c r="A104" t="s">
        <v>116</v>
      </c>
      <c r="B104" t="s">
        <v>15</v>
      </c>
      <c r="C104">
        <v>0</v>
      </c>
      <c r="D104">
        <v>2</v>
      </c>
      <c r="E104">
        <v>0</v>
      </c>
      <c r="F104">
        <v>1</v>
      </c>
      <c r="G104">
        <v>1</v>
      </c>
      <c r="H104">
        <v>0</v>
      </c>
      <c r="I104">
        <v>3</v>
      </c>
      <c r="J104">
        <v>2</v>
      </c>
      <c r="K104">
        <v>2</v>
      </c>
      <c r="L104">
        <v>1</v>
      </c>
    </row>
    <row r="105" spans="1:12" x14ac:dyDescent="0.2">
      <c r="A105" t="s">
        <v>117</v>
      </c>
      <c r="B105" t="s">
        <v>15</v>
      </c>
      <c r="C105">
        <v>0</v>
      </c>
      <c r="D105">
        <v>2</v>
      </c>
      <c r="E105">
        <v>4</v>
      </c>
      <c r="F105">
        <v>1</v>
      </c>
      <c r="G105">
        <v>0.5</v>
      </c>
      <c r="H105">
        <v>1</v>
      </c>
      <c r="I105">
        <v>5</v>
      </c>
      <c r="J105">
        <v>0</v>
      </c>
      <c r="K105">
        <v>4</v>
      </c>
      <c r="L105">
        <v>0</v>
      </c>
    </row>
    <row r="106" spans="1:12" x14ac:dyDescent="0.2">
      <c r="A106" t="s">
        <v>118</v>
      </c>
      <c r="B106" t="s">
        <v>13</v>
      </c>
      <c r="C106">
        <v>0</v>
      </c>
      <c r="D106">
        <v>14</v>
      </c>
      <c r="E106">
        <v>71</v>
      </c>
      <c r="F106">
        <v>0</v>
      </c>
      <c r="G106">
        <v>0.16700000000000001</v>
      </c>
      <c r="H106">
        <v>3</v>
      </c>
      <c r="I106">
        <v>15</v>
      </c>
      <c r="J106">
        <v>10</v>
      </c>
      <c r="K106">
        <v>14</v>
      </c>
      <c r="L106">
        <v>0</v>
      </c>
    </row>
    <row r="107" spans="1:12" x14ac:dyDescent="0.2">
      <c r="A107" t="s">
        <v>119</v>
      </c>
      <c r="B107" t="s">
        <v>13</v>
      </c>
      <c r="C107">
        <v>0</v>
      </c>
      <c r="D107">
        <v>11</v>
      </c>
      <c r="E107">
        <v>83</v>
      </c>
      <c r="F107">
        <v>1</v>
      </c>
      <c r="G107">
        <v>0.125</v>
      </c>
      <c r="H107">
        <v>5</v>
      </c>
      <c r="I107">
        <v>30</v>
      </c>
      <c r="J107">
        <v>0</v>
      </c>
      <c r="K107">
        <v>14</v>
      </c>
      <c r="L107">
        <v>0</v>
      </c>
    </row>
    <row r="108" spans="1:12" x14ac:dyDescent="0.2">
      <c r="A108" t="s">
        <v>120</v>
      </c>
      <c r="B108" t="s">
        <v>13</v>
      </c>
      <c r="C108">
        <v>0</v>
      </c>
      <c r="D108">
        <v>10</v>
      </c>
      <c r="E108">
        <v>37</v>
      </c>
      <c r="F108">
        <v>0</v>
      </c>
      <c r="G108">
        <v>0.2</v>
      </c>
      <c r="H108">
        <v>2</v>
      </c>
      <c r="I108">
        <v>15</v>
      </c>
      <c r="J108">
        <v>4</v>
      </c>
      <c r="K108">
        <v>10</v>
      </c>
      <c r="L108">
        <v>0</v>
      </c>
    </row>
    <row r="109" spans="1:12" x14ac:dyDescent="0.2">
      <c r="A109" t="s">
        <v>121</v>
      </c>
      <c r="B109" t="s">
        <v>13</v>
      </c>
      <c r="C109">
        <v>0</v>
      </c>
      <c r="D109">
        <v>7</v>
      </c>
      <c r="E109">
        <v>15</v>
      </c>
      <c r="F109">
        <v>0</v>
      </c>
      <c r="G109">
        <v>0.33300000000000002</v>
      </c>
      <c r="H109">
        <v>2</v>
      </c>
      <c r="I109">
        <v>8</v>
      </c>
      <c r="J109">
        <v>2</v>
      </c>
      <c r="K109">
        <v>7</v>
      </c>
      <c r="L109">
        <v>0</v>
      </c>
    </row>
    <row r="110" spans="1:12" x14ac:dyDescent="0.2">
      <c r="A110" t="s">
        <v>122</v>
      </c>
      <c r="B110" t="s">
        <v>13</v>
      </c>
      <c r="C110">
        <v>6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4</v>
      </c>
      <c r="J110">
        <v>3</v>
      </c>
      <c r="K110">
        <v>2</v>
      </c>
      <c r="L110">
        <v>0</v>
      </c>
    </row>
    <row r="111" spans="1:12" x14ac:dyDescent="0.2">
      <c r="A111" t="s">
        <v>123</v>
      </c>
      <c r="B111" t="s">
        <v>13</v>
      </c>
      <c r="C111">
        <v>0</v>
      </c>
      <c r="D111">
        <v>17</v>
      </c>
      <c r="E111">
        <v>122</v>
      </c>
      <c r="F111">
        <v>0</v>
      </c>
      <c r="G111">
        <v>0.111</v>
      </c>
      <c r="H111">
        <v>4</v>
      </c>
      <c r="I111">
        <v>30</v>
      </c>
      <c r="J111">
        <v>12</v>
      </c>
      <c r="K111">
        <v>17</v>
      </c>
      <c r="L111">
        <v>0</v>
      </c>
    </row>
    <row r="112" spans="1:12" x14ac:dyDescent="0.2">
      <c r="A112" t="s">
        <v>124</v>
      </c>
      <c r="B112" t="s">
        <v>15</v>
      </c>
      <c r="C112">
        <v>1</v>
      </c>
      <c r="D112">
        <v>25</v>
      </c>
      <c r="E112">
        <v>0</v>
      </c>
      <c r="F112">
        <v>1</v>
      </c>
      <c r="G112">
        <v>1</v>
      </c>
      <c r="H112">
        <v>6</v>
      </c>
      <c r="I112">
        <v>25</v>
      </c>
      <c r="J112">
        <v>14</v>
      </c>
      <c r="K112">
        <v>25</v>
      </c>
      <c r="L112">
        <v>0</v>
      </c>
    </row>
    <row r="113" spans="1:12" x14ac:dyDescent="0.2">
      <c r="A113" t="s">
        <v>125</v>
      </c>
      <c r="B113" t="s">
        <v>13</v>
      </c>
      <c r="C113">
        <v>0</v>
      </c>
      <c r="D113">
        <v>26</v>
      </c>
      <c r="E113">
        <v>0</v>
      </c>
      <c r="F113">
        <v>0</v>
      </c>
      <c r="G113">
        <v>0.5</v>
      </c>
      <c r="H113">
        <v>38</v>
      </c>
      <c r="I113">
        <v>137</v>
      </c>
      <c r="J113">
        <v>2</v>
      </c>
      <c r="K113">
        <v>30</v>
      </c>
      <c r="L113">
        <v>0</v>
      </c>
    </row>
    <row r="114" spans="1:12" x14ac:dyDescent="0.2">
      <c r="A114" t="s">
        <v>126</v>
      </c>
      <c r="B114" t="s">
        <v>13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2</v>
      </c>
      <c r="I114">
        <v>5</v>
      </c>
      <c r="J114">
        <v>0</v>
      </c>
      <c r="K114">
        <v>2</v>
      </c>
      <c r="L114">
        <v>0</v>
      </c>
    </row>
    <row r="115" spans="1:12" x14ac:dyDescent="0.2">
      <c r="A115" t="s">
        <v>127</v>
      </c>
      <c r="B115" t="s">
        <v>13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2</v>
      </c>
      <c r="I115">
        <v>5</v>
      </c>
      <c r="J115">
        <v>0</v>
      </c>
      <c r="K115">
        <v>2</v>
      </c>
      <c r="L115">
        <v>0</v>
      </c>
    </row>
    <row r="116" spans="1:12" x14ac:dyDescent="0.2">
      <c r="A116" t="s">
        <v>128</v>
      </c>
      <c r="B116" t="s">
        <v>15</v>
      </c>
      <c r="C116">
        <v>0</v>
      </c>
      <c r="D116">
        <v>5</v>
      </c>
      <c r="E116">
        <v>10</v>
      </c>
      <c r="F116">
        <v>1</v>
      </c>
      <c r="G116">
        <v>0.25</v>
      </c>
      <c r="H116">
        <v>1</v>
      </c>
      <c r="I116">
        <v>16</v>
      </c>
      <c r="J116">
        <v>0</v>
      </c>
      <c r="K116">
        <v>5</v>
      </c>
      <c r="L116">
        <v>0</v>
      </c>
    </row>
    <row r="117" spans="1:12" x14ac:dyDescent="0.2">
      <c r="A117" t="s">
        <v>129</v>
      </c>
      <c r="B117" t="s">
        <v>13</v>
      </c>
      <c r="C117">
        <v>0</v>
      </c>
      <c r="D117">
        <v>3</v>
      </c>
      <c r="E117">
        <v>0</v>
      </c>
      <c r="F117">
        <v>0</v>
      </c>
      <c r="G117">
        <v>0.5</v>
      </c>
      <c r="H117">
        <v>1</v>
      </c>
      <c r="I117">
        <v>4</v>
      </c>
      <c r="J117">
        <v>2</v>
      </c>
      <c r="K117">
        <v>3</v>
      </c>
      <c r="L117">
        <v>0</v>
      </c>
    </row>
    <row r="118" spans="1:12" x14ac:dyDescent="0.2">
      <c r="A118" t="s">
        <v>130</v>
      </c>
      <c r="B118" t="s">
        <v>13</v>
      </c>
      <c r="C118">
        <v>0</v>
      </c>
      <c r="D118">
        <v>5</v>
      </c>
      <c r="E118">
        <v>6</v>
      </c>
      <c r="F118">
        <v>0</v>
      </c>
      <c r="G118">
        <v>0.5</v>
      </c>
      <c r="H118">
        <v>1</v>
      </c>
      <c r="I118">
        <v>6</v>
      </c>
      <c r="J118">
        <v>2</v>
      </c>
      <c r="K118">
        <v>5</v>
      </c>
      <c r="L118">
        <v>0</v>
      </c>
    </row>
    <row r="119" spans="1:12" x14ac:dyDescent="0.2">
      <c r="A119" t="s">
        <v>131</v>
      </c>
      <c r="B119" t="s">
        <v>15</v>
      </c>
      <c r="C119">
        <v>0</v>
      </c>
      <c r="D119">
        <v>21</v>
      </c>
      <c r="E119">
        <v>0</v>
      </c>
      <c r="F119">
        <v>1</v>
      </c>
      <c r="G119">
        <v>1</v>
      </c>
      <c r="H119">
        <v>3</v>
      </c>
      <c r="I119">
        <v>21</v>
      </c>
      <c r="J119">
        <v>5</v>
      </c>
      <c r="K119">
        <v>21</v>
      </c>
      <c r="L119">
        <v>0</v>
      </c>
    </row>
    <row r="120" spans="1:12" x14ac:dyDescent="0.2">
      <c r="A120" t="s">
        <v>132</v>
      </c>
      <c r="B120" t="s">
        <v>13</v>
      </c>
      <c r="C120">
        <v>0</v>
      </c>
      <c r="D120">
        <v>22</v>
      </c>
      <c r="E120">
        <v>201</v>
      </c>
      <c r="F120">
        <v>1</v>
      </c>
      <c r="G120">
        <v>0.111</v>
      </c>
      <c r="H120">
        <v>13</v>
      </c>
      <c r="I120">
        <v>48</v>
      </c>
      <c r="J120">
        <v>0</v>
      </c>
      <c r="K120">
        <v>22</v>
      </c>
      <c r="L120">
        <v>0</v>
      </c>
    </row>
    <row r="121" spans="1:12" x14ac:dyDescent="0.2">
      <c r="A121" t="s">
        <v>133</v>
      </c>
      <c r="B121" t="s">
        <v>13</v>
      </c>
      <c r="C121">
        <v>0</v>
      </c>
      <c r="D121">
        <v>5</v>
      </c>
      <c r="E121">
        <v>4</v>
      </c>
      <c r="F121">
        <v>0</v>
      </c>
      <c r="G121">
        <v>0.33300000000000002</v>
      </c>
      <c r="H121">
        <v>17</v>
      </c>
      <c r="I121">
        <v>46</v>
      </c>
      <c r="J121">
        <v>0</v>
      </c>
      <c r="K121">
        <v>5</v>
      </c>
      <c r="L121">
        <v>0</v>
      </c>
    </row>
    <row r="122" spans="1:12" x14ac:dyDescent="0.2">
      <c r="A122" t="s">
        <v>134</v>
      </c>
      <c r="B122" t="s">
        <v>13</v>
      </c>
      <c r="C122">
        <v>0</v>
      </c>
      <c r="D122">
        <v>7</v>
      </c>
      <c r="E122">
        <v>0</v>
      </c>
      <c r="F122">
        <v>0</v>
      </c>
      <c r="G122">
        <v>1</v>
      </c>
      <c r="H122">
        <v>6</v>
      </c>
      <c r="I122">
        <v>14</v>
      </c>
      <c r="J122">
        <v>1</v>
      </c>
      <c r="K122">
        <v>8</v>
      </c>
      <c r="L122">
        <v>0</v>
      </c>
    </row>
    <row r="123" spans="1:12" x14ac:dyDescent="0.2">
      <c r="A123" t="s">
        <v>135</v>
      </c>
      <c r="B123" t="s">
        <v>13</v>
      </c>
      <c r="C123">
        <v>0</v>
      </c>
      <c r="D123">
        <v>5</v>
      </c>
      <c r="E123">
        <v>24</v>
      </c>
      <c r="F123">
        <v>0</v>
      </c>
      <c r="G123">
        <v>1</v>
      </c>
      <c r="H123">
        <v>19</v>
      </c>
      <c r="I123">
        <v>66</v>
      </c>
      <c r="J123">
        <v>1</v>
      </c>
      <c r="K123">
        <v>9</v>
      </c>
      <c r="L123">
        <v>1</v>
      </c>
    </row>
    <row r="124" spans="1:12" x14ac:dyDescent="0.2">
      <c r="A124" t="s">
        <v>136</v>
      </c>
      <c r="B124" t="s">
        <v>13</v>
      </c>
      <c r="C124">
        <v>0</v>
      </c>
      <c r="D124">
        <v>2</v>
      </c>
      <c r="E124">
        <v>0</v>
      </c>
      <c r="F124">
        <v>0</v>
      </c>
      <c r="G124">
        <v>1</v>
      </c>
      <c r="H124">
        <v>15</v>
      </c>
      <c r="I124">
        <v>28</v>
      </c>
      <c r="J124">
        <v>0</v>
      </c>
      <c r="K124">
        <v>2</v>
      </c>
      <c r="L124">
        <v>0</v>
      </c>
    </row>
    <row r="125" spans="1:12" x14ac:dyDescent="0.2">
      <c r="A125" t="s">
        <v>137</v>
      </c>
      <c r="B125" t="s">
        <v>13</v>
      </c>
      <c r="C125">
        <v>0</v>
      </c>
      <c r="D125">
        <v>2</v>
      </c>
      <c r="E125">
        <v>0</v>
      </c>
      <c r="F125">
        <v>0</v>
      </c>
      <c r="G125">
        <v>1</v>
      </c>
      <c r="H125">
        <v>15</v>
      </c>
      <c r="I125">
        <v>21</v>
      </c>
      <c r="J125">
        <v>0</v>
      </c>
      <c r="K125">
        <v>2</v>
      </c>
      <c r="L125">
        <v>0</v>
      </c>
    </row>
    <row r="126" spans="1:12" x14ac:dyDescent="0.2">
      <c r="A126" t="s">
        <v>138</v>
      </c>
      <c r="B126" t="s">
        <v>13</v>
      </c>
      <c r="C126">
        <v>0</v>
      </c>
      <c r="D126">
        <v>49</v>
      </c>
      <c r="E126">
        <v>1051</v>
      </c>
      <c r="F126">
        <v>0</v>
      </c>
      <c r="G126">
        <v>1</v>
      </c>
      <c r="H126">
        <v>12</v>
      </c>
      <c r="I126">
        <v>74</v>
      </c>
      <c r="J126">
        <v>4</v>
      </c>
      <c r="K126">
        <v>50</v>
      </c>
      <c r="L126">
        <v>0</v>
      </c>
    </row>
    <row r="127" spans="1:12" x14ac:dyDescent="0.2">
      <c r="A127" t="s">
        <v>139</v>
      </c>
      <c r="B127" t="s">
        <v>13</v>
      </c>
      <c r="C127">
        <v>0</v>
      </c>
      <c r="D127">
        <v>7</v>
      </c>
      <c r="E127">
        <v>9</v>
      </c>
      <c r="F127">
        <v>0</v>
      </c>
      <c r="G127">
        <v>0.25</v>
      </c>
      <c r="H127">
        <v>2</v>
      </c>
      <c r="I127">
        <v>9</v>
      </c>
      <c r="J127">
        <v>2</v>
      </c>
      <c r="K127">
        <v>7</v>
      </c>
      <c r="L127">
        <v>2</v>
      </c>
    </row>
    <row r="128" spans="1:12" x14ac:dyDescent="0.2">
      <c r="A128" t="s">
        <v>140</v>
      </c>
      <c r="B128" t="s">
        <v>13</v>
      </c>
      <c r="C128">
        <v>0</v>
      </c>
      <c r="D128">
        <v>4</v>
      </c>
      <c r="E128">
        <v>15</v>
      </c>
      <c r="F128">
        <v>0</v>
      </c>
      <c r="G128">
        <v>0.5</v>
      </c>
      <c r="H128">
        <v>24</v>
      </c>
      <c r="I128">
        <v>80</v>
      </c>
      <c r="J128">
        <v>0</v>
      </c>
      <c r="K128">
        <v>7</v>
      </c>
      <c r="L128">
        <v>0</v>
      </c>
    </row>
    <row r="129" spans="1:12" x14ac:dyDescent="0.2">
      <c r="A129" t="s">
        <v>141</v>
      </c>
      <c r="B129" t="s">
        <v>13</v>
      </c>
      <c r="C129">
        <v>0</v>
      </c>
      <c r="D129">
        <v>4</v>
      </c>
      <c r="E129">
        <v>0</v>
      </c>
      <c r="F129">
        <v>0</v>
      </c>
      <c r="G129">
        <v>0.5</v>
      </c>
      <c r="H129">
        <v>12</v>
      </c>
      <c r="I129">
        <v>16</v>
      </c>
      <c r="J129">
        <v>0</v>
      </c>
      <c r="K129">
        <v>4</v>
      </c>
      <c r="L129">
        <v>0</v>
      </c>
    </row>
    <row r="130" spans="1:12" x14ac:dyDescent="0.2">
      <c r="A130" t="s">
        <v>142</v>
      </c>
      <c r="B130" t="s">
        <v>13</v>
      </c>
      <c r="C130">
        <v>0</v>
      </c>
      <c r="D130">
        <v>23</v>
      </c>
      <c r="E130">
        <v>208</v>
      </c>
      <c r="F130">
        <v>0</v>
      </c>
      <c r="G130">
        <v>0.33300000000000002</v>
      </c>
      <c r="H130">
        <v>7</v>
      </c>
      <c r="I130">
        <v>31</v>
      </c>
      <c r="J130">
        <v>2</v>
      </c>
      <c r="K130">
        <v>24</v>
      </c>
      <c r="L130">
        <v>0</v>
      </c>
    </row>
    <row r="131" spans="1:12" x14ac:dyDescent="0.2">
      <c r="A131" t="s">
        <v>143</v>
      </c>
      <c r="B131" t="s">
        <v>13</v>
      </c>
      <c r="C131">
        <v>0</v>
      </c>
      <c r="D131">
        <v>2</v>
      </c>
      <c r="E131">
        <v>0</v>
      </c>
      <c r="F131">
        <v>0</v>
      </c>
      <c r="G131">
        <v>1</v>
      </c>
      <c r="H131">
        <v>11</v>
      </c>
      <c r="I131">
        <v>9</v>
      </c>
      <c r="J131">
        <v>0</v>
      </c>
      <c r="K131">
        <v>2</v>
      </c>
      <c r="L131">
        <v>0</v>
      </c>
    </row>
    <row r="132" spans="1:12" x14ac:dyDescent="0.2">
      <c r="A132" t="s">
        <v>144</v>
      </c>
      <c r="B132" t="s">
        <v>13</v>
      </c>
      <c r="C132">
        <v>0</v>
      </c>
      <c r="D132">
        <v>3</v>
      </c>
      <c r="E132">
        <v>3</v>
      </c>
      <c r="F132">
        <v>0</v>
      </c>
      <c r="G132">
        <v>0.5</v>
      </c>
      <c r="H132">
        <v>12</v>
      </c>
      <c r="I132">
        <v>28</v>
      </c>
      <c r="J132">
        <v>0</v>
      </c>
      <c r="K132">
        <v>3</v>
      </c>
      <c r="L132">
        <v>0</v>
      </c>
    </row>
    <row r="133" spans="1:12" x14ac:dyDescent="0.2">
      <c r="A133" t="s">
        <v>145</v>
      </c>
      <c r="B133" t="s">
        <v>13</v>
      </c>
      <c r="C133">
        <v>0</v>
      </c>
      <c r="D133">
        <v>7</v>
      </c>
      <c r="E133">
        <v>19</v>
      </c>
      <c r="F133">
        <v>0</v>
      </c>
      <c r="G133">
        <v>0.2</v>
      </c>
      <c r="H133">
        <v>7</v>
      </c>
      <c r="I133">
        <v>16</v>
      </c>
      <c r="J133">
        <v>1</v>
      </c>
      <c r="K133">
        <v>8</v>
      </c>
      <c r="L133">
        <v>0</v>
      </c>
    </row>
    <row r="134" spans="1:12" x14ac:dyDescent="0.2">
      <c r="A134" t="s">
        <v>146</v>
      </c>
      <c r="B134" t="s">
        <v>15</v>
      </c>
      <c r="C134">
        <v>0</v>
      </c>
      <c r="D134">
        <v>3</v>
      </c>
      <c r="E134">
        <v>3</v>
      </c>
      <c r="F134">
        <v>0</v>
      </c>
      <c r="G134">
        <v>0.5</v>
      </c>
      <c r="H134">
        <v>8</v>
      </c>
      <c r="I134">
        <v>4</v>
      </c>
      <c r="J134">
        <v>0</v>
      </c>
      <c r="K134">
        <v>3</v>
      </c>
      <c r="L134">
        <v>0</v>
      </c>
    </row>
    <row r="135" spans="1:12" x14ac:dyDescent="0.2">
      <c r="A135" t="s">
        <v>147</v>
      </c>
      <c r="B135" t="s">
        <v>13</v>
      </c>
      <c r="C135">
        <v>0</v>
      </c>
      <c r="D135">
        <v>11</v>
      </c>
      <c r="E135">
        <v>48</v>
      </c>
      <c r="F135">
        <v>0</v>
      </c>
      <c r="G135">
        <v>0.125</v>
      </c>
      <c r="H135">
        <v>4</v>
      </c>
      <c r="I135">
        <v>16</v>
      </c>
      <c r="J135">
        <v>2</v>
      </c>
      <c r="K135">
        <v>12</v>
      </c>
      <c r="L135">
        <v>0</v>
      </c>
    </row>
    <row r="136" spans="1:12" x14ac:dyDescent="0.2">
      <c r="A136" t="s">
        <v>148</v>
      </c>
      <c r="B136" t="s">
        <v>13</v>
      </c>
      <c r="C136">
        <v>0</v>
      </c>
      <c r="D136">
        <v>6</v>
      </c>
      <c r="E136">
        <v>7</v>
      </c>
      <c r="F136">
        <v>1</v>
      </c>
      <c r="G136">
        <v>0.5</v>
      </c>
      <c r="H136">
        <v>1</v>
      </c>
      <c r="I136">
        <v>13</v>
      </c>
      <c r="J136">
        <v>9</v>
      </c>
      <c r="K136">
        <v>6</v>
      </c>
      <c r="L136">
        <v>0</v>
      </c>
    </row>
    <row r="137" spans="1:12" x14ac:dyDescent="0.2">
      <c r="A137" t="s">
        <v>149</v>
      </c>
      <c r="B137" t="s">
        <v>15</v>
      </c>
      <c r="C137">
        <v>1</v>
      </c>
      <c r="D137">
        <v>20</v>
      </c>
      <c r="E137">
        <v>0</v>
      </c>
      <c r="F137">
        <v>1</v>
      </c>
      <c r="G137">
        <v>1</v>
      </c>
      <c r="H137">
        <v>7</v>
      </c>
      <c r="I137">
        <v>20</v>
      </c>
      <c r="J137">
        <v>10</v>
      </c>
      <c r="K137">
        <v>20</v>
      </c>
      <c r="L137">
        <v>0</v>
      </c>
    </row>
    <row r="138" spans="1:12" x14ac:dyDescent="0.2">
      <c r="A138" t="s">
        <v>150</v>
      </c>
      <c r="B138" t="s">
        <v>13</v>
      </c>
      <c r="C138">
        <v>0</v>
      </c>
      <c r="D138">
        <v>25</v>
      </c>
      <c r="E138">
        <v>300</v>
      </c>
      <c r="F138">
        <v>1</v>
      </c>
      <c r="G138">
        <v>0.14299999999999999</v>
      </c>
      <c r="H138">
        <v>10</v>
      </c>
      <c r="I138">
        <v>48</v>
      </c>
      <c r="J138">
        <v>0</v>
      </c>
      <c r="K138">
        <v>26</v>
      </c>
      <c r="L138">
        <v>0</v>
      </c>
    </row>
    <row r="139" spans="1:12" x14ac:dyDescent="0.2">
      <c r="A139" t="s">
        <v>151</v>
      </c>
      <c r="B139" t="s">
        <v>13</v>
      </c>
      <c r="C139">
        <v>16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4</v>
      </c>
      <c r="J139">
        <v>4</v>
      </c>
      <c r="K139">
        <v>2</v>
      </c>
      <c r="L139">
        <v>0</v>
      </c>
    </row>
    <row r="140" spans="1:12" x14ac:dyDescent="0.2">
      <c r="A140" t="s">
        <v>152</v>
      </c>
      <c r="B140" t="s">
        <v>13</v>
      </c>
      <c r="C140">
        <v>0</v>
      </c>
      <c r="D140">
        <v>21</v>
      </c>
      <c r="E140">
        <v>415</v>
      </c>
      <c r="F140">
        <v>1</v>
      </c>
      <c r="G140">
        <v>0.5</v>
      </c>
      <c r="H140">
        <v>37</v>
      </c>
      <c r="I140">
        <v>298</v>
      </c>
      <c r="J140">
        <v>1</v>
      </c>
      <c r="K140">
        <v>44</v>
      </c>
      <c r="L140">
        <v>0</v>
      </c>
    </row>
    <row r="141" spans="1:12" x14ac:dyDescent="0.2">
      <c r="A141" t="s">
        <v>153</v>
      </c>
      <c r="B141" t="s">
        <v>13</v>
      </c>
      <c r="C141">
        <v>2</v>
      </c>
      <c r="D141">
        <v>0</v>
      </c>
      <c r="E141">
        <v>0</v>
      </c>
      <c r="F141">
        <v>1</v>
      </c>
      <c r="G141">
        <v>1</v>
      </c>
      <c r="H141">
        <v>1</v>
      </c>
      <c r="I141">
        <v>3</v>
      </c>
      <c r="J141">
        <v>1</v>
      </c>
      <c r="K141">
        <v>2</v>
      </c>
      <c r="L141">
        <v>0</v>
      </c>
    </row>
    <row r="142" spans="1:12" x14ac:dyDescent="0.2">
      <c r="A142" t="s">
        <v>154</v>
      </c>
      <c r="B142" t="s">
        <v>13</v>
      </c>
      <c r="C142">
        <v>0</v>
      </c>
      <c r="D142">
        <v>27</v>
      </c>
      <c r="E142">
        <v>325</v>
      </c>
      <c r="F142">
        <v>0</v>
      </c>
      <c r="G142">
        <v>7.6999999999999999E-2</v>
      </c>
      <c r="H142">
        <v>1</v>
      </c>
      <c r="I142">
        <v>28</v>
      </c>
      <c r="J142">
        <v>8</v>
      </c>
      <c r="K142">
        <v>27</v>
      </c>
      <c r="L142">
        <v>0</v>
      </c>
    </row>
    <row r="143" spans="1:12" x14ac:dyDescent="0.2">
      <c r="A143" t="s">
        <v>155</v>
      </c>
      <c r="B143" t="s">
        <v>13</v>
      </c>
      <c r="C143">
        <v>0</v>
      </c>
      <c r="D143">
        <v>4</v>
      </c>
      <c r="E143">
        <v>0</v>
      </c>
      <c r="F143">
        <v>0</v>
      </c>
      <c r="G143">
        <v>1</v>
      </c>
      <c r="H143">
        <v>1</v>
      </c>
      <c r="I143">
        <v>8</v>
      </c>
      <c r="J143">
        <v>1</v>
      </c>
      <c r="K143">
        <v>4</v>
      </c>
      <c r="L143">
        <v>0</v>
      </c>
    </row>
    <row r="144" spans="1:12" x14ac:dyDescent="0.2">
      <c r="A144" t="s">
        <v>156</v>
      </c>
      <c r="B144" t="s">
        <v>13</v>
      </c>
      <c r="C144">
        <v>0</v>
      </c>
      <c r="D144">
        <v>18</v>
      </c>
      <c r="E144">
        <v>0</v>
      </c>
      <c r="F144">
        <v>0</v>
      </c>
      <c r="G144">
        <v>1</v>
      </c>
      <c r="H144">
        <v>10</v>
      </c>
      <c r="I144">
        <v>67</v>
      </c>
      <c r="J144">
        <v>1</v>
      </c>
      <c r="K144">
        <v>22</v>
      </c>
      <c r="L144">
        <v>0</v>
      </c>
    </row>
    <row r="145" spans="1:12" x14ac:dyDescent="0.2">
      <c r="A145" t="s">
        <v>157</v>
      </c>
      <c r="B145" t="s">
        <v>13</v>
      </c>
      <c r="C145">
        <v>0</v>
      </c>
      <c r="D145">
        <v>7</v>
      </c>
      <c r="E145">
        <v>4</v>
      </c>
      <c r="F145">
        <v>1</v>
      </c>
      <c r="G145">
        <v>0.5</v>
      </c>
      <c r="H145">
        <v>15</v>
      </c>
      <c r="I145">
        <v>57</v>
      </c>
      <c r="J145">
        <v>2</v>
      </c>
      <c r="K145">
        <v>8</v>
      </c>
      <c r="L145">
        <v>2</v>
      </c>
    </row>
    <row r="146" spans="1:12" x14ac:dyDescent="0.2">
      <c r="A146" t="s">
        <v>158</v>
      </c>
      <c r="B146" t="s">
        <v>15</v>
      </c>
      <c r="C146">
        <v>0</v>
      </c>
      <c r="D146">
        <v>11</v>
      </c>
      <c r="E146">
        <v>0</v>
      </c>
      <c r="F146">
        <v>1</v>
      </c>
      <c r="G146">
        <v>1</v>
      </c>
      <c r="H146">
        <v>4</v>
      </c>
      <c r="I146">
        <v>11</v>
      </c>
      <c r="J146">
        <v>4</v>
      </c>
      <c r="K146">
        <v>11</v>
      </c>
      <c r="L146">
        <v>0</v>
      </c>
    </row>
    <row r="147" spans="1:12" x14ac:dyDescent="0.2">
      <c r="A147" t="s">
        <v>159</v>
      </c>
      <c r="B147" t="s">
        <v>13</v>
      </c>
      <c r="C147">
        <v>0</v>
      </c>
      <c r="D147">
        <v>2</v>
      </c>
      <c r="E147">
        <v>0</v>
      </c>
      <c r="F147">
        <v>0</v>
      </c>
      <c r="G147">
        <v>1</v>
      </c>
      <c r="H147">
        <v>1</v>
      </c>
      <c r="I147">
        <v>3</v>
      </c>
      <c r="J147">
        <v>4</v>
      </c>
      <c r="K147">
        <v>2</v>
      </c>
      <c r="L147">
        <v>0</v>
      </c>
    </row>
    <row r="148" spans="1:12" x14ac:dyDescent="0.2">
      <c r="A148" t="s">
        <v>160</v>
      </c>
      <c r="B148" t="s">
        <v>13</v>
      </c>
      <c r="C148">
        <v>0</v>
      </c>
      <c r="D148">
        <v>16</v>
      </c>
      <c r="E148">
        <v>0</v>
      </c>
      <c r="F148">
        <v>0</v>
      </c>
      <c r="G148">
        <v>0.5</v>
      </c>
      <c r="H148">
        <v>9</v>
      </c>
      <c r="I148">
        <v>35</v>
      </c>
      <c r="J148">
        <v>0</v>
      </c>
      <c r="K148">
        <v>16</v>
      </c>
      <c r="L148">
        <v>0</v>
      </c>
    </row>
    <row r="149" spans="1:12" x14ac:dyDescent="0.2">
      <c r="A149" t="s">
        <v>161</v>
      </c>
      <c r="B149" t="s">
        <v>13</v>
      </c>
      <c r="C149">
        <v>0</v>
      </c>
      <c r="D149">
        <v>2</v>
      </c>
      <c r="E149">
        <v>4</v>
      </c>
      <c r="F149">
        <v>1</v>
      </c>
      <c r="G149">
        <v>0.33300000000000002</v>
      </c>
      <c r="H149">
        <v>0</v>
      </c>
      <c r="I149">
        <v>8</v>
      </c>
      <c r="J149">
        <v>2</v>
      </c>
      <c r="K149">
        <v>4</v>
      </c>
      <c r="L149">
        <v>0</v>
      </c>
    </row>
    <row r="150" spans="1:12" x14ac:dyDescent="0.2">
      <c r="A150" t="s">
        <v>162</v>
      </c>
      <c r="B150" t="s">
        <v>13</v>
      </c>
      <c r="C150">
        <v>1</v>
      </c>
      <c r="D150">
        <v>3</v>
      </c>
      <c r="E150">
        <v>0</v>
      </c>
      <c r="F150">
        <v>0</v>
      </c>
      <c r="G150">
        <v>1</v>
      </c>
      <c r="H150">
        <v>6</v>
      </c>
      <c r="I150">
        <v>11</v>
      </c>
      <c r="J150">
        <v>10</v>
      </c>
      <c r="K150">
        <v>3</v>
      </c>
      <c r="L150">
        <v>0</v>
      </c>
    </row>
    <row r="151" spans="1:12" x14ac:dyDescent="0.2">
      <c r="A151" t="s">
        <v>163</v>
      </c>
      <c r="B151" t="s">
        <v>13</v>
      </c>
      <c r="C151">
        <v>0</v>
      </c>
      <c r="D151">
        <v>4</v>
      </c>
      <c r="E151">
        <v>0</v>
      </c>
      <c r="F151">
        <v>0</v>
      </c>
      <c r="G151">
        <v>0.5</v>
      </c>
      <c r="H151">
        <v>15</v>
      </c>
      <c r="I151">
        <v>21</v>
      </c>
      <c r="J151">
        <v>0</v>
      </c>
      <c r="K151">
        <v>4</v>
      </c>
      <c r="L151">
        <v>0</v>
      </c>
    </row>
    <row r="152" spans="1:12" x14ac:dyDescent="0.2">
      <c r="A152" t="s">
        <v>164</v>
      </c>
      <c r="B152" t="s">
        <v>13</v>
      </c>
      <c r="C152">
        <v>0</v>
      </c>
      <c r="D152">
        <v>21</v>
      </c>
      <c r="E152">
        <v>57</v>
      </c>
      <c r="F152">
        <v>0</v>
      </c>
      <c r="G152">
        <v>0.16700000000000001</v>
      </c>
      <c r="H152">
        <v>12</v>
      </c>
      <c r="I152">
        <v>57</v>
      </c>
      <c r="J152">
        <v>3</v>
      </c>
      <c r="K152">
        <v>22</v>
      </c>
      <c r="L152">
        <v>0</v>
      </c>
    </row>
    <row r="153" spans="1:12" x14ac:dyDescent="0.2">
      <c r="A153" t="s">
        <v>165</v>
      </c>
      <c r="B153" t="s">
        <v>13</v>
      </c>
      <c r="C153">
        <v>0</v>
      </c>
      <c r="D153">
        <v>2</v>
      </c>
      <c r="E153">
        <v>0</v>
      </c>
      <c r="F153">
        <v>0</v>
      </c>
      <c r="G153">
        <v>1</v>
      </c>
      <c r="H153">
        <v>18</v>
      </c>
      <c r="I153">
        <v>31</v>
      </c>
      <c r="J153">
        <v>0</v>
      </c>
      <c r="K153">
        <v>2</v>
      </c>
      <c r="L153">
        <v>0</v>
      </c>
    </row>
    <row r="154" spans="1:12" x14ac:dyDescent="0.2">
      <c r="A154" t="s">
        <v>166</v>
      </c>
      <c r="B154" t="s">
        <v>13</v>
      </c>
      <c r="C154">
        <v>0</v>
      </c>
      <c r="D154">
        <v>28</v>
      </c>
      <c r="E154">
        <v>296</v>
      </c>
      <c r="F154">
        <v>0</v>
      </c>
      <c r="G154">
        <v>0.25</v>
      </c>
      <c r="H154">
        <v>5</v>
      </c>
      <c r="I154">
        <v>35</v>
      </c>
      <c r="J154">
        <v>1</v>
      </c>
      <c r="K154">
        <v>29</v>
      </c>
      <c r="L154">
        <v>0</v>
      </c>
    </row>
    <row r="155" spans="1:12" x14ac:dyDescent="0.2">
      <c r="A155" t="s">
        <v>167</v>
      </c>
      <c r="B155" t="s">
        <v>13</v>
      </c>
      <c r="C155">
        <v>0</v>
      </c>
      <c r="D155">
        <v>2</v>
      </c>
      <c r="E155">
        <v>0</v>
      </c>
      <c r="F155">
        <v>0</v>
      </c>
      <c r="G155">
        <v>1</v>
      </c>
      <c r="H155">
        <v>19</v>
      </c>
      <c r="I155">
        <v>19</v>
      </c>
      <c r="J155">
        <v>0</v>
      </c>
      <c r="K155">
        <v>2</v>
      </c>
      <c r="L155">
        <v>0</v>
      </c>
    </row>
    <row r="156" spans="1:12" x14ac:dyDescent="0.2">
      <c r="A156" t="s">
        <v>168</v>
      </c>
      <c r="B156" t="s">
        <v>13</v>
      </c>
      <c r="C156">
        <v>0</v>
      </c>
      <c r="D156">
        <v>2</v>
      </c>
      <c r="E156">
        <v>0</v>
      </c>
      <c r="F156">
        <v>0</v>
      </c>
      <c r="G156">
        <v>1</v>
      </c>
      <c r="H156">
        <v>23</v>
      </c>
      <c r="I156">
        <v>86</v>
      </c>
      <c r="J156">
        <v>0</v>
      </c>
      <c r="K156">
        <v>7</v>
      </c>
      <c r="L156">
        <v>0</v>
      </c>
    </row>
    <row r="157" spans="1:12" x14ac:dyDescent="0.2">
      <c r="A157" t="s">
        <v>169</v>
      </c>
      <c r="B157" t="s">
        <v>13</v>
      </c>
      <c r="C157">
        <v>0</v>
      </c>
      <c r="D157">
        <v>31</v>
      </c>
      <c r="E157">
        <v>372</v>
      </c>
      <c r="F157">
        <v>0</v>
      </c>
      <c r="G157">
        <v>0.2</v>
      </c>
      <c r="H157">
        <v>6</v>
      </c>
      <c r="I157">
        <v>33</v>
      </c>
      <c r="J157">
        <v>1</v>
      </c>
      <c r="K157">
        <v>32</v>
      </c>
      <c r="L157">
        <v>0</v>
      </c>
    </row>
    <row r="158" spans="1:12" x14ac:dyDescent="0.2">
      <c r="A158" t="s">
        <v>170</v>
      </c>
      <c r="B158" t="s">
        <v>13</v>
      </c>
      <c r="C158">
        <v>0</v>
      </c>
      <c r="D158">
        <v>3</v>
      </c>
      <c r="E158">
        <v>0</v>
      </c>
      <c r="F158">
        <v>0</v>
      </c>
      <c r="G158">
        <v>0.5</v>
      </c>
      <c r="H158">
        <v>14</v>
      </c>
      <c r="I158">
        <v>66</v>
      </c>
      <c r="J158">
        <v>0</v>
      </c>
      <c r="K158">
        <v>7</v>
      </c>
      <c r="L158">
        <v>0</v>
      </c>
    </row>
    <row r="159" spans="1:12" x14ac:dyDescent="0.2">
      <c r="A159" t="s">
        <v>171</v>
      </c>
      <c r="B159" t="s">
        <v>15</v>
      </c>
      <c r="C159">
        <v>12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2</v>
      </c>
      <c r="J159">
        <v>0</v>
      </c>
      <c r="K159">
        <v>1</v>
      </c>
      <c r="L159">
        <v>0</v>
      </c>
    </row>
    <row r="160" spans="1:12" x14ac:dyDescent="0.2">
      <c r="A160" t="s">
        <v>172</v>
      </c>
      <c r="B160" t="s">
        <v>13</v>
      </c>
      <c r="C160">
        <v>0</v>
      </c>
      <c r="D160">
        <v>15</v>
      </c>
      <c r="E160">
        <v>0</v>
      </c>
      <c r="F160">
        <v>0</v>
      </c>
      <c r="G160">
        <v>1</v>
      </c>
      <c r="H160">
        <v>15</v>
      </c>
      <c r="I160">
        <v>63</v>
      </c>
      <c r="J160">
        <v>1</v>
      </c>
      <c r="K160">
        <v>17</v>
      </c>
      <c r="L160">
        <v>0</v>
      </c>
    </row>
    <row r="161" spans="1:12" x14ac:dyDescent="0.2">
      <c r="A161" t="s">
        <v>173</v>
      </c>
      <c r="B161" t="s">
        <v>13</v>
      </c>
      <c r="C161">
        <v>0</v>
      </c>
      <c r="D161">
        <v>3</v>
      </c>
      <c r="E161">
        <v>0</v>
      </c>
      <c r="F161">
        <v>0</v>
      </c>
      <c r="G161">
        <v>1</v>
      </c>
      <c r="H161">
        <v>18</v>
      </c>
      <c r="I161">
        <v>17</v>
      </c>
      <c r="J161">
        <v>0</v>
      </c>
      <c r="K161">
        <v>3</v>
      </c>
      <c r="L161">
        <v>0</v>
      </c>
    </row>
    <row r="162" spans="1:12" x14ac:dyDescent="0.2">
      <c r="A162" t="s">
        <v>174</v>
      </c>
      <c r="B162" t="s">
        <v>13</v>
      </c>
      <c r="C162">
        <v>0</v>
      </c>
      <c r="D162">
        <v>9</v>
      </c>
      <c r="E162">
        <v>0</v>
      </c>
      <c r="F162">
        <v>0</v>
      </c>
      <c r="G162">
        <v>1</v>
      </c>
      <c r="H162">
        <v>14</v>
      </c>
      <c r="I162">
        <v>30</v>
      </c>
      <c r="J162">
        <v>2</v>
      </c>
      <c r="K162">
        <v>10</v>
      </c>
      <c r="L162">
        <v>0</v>
      </c>
    </row>
    <row r="163" spans="1:12" x14ac:dyDescent="0.2">
      <c r="A163" t="s">
        <v>175</v>
      </c>
      <c r="B163" t="s">
        <v>13</v>
      </c>
      <c r="C163">
        <v>0</v>
      </c>
      <c r="D163">
        <v>7</v>
      </c>
      <c r="E163">
        <v>15</v>
      </c>
      <c r="F163">
        <v>0</v>
      </c>
      <c r="G163">
        <v>0.33300000000000002</v>
      </c>
      <c r="H163">
        <v>2</v>
      </c>
      <c r="I163">
        <v>8</v>
      </c>
      <c r="J163">
        <v>1</v>
      </c>
      <c r="K163">
        <v>7</v>
      </c>
      <c r="L163">
        <v>0</v>
      </c>
    </row>
    <row r="164" spans="1:12" x14ac:dyDescent="0.2">
      <c r="A164" t="s">
        <v>176</v>
      </c>
      <c r="B164" t="s">
        <v>13</v>
      </c>
      <c r="C164">
        <v>0</v>
      </c>
      <c r="D164">
        <v>7</v>
      </c>
      <c r="E164">
        <v>15</v>
      </c>
      <c r="F164">
        <v>0</v>
      </c>
      <c r="G164">
        <v>0.33300000000000002</v>
      </c>
      <c r="H164">
        <v>2</v>
      </c>
      <c r="I164">
        <v>8</v>
      </c>
      <c r="J164">
        <v>2</v>
      </c>
      <c r="K164">
        <v>7</v>
      </c>
      <c r="L164">
        <v>0</v>
      </c>
    </row>
    <row r="165" spans="1:12" x14ac:dyDescent="0.2">
      <c r="A165" t="s">
        <v>177</v>
      </c>
      <c r="B165" t="s">
        <v>13</v>
      </c>
      <c r="C165">
        <v>0</v>
      </c>
      <c r="D165">
        <v>9</v>
      </c>
      <c r="E165">
        <v>28</v>
      </c>
      <c r="F165">
        <v>0</v>
      </c>
      <c r="G165">
        <v>0.25</v>
      </c>
      <c r="H165">
        <v>1</v>
      </c>
      <c r="I165">
        <v>10</v>
      </c>
      <c r="J165">
        <v>3</v>
      </c>
      <c r="K165">
        <v>9</v>
      </c>
      <c r="L165">
        <v>0</v>
      </c>
    </row>
    <row r="166" spans="1:12" x14ac:dyDescent="0.2">
      <c r="A166" t="s">
        <v>178</v>
      </c>
      <c r="B166" t="s">
        <v>13</v>
      </c>
      <c r="C166">
        <v>0</v>
      </c>
      <c r="D166">
        <v>2</v>
      </c>
      <c r="E166">
        <v>136</v>
      </c>
      <c r="F166">
        <v>1</v>
      </c>
      <c r="G166">
        <v>0.5</v>
      </c>
      <c r="H166">
        <v>0</v>
      </c>
      <c r="I166">
        <v>31</v>
      </c>
      <c r="J166">
        <v>1</v>
      </c>
      <c r="K166">
        <v>17</v>
      </c>
      <c r="L166">
        <v>0</v>
      </c>
    </row>
    <row r="167" spans="1:12" x14ac:dyDescent="0.2">
      <c r="A167" t="s">
        <v>179</v>
      </c>
      <c r="B167" t="s">
        <v>13</v>
      </c>
      <c r="C167">
        <v>0</v>
      </c>
      <c r="D167">
        <v>6</v>
      </c>
      <c r="E167">
        <v>7</v>
      </c>
      <c r="F167">
        <v>1</v>
      </c>
      <c r="G167">
        <v>0.5</v>
      </c>
      <c r="H167">
        <v>1</v>
      </c>
      <c r="I167">
        <v>7</v>
      </c>
      <c r="J167">
        <v>1</v>
      </c>
      <c r="K167">
        <v>6</v>
      </c>
      <c r="L167">
        <v>0</v>
      </c>
    </row>
    <row r="168" spans="1:12" x14ac:dyDescent="0.2">
      <c r="A168" t="s">
        <v>180</v>
      </c>
      <c r="B168" t="s">
        <v>15</v>
      </c>
      <c r="C168">
        <v>0</v>
      </c>
      <c r="D168">
        <v>3</v>
      </c>
      <c r="E168">
        <v>0</v>
      </c>
      <c r="F168">
        <v>1</v>
      </c>
      <c r="G168">
        <v>1</v>
      </c>
      <c r="H168">
        <v>2</v>
      </c>
      <c r="I168">
        <v>3</v>
      </c>
      <c r="J168">
        <v>2</v>
      </c>
      <c r="K168">
        <v>3</v>
      </c>
      <c r="L168">
        <v>0</v>
      </c>
    </row>
    <row r="169" spans="1:12" x14ac:dyDescent="0.2">
      <c r="A169" t="s">
        <v>181</v>
      </c>
      <c r="B169" t="s">
        <v>13</v>
      </c>
      <c r="C169">
        <v>0</v>
      </c>
      <c r="D169">
        <v>4</v>
      </c>
      <c r="E169">
        <v>1</v>
      </c>
      <c r="F169">
        <v>1</v>
      </c>
      <c r="G169">
        <v>0.5</v>
      </c>
      <c r="H169">
        <v>16</v>
      </c>
      <c r="I169">
        <v>83</v>
      </c>
      <c r="J169">
        <v>0</v>
      </c>
      <c r="K169">
        <v>6</v>
      </c>
      <c r="L169">
        <v>0</v>
      </c>
    </row>
    <row r="170" spans="1:12" x14ac:dyDescent="0.2">
      <c r="A170" t="s">
        <v>182</v>
      </c>
      <c r="B170" t="s">
        <v>13</v>
      </c>
      <c r="C170">
        <v>0</v>
      </c>
      <c r="D170">
        <v>3</v>
      </c>
      <c r="E170">
        <v>2</v>
      </c>
      <c r="F170">
        <v>0</v>
      </c>
      <c r="G170">
        <v>1</v>
      </c>
      <c r="H170">
        <v>2</v>
      </c>
      <c r="I170">
        <v>11</v>
      </c>
      <c r="J170">
        <v>0</v>
      </c>
      <c r="K170">
        <v>4</v>
      </c>
      <c r="L170">
        <v>0</v>
      </c>
    </row>
    <row r="171" spans="1:12" x14ac:dyDescent="0.2">
      <c r="A171" t="s">
        <v>183</v>
      </c>
      <c r="B171" t="s">
        <v>13</v>
      </c>
      <c r="C171">
        <v>0</v>
      </c>
      <c r="D171">
        <v>9</v>
      </c>
      <c r="E171">
        <v>43</v>
      </c>
      <c r="F171">
        <v>1</v>
      </c>
      <c r="G171">
        <v>0.2</v>
      </c>
      <c r="H171">
        <v>2</v>
      </c>
      <c r="I171">
        <v>29</v>
      </c>
      <c r="J171">
        <v>22</v>
      </c>
      <c r="K171">
        <v>11</v>
      </c>
      <c r="L171">
        <v>23</v>
      </c>
    </row>
    <row r="172" spans="1:12" x14ac:dyDescent="0.2">
      <c r="A172" t="s">
        <v>184</v>
      </c>
      <c r="B172" t="s">
        <v>13</v>
      </c>
      <c r="C172">
        <v>0</v>
      </c>
      <c r="D172">
        <v>14</v>
      </c>
      <c r="E172">
        <v>0</v>
      </c>
      <c r="F172">
        <v>1</v>
      </c>
      <c r="G172">
        <v>0.5</v>
      </c>
      <c r="H172">
        <v>22</v>
      </c>
      <c r="I172">
        <v>65</v>
      </c>
      <c r="J172">
        <v>2</v>
      </c>
      <c r="K172">
        <v>18</v>
      </c>
      <c r="L172">
        <v>0</v>
      </c>
    </row>
    <row r="173" spans="1:12" x14ac:dyDescent="0.2">
      <c r="A173" t="s">
        <v>185</v>
      </c>
      <c r="B173" t="s">
        <v>13</v>
      </c>
      <c r="C173">
        <v>0</v>
      </c>
      <c r="D173">
        <v>19</v>
      </c>
      <c r="E173">
        <v>105</v>
      </c>
      <c r="F173">
        <v>1</v>
      </c>
      <c r="G173">
        <v>0.16700000000000001</v>
      </c>
      <c r="H173">
        <v>22</v>
      </c>
      <c r="I173">
        <v>73</v>
      </c>
      <c r="J173">
        <v>5</v>
      </c>
      <c r="K173">
        <v>21</v>
      </c>
      <c r="L173">
        <v>0</v>
      </c>
    </row>
    <row r="174" spans="1:12" x14ac:dyDescent="0.2">
      <c r="A174" t="s">
        <v>186</v>
      </c>
      <c r="B174" t="s">
        <v>13</v>
      </c>
      <c r="C174">
        <v>0</v>
      </c>
      <c r="D174">
        <v>1</v>
      </c>
      <c r="E174">
        <v>0</v>
      </c>
      <c r="F174">
        <v>1</v>
      </c>
      <c r="G174">
        <v>0.5</v>
      </c>
      <c r="H174">
        <v>0</v>
      </c>
      <c r="I174">
        <v>4</v>
      </c>
      <c r="J174">
        <v>2</v>
      </c>
      <c r="K174">
        <v>3</v>
      </c>
      <c r="L174">
        <v>0</v>
      </c>
    </row>
    <row r="175" spans="1:12" x14ac:dyDescent="0.2">
      <c r="A175" t="s">
        <v>187</v>
      </c>
      <c r="B175" t="s">
        <v>13</v>
      </c>
      <c r="C175">
        <v>0</v>
      </c>
      <c r="D175">
        <v>3</v>
      </c>
      <c r="E175">
        <v>0</v>
      </c>
      <c r="F175">
        <v>1</v>
      </c>
      <c r="G175">
        <v>1</v>
      </c>
      <c r="H175">
        <v>1</v>
      </c>
      <c r="I175">
        <v>18</v>
      </c>
      <c r="J175">
        <v>2</v>
      </c>
      <c r="K175">
        <v>4</v>
      </c>
      <c r="L175">
        <v>0</v>
      </c>
    </row>
    <row r="176" spans="1:12" x14ac:dyDescent="0.2">
      <c r="A176" t="s">
        <v>188</v>
      </c>
      <c r="B176" t="s">
        <v>13</v>
      </c>
      <c r="C176">
        <v>0</v>
      </c>
      <c r="D176">
        <v>6</v>
      </c>
      <c r="E176">
        <v>4</v>
      </c>
      <c r="F176">
        <v>1</v>
      </c>
      <c r="G176">
        <v>0.5</v>
      </c>
      <c r="H176">
        <v>6</v>
      </c>
      <c r="I176">
        <v>24</v>
      </c>
      <c r="J176">
        <v>5</v>
      </c>
      <c r="K176">
        <v>8</v>
      </c>
      <c r="L176">
        <v>0</v>
      </c>
    </row>
    <row r="177" spans="1:12" x14ac:dyDescent="0.2">
      <c r="A177" t="s">
        <v>189</v>
      </c>
      <c r="B177" t="s">
        <v>13</v>
      </c>
      <c r="C177">
        <v>23</v>
      </c>
      <c r="D177">
        <v>0</v>
      </c>
      <c r="E177">
        <v>1</v>
      </c>
      <c r="F177">
        <v>1</v>
      </c>
      <c r="G177">
        <v>1</v>
      </c>
      <c r="H177">
        <v>0</v>
      </c>
      <c r="I177">
        <v>8</v>
      </c>
      <c r="J177">
        <v>1</v>
      </c>
      <c r="K177">
        <v>2</v>
      </c>
      <c r="L177">
        <v>0</v>
      </c>
    </row>
    <row r="178" spans="1:12" x14ac:dyDescent="0.2">
      <c r="A178" t="s">
        <v>190</v>
      </c>
      <c r="B178" t="s">
        <v>15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3</v>
      </c>
      <c r="I178">
        <v>1</v>
      </c>
      <c r="J178">
        <v>4</v>
      </c>
      <c r="K178">
        <v>1</v>
      </c>
      <c r="L178">
        <v>0</v>
      </c>
    </row>
    <row r="179" spans="1:12" x14ac:dyDescent="0.2">
      <c r="A179" t="s">
        <v>191</v>
      </c>
      <c r="B179" t="s">
        <v>15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3</v>
      </c>
      <c r="I179">
        <v>1</v>
      </c>
      <c r="J179">
        <v>4</v>
      </c>
      <c r="K179">
        <v>1</v>
      </c>
      <c r="L179">
        <v>0</v>
      </c>
    </row>
    <row r="180" spans="1:12" x14ac:dyDescent="0.2">
      <c r="A180" t="s">
        <v>192</v>
      </c>
      <c r="B180" t="s">
        <v>15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3</v>
      </c>
      <c r="I180">
        <v>1</v>
      </c>
      <c r="J180">
        <v>4</v>
      </c>
      <c r="K180">
        <v>1</v>
      </c>
      <c r="L180">
        <v>0</v>
      </c>
    </row>
    <row r="181" spans="1:12" x14ac:dyDescent="0.2">
      <c r="A181" t="s">
        <v>193</v>
      </c>
      <c r="B181" t="s">
        <v>13</v>
      </c>
      <c r="C181">
        <v>0</v>
      </c>
      <c r="D181">
        <v>6</v>
      </c>
      <c r="E181">
        <v>10</v>
      </c>
      <c r="F181">
        <v>1</v>
      </c>
      <c r="G181">
        <v>1</v>
      </c>
      <c r="H181">
        <v>1</v>
      </c>
      <c r="I181">
        <v>17</v>
      </c>
      <c r="J181">
        <v>4</v>
      </c>
      <c r="K181">
        <v>6</v>
      </c>
      <c r="L181">
        <v>4</v>
      </c>
    </row>
    <row r="182" spans="1:12" x14ac:dyDescent="0.2">
      <c r="A182" t="s">
        <v>194</v>
      </c>
      <c r="B182" t="s">
        <v>15</v>
      </c>
      <c r="C182">
        <v>0</v>
      </c>
      <c r="D182">
        <v>10</v>
      </c>
      <c r="E182">
        <v>0</v>
      </c>
      <c r="F182">
        <v>1</v>
      </c>
      <c r="G182">
        <v>1</v>
      </c>
      <c r="H182">
        <v>7</v>
      </c>
      <c r="I182">
        <v>10</v>
      </c>
      <c r="J182">
        <v>18</v>
      </c>
      <c r="K182">
        <v>10</v>
      </c>
      <c r="L182">
        <v>0</v>
      </c>
    </row>
    <row r="183" spans="1:12" x14ac:dyDescent="0.2">
      <c r="A183" t="s">
        <v>195</v>
      </c>
      <c r="B183" t="s">
        <v>13</v>
      </c>
      <c r="C183">
        <v>0</v>
      </c>
      <c r="D183">
        <v>10</v>
      </c>
      <c r="E183">
        <v>11</v>
      </c>
      <c r="F183">
        <v>0</v>
      </c>
      <c r="G183">
        <v>1</v>
      </c>
      <c r="H183">
        <v>3</v>
      </c>
      <c r="I183">
        <v>24</v>
      </c>
      <c r="J183">
        <v>11</v>
      </c>
      <c r="K183">
        <v>11</v>
      </c>
      <c r="L183">
        <v>5</v>
      </c>
    </row>
    <row r="184" spans="1:12" x14ac:dyDescent="0.2">
      <c r="A184" t="s">
        <v>196</v>
      </c>
      <c r="B184" t="s">
        <v>13</v>
      </c>
      <c r="C184">
        <v>0</v>
      </c>
      <c r="D184">
        <v>3</v>
      </c>
      <c r="E184">
        <v>4</v>
      </c>
      <c r="F184">
        <v>1</v>
      </c>
      <c r="G184">
        <v>0.5</v>
      </c>
      <c r="H184">
        <v>3</v>
      </c>
      <c r="I184">
        <v>15</v>
      </c>
      <c r="J184">
        <v>5</v>
      </c>
      <c r="K184">
        <v>4</v>
      </c>
      <c r="L184">
        <v>0</v>
      </c>
    </row>
    <row r="185" spans="1:12" x14ac:dyDescent="0.2">
      <c r="A185" t="s">
        <v>197</v>
      </c>
      <c r="B185" t="s">
        <v>13</v>
      </c>
      <c r="C185">
        <v>0</v>
      </c>
      <c r="D185">
        <v>3</v>
      </c>
      <c r="E185">
        <v>0</v>
      </c>
      <c r="F185">
        <v>1</v>
      </c>
      <c r="G185">
        <v>1</v>
      </c>
      <c r="H185">
        <v>10</v>
      </c>
      <c r="I185">
        <v>18</v>
      </c>
      <c r="J185">
        <v>0</v>
      </c>
      <c r="K185">
        <v>4</v>
      </c>
      <c r="L185">
        <v>0</v>
      </c>
    </row>
    <row r="186" spans="1:12" x14ac:dyDescent="0.2">
      <c r="A186" t="s">
        <v>198</v>
      </c>
      <c r="B186" t="s">
        <v>13</v>
      </c>
      <c r="C186">
        <v>3</v>
      </c>
      <c r="D186">
        <v>19</v>
      </c>
      <c r="E186">
        <v>57</v>
      </c>
      <c r="F186">
        <v>1</v>
      </c>
      <c r="G186">
        <v>0.5</v>
      </c>
      <c r="H186">
        <v>16</v>
      </c>
      <c r="I186">
        <v>70</v>
      </c>
      <c r="J186">
        <v>31</v>
      </c>
      <c r="K186">
        <v>23</v>
      </c>
      <c r="L186">
        <v>0</v>
      </c>
    </row>
    <row r="187" spans="1:12" x14ac:dyDescent="0.2">
      <c r="A187" t="s">
        <v>199</v>
      </c>
      <c r="B187" t="s">
        <v>13</v>
      </c>
      <c r="C187">
        <v>0</v>
      </c>
      <c r="D187">
        <v>0</v>
      </c>
      <c r="E187">
        <v>1</v>
      </c>
      <c r="F187">
        <v>0</v>
      </c>
      <c r="G187">
        <v>1</v>
      </c>
      <c r="H187">
        <v>4</v>
      </c>
      <c r="I187">
        <v>13</v>
      </c>
      <c r="J187">
        <v>1</v>
      </c>
      <c r="K187">
        <v>2</v>
      </c>
      <c r="L187">
        <v>0</v>
      </c>
    </row>
    <row r="188" spans="1:12" x14ac:dyDescent="0.2">
      <c r="A188" t="s">
        <v>200</v>
      </c>
      <c r="B188" t="s">
        <v>13</v>
      </c>
      <c r="C188">
        <v>0</v>
      </c>
      <c r="D188">
        <v>1</v>
      </c>
      <c r="E188">
        <v>1</v>
      </c>
      <c r="F188">
        <v>0</v>
      </c>
      <c r="G188">
        <v>1</v>
      </c>
      <c r="H188">
        <v>10</v>
      </c>
      <c r="I188">
        <v>10</v>
      </c>
      <c r="J188">
        <v>0</v>
      </c>
      <c r="K188">
        <v>2</v>
      </c>
      <c r="L188">
        <v>0</v>
      </c>
    </row>
    <row r="189" spans="1:12" x14ac:dyDescent="0.2">
      <c r="A189" t="s">
        <v>201</v>
      </c>
      <c r="B189" t="s">
        <v>13</v>
      </c>
      <c r="C189">
        <v>1</v>
      </c>
      <c r="D189">
        <v>2</v>
      </c>
      <c r="E189">
        <v>7</v>
      </c>
      <c r="F189">
        <v>0</v>
      </c>
      <c r="G189">
        <v>0.5</v>
      </c>
      <c r="H189">
        <v>23</v>
      </c>
      <c r="I189">
        <v>50</v>
      </c>
      <c r="J189">
        <v>2</v>
      </c>
      <c r="K189">
        <v>7</v>
      </c>
      <c r="L189">
        <v>0</v>
      </c>
    </row>
    <row r="190" spans="1:12" x14ac:dyDescent="0.2">
      <c r="A190" t="s">
        <v>202</v>
      </c>
      <c r="B190" t="s">
        <v>13</v>
      </c>
      <c r="C190">
        <v>0</v>
      </c>
      <c r="D190">
        <v>1</v>
      </c>
      <c r="E190">
        <v>1</v>
      </c>
      <c r="F190">
        <v>0</v>
      </c>
      <c r="G190">
        <v>1</v>
      </c>
      <c r="H190">
        <v>10</v>
      </c>
      <c r="I190">
        <v>10</v>
      </c>
      <c r="J190">
        <v>0</v>
      </c>
      <c r="K190">
        <v>2</v>
      </c>
      <c r="L190">
        <v>0</v>
      </c>
    </row>
    <row r="191" spans="1:12" x14ac:dyDescent="0.2">
      <c r="A191" t="s">
        <v>203</v>
      </c>
      <c r="B191" t="s">
        <v>13</v>
      </c>
      <c r="C191">
        <v>0</v>
      </c>
      <c r="D191">
        <v>2</v>
      </c>
      <c r="E191">
        <v>1</v>
      </c>
      <c r="F191">
        <v>0</v>
      </c>
      <c r="G191">
        <v>1</v>
      </c>
      <c r="H191">
        <v>8</v>
      </c>
      <c r="I191">
        <v>5</v>
      </c>
      <c r="J191">
        <v>0</v>
      </c>
      <c r="K191">
        <v>2</v>
      </c>
      <c r="L191">
        <v>0</v>
      </c>
    </row>
    <row r="192" spans="1:12" x14ac:dyDescent="0.2">
      <c r="A192" t="s">
        <v>204</v>
      </c>
      <c r="B192" t="s">
        <v>13</v>
      </c>
      <c r="C192">
        <v>0</v>
      </c>
      <c r="D192">
        <v>1</v>
      </c>
      <c r="E192">
        <v>7</v>
      </c>
      <c r="F192">
        <v>0</v>
      </c>
      <c r="G192">
        <v>0.5</v>
      </c>
      <c r="H192">
        <v>17</v>
      </c>
      <c r="I192">
        <v>21</v>
      </c>
      <c r="J192">
        <v>1</v>
      </c>
      <c r="K192">
        <v>6</v>
      </c>
      <c r="L192">
        <v>1</v>
      </c>
    </row>
    <row r="193" spans="1:12" x14ac:dyDescent="0.2">
      <c r="A193" t="s">
        <v>205</v>
      </c>
      <c r="B193" t="s">
        <v>13</v>
      </c>
      <c r="C193">
        <v>0</v>
      </c>
      <c r="D193">
        <v>2</v>
      </c>
      <c r="E193">
        <v>1</v>
      </c>
      <c r="F193">
        <v>0</v>
      </c>
      <c r="G193">
        <v>1</v>
      </c>
      <c r="H193">
        <v>9</v>
      </c>
      <c r="I193">
        <v>9</v>
      </c>
      <c r="J193">
        <v>0</v>
      </c>
      <c r="K193">
        <v>2</v>
      </c>
      <c r="L193">
        <v>0</v>
      </c>
    </row>
    <row r="194" spans="1:12" x14ac:dyDescent="0.2">
      <c r="A194" t="s">
        <v>206</v>
      </c>
      <c r="B194" t="s">
        <v>15</v>
      </c>
      <c r="C194">
        <v>0</v>
      </c>
      <c r="D194">
        <v>2</v>
      </c>
      <c r="E194">
        <v>1</v>
      </c>
      <c r="F194">
        <v>1</v>
      </c>
      <c r="G194">
        <v>1</v>
      </c>
      <c r="H194">
        <v>2</v>
      </c>
      <c r="I194">
        <v>5</v>
      </c>
      <c r="J194">
        <v>0</v>
      </c>
      <c r="K194">
        <v>2</v>
      </c>
      <c r="L194">
        <v>0</v>
      </c>
    </row>
    <row r="195" spans="1:12" x14ac:dyDescent="0.2">
      <c r="A195" t="s">
        <v>207</v>
      </c>
      <c r="B195" t="s">
        <v>15</v>
      </c>
      <c r="C195">
        <v>0</v>
      </c>
      <c r="D195">
        <v>5</v>
      </c>
      <c r="E195">
        <v>10</v>
      </c>
      <c r="F195">
        <v>1</v>
      </c>
      <c r="G195">
        <v>0.25</v>
      </c>
      <c r="H195">
        <v>0</v>
      </c>
      <c r="I195">
        <v>6</v>
      </c>
      <c r="J195">
        <v>0</v>
      </c>
      <c r="K195">
        <v>10</v>
      </c>
      <c r="L195">
        <v>0</v>
      </c>
    </row>
    <row r="196" spans="1:12" x14ac:dyDescent="0.2">
      <c r="A196" t="s">
        <v>207</v>
      </c>
      <c r="B196" t="s">
        <v>15</v>
      </c>
      <c r="C196">
        <v>0</v>
      </c>
      <c r="D196">
        <v>5</v>
      </c>
      <c r="E196">
        <v>10</v>
      </c>
      <c r="F196">
        <v>1</v>
      </c>
      <c r="G196">
        <v>0.25</v>
      </c>
      <c r="H196">
        <v>0</v>
      </c>
      <c r="I196">
        <v>6</v>
      </c>
      <c r="J196">
        <v>0</v>
      </c>
      <c r="K196">
        <v>10</v>
      </c>
      <c r="L196">
        <v>0</v>
      </c>
    </row>
    <row r="197" spans="1:12" x14ac:dyDescent="0.2">
      <c r="A197" t="s">
        <v>208</v>
      </c>
      <c r="B197" t="s">
        <v>13</v>
      </c>
      <c r="C197">
        <v>0</v>
      </c>
      <c r="D197">
        <v>2</v>
      </c>
      <c r="E197">
        <v>3</v>
      </c>
      <c r="F197">
        <v>1</v>
      </c>
      <c r="G197">
        <v>1</v>
      </c>
      <c r="H197">
        <v>1</v>
      </c>
      <c r="I197">
        <v>9</v>
      </c>
      <c r="J197">
        <v>0</v>
      </c>
      <c r="K197">
        <v>3</v>
      </c>
      <c r="L197">
        <v>0</v>
      </c>
    </row>
    <row r="198" spans="1:12" x14ac:dyDescent="0.2">
      <c r="A198" t="s">
        <v>209</v>
      </c>
      <c r="B198" t="s">
        <v>13</v>
      </c>
      <c r="C198">
        <v>0</v>
      </c>
      <c r="D198">
        <v>13</v>
      </c>
      <c r="E198">
        <v>66</v>
      </c>
      <c r="F198">
        <v>0</v>
      </c>
      <c r="G198">
        <v>0.16700000000000001</v>
      </c>
      <c r="H198">
        <v>3</v>
      </c>
      <c r="I198">
        <v>14</v>
      </c>
      <c r="J198">
        <v>5</v>
      </c>
      <c r="K198">
        <v>26</v>
      </c>
      <c r="L198">
        <v>0</v>
      </c>
    </row>
    <row r="199" spans="1:12" x14ac:dyDescent="0.2">
      <c r="A199" t="s">
        <v>209</v>
      </c>
      <c r="B199" t="s">
        <v>13</v>
      </c>
      <c r="C199">
        <v>0</v>
      </c>
      <c r="D199">
        <v>13</v>
      </c>
      <c r="E199">
        <v>66</v>
      </c>
      <c r="F199">
        <v>0</v>
      </c>
      <c r="G199">
        <v>0.16700000000000001</v>
      </c>
      <c r="H199">
        <v>3</v>
      </c>
      <c r="I199">
        <v>14</v>
      </c>
      <c r="J199">
        <v>5</v>
      </c>
      <c r="K199">
        <v>26</v>
      </c>
      <c r="L199">
        <v>0</v>
      </c>
    </row>
    <row r="200" spans="1:12" x14ac:dyDescent="0.2">
      <c r="A200" t="s">
        <v>210</v>
      </c>
      <c r="B200" t="s">
        <v>15</v>
      </c>
      <c r="C200">
        <v>5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4</v>
      </c>
      <c r="J200">
        <v>0</v>
      </c>
      <c r="K200">
        <v>2</v>
      </c>
      <c r="L200">
        <v>0</v>
      </c>
    </row>
    <row r="201" spans="1:12" x14ac:dyDescent="0.2">
      <c r="A201" t="s">
        <v>211</v>
      </c>
      <c r="B201" t="s">
        <v>13</v>
      </c>
      <c r="C201">
        <v>0</v>
      </c>
      <c r="D201">
        <v>8</v>
      </c>
      <c r="E201">
        <v>22</v>
      </c>
      <c r="F201">
        <v>0</v>
      </c>
      <c r="G201">
        <v>0.25</v>
      </c>
      <c r="H201">
        <v>1</v>
      </c>
      <c r="I201">
        <v>13</v>
      </c>
      <c r="J201">
        <v>2</v>
      </c>
      <c r="K201">
        <v>8</v>
      </c>
      <c r="L201">
        <v>0</v>
      </c>
    </row>
    <row r="202" spans="1:12" x14ac:dyDescent="0.2">
      <c r="A202" t="s">
        <v>212</v>
      </c>
      <c r="B202" t="s">
        <v>15</v>
      </c>
      <c r="C202">
        <v>0</v>
      </c>
      <c r="D202">
        <v>4</v>
      </c>
      <c r="E202">
        <v>0</v>
      </c>
      <c r="F202">
        <v>1</v>
      </c>
      <c r="G202">
        <v>1</v>
      </c>
      <c r="H202">
        <v>3</v>
      </c>
      <c r="I202">
        <v>4</v>
      </c>
      <c r="J202">
        <v>2</v>
      </c>
      <c r="K202">
        <v>4</v>
      </c>
      <c r="L202">
        <v>0</v>
      </c>
    </row>
    <row r="203" spans="1:12" x14ac:dyDescent="0.2">
      <c r="A203" t="s">
        <v>213</v>
      </c>
      <c r="B203" t="s">
        <v>13</v>
      </c>
      <c r="C203">
        <v>0</v>
      </c>
      <c r="D203">
        <v>10</v>
      </c>
      <c r="E203">
        <v>55</v>
      </c>
      <c r="F203">
        <v>1</v>
      </c>
      <c r="G203">
        <v>0.16700000000000001</v>
      </c>
      <c r="H203">
        <v>6</v>
      </c>
      <c r="I203">
        <v>18</v>
      </c>
      <c r="J203">
        <v>0</v>
      </c>
      <c r="K203">
        <v>11</v>
      </c>
      <c r="L203">
        <v>0</v>
      </c>
    </row>
    <row r="204" spans="1:12" x14ac:dyDescent="0.2">
      <c r="A204" t="s">
        <v>214</v>
      </c>
      <c r="B204" t="s">
        <v>13</v>
      </c>
      <c r="C204">
        <v>0</v>
      </c>
      <c r="D204">
        <v>5</v>
      </c>
      <c r="E204">
        <v>0</v>
      </c>
      <c r="F204">
        <v>0</v>
      </c>
      <c r="G204">
        <v>1</v>
      </c>
      <c r="H204">
        <v>9</v>
      </c>
      <c r="I204">
        <v>17</v>
      </c>
      <c r="J204">
        <v>0</v>
      </c>
      <c r="K204">
        <v>5</v>
      </c>
      <c r="L204">
        <v>0</v>
      </c>
    </row>
    <row r="205" spans="1:12" x14ac:dyDescent="0.2">
      <c r="A205" t="s">
        <v>215</v>
      </c>
      <c r="B205" t="s">
        <v>13</v>
      </c>
      <c r="C205">
        <v>0</v>
      </c>
      <c r="D205">
        <v>2</v>
      </c>
      <c r="E205">
        <v>0</v>
      </c>
      <c r="F205">
        <v>0</v>
      </c>
      <c r="G205">
        <v>1</v>
      </c>
      <c r="H205">
        <v>19</v>
      </c>
      <c r="I205">
        <v>44</v>
      </c>
      <c r="J205">
        <v>0</v>
      </c>
      <c r="K205">
        <v>3</v>
      </c>
      <c r="L205">
        <v>0</v>
      </c>
    </row>
    <row r="206" spans="1:12" x14ac:dyDescent="0.2">
      <c r="A206" t="s">
        <v>216</v>
      </c>
      <c r="B206" t="s">
        <v>15</v>
      </c>
      <c r="C206">
        <v>0</v>
      </c>
      <c r="D206">
        <v>1</v>
      </c>
      <c r="E206">
        <v>0</v>
      </c>
      <c r="F206">
        <v>0</v>
      </c>
      <c r="G206">
        <v>1</v>
      </c>
      <c r="H206">
        <v>3</v>
      </c>
      <c r="I206">
        <v>2</v>
      </c>
      <c r="J206">
        <v>0</v>
      </c>
      <c r="K206">
        <v>1</v>
      </c>
      <c r="L206">
        <v>0</v>
      </c>
    </row>
    <row r="207" spans="1:12" x14ac:dyDescent="0.2">
      <c r="A207" t="s">
        <v>217</v>
      </c>
      <c r="B207" t="s">
        <v>15</v>
      </c>
      <c r="C207">
        <v>0</v>
      </c>
      <c r="D207">
        <v>2</v>
      </c>
      <c r="E207">
        <v>1</v>
      </c>
      <c r="F207">
        <v>0</v>
      </c>
      <c r="G207">
        <v>1</v>
      </c>
      <c r="H207">
        <v>9</v>
      </c>
      <c r="I207">
        <v>17</v>
      </c>
      <c r="J207">
        <v>0</v>
      </c>
      <c r="K207">
        <v>3</v>
      </c>
      <c r="L207">
        <v>0</v>
      </c>
    </row>
    <row r="208" spans="1:12" x14ac:dyDescent="0.2">
      <c r="A208" t="s">
        <v>218</v>
      </c>
      <c r="B208" t="s">
        <v>15</v>
      </c>
      <c r="C208">
        <v>0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1</v>
      </c>
      <c r="J208">
        <v>3</v>
      </c>
      <c r="K208">
        <v>1</v>
      </c>
      <c r="L208">
        <v>0</v>
      </c>
    </row>
    <row r="209" spans="1:12" x14ac:dyDescent="0.2">
      <c r="A209" t="s">
        <v>219</v>
      </c>
      <c r="B209" t="s">
        <v>13</v>
      </c>
      <c r="C209">
        <v>0</v>
      </c>
      <c r="D209">
        <v>12</v>
      </c>
      <c r="E209">
        <v>33</v>
      </c>
      <c r="F209">
        <v>1</v>
      </c>
      <c r="G209">
        <v>1</v>
      </c>
      <c r="H209">
        <v>8</v>
      </c>
      <c r="I209">
        <v>51</v>
      </c>
      <c r="J209">
        <v>11</v>
      </c>
      <c r="K209">
        <v>15</v>
      </c>
      <c r="L209">
        <v>0</v>
      </c>
    </row>
    <row r="210" spans="1:12" x14ac:dyDescent="0.2">
      <c r="A210" t="s">
        <v>220</v>
      </c>
      <c r="B210" t="s">
        <v>15</v>
      </c>
      <c r="C210">
        <v>0</v>
      </c>
      <c r="D210">
        <v>4</v>
      </c>
      <c r="E210">
        <v>6</v>
      </c>
      <c r="F210">
        <v>1</v>
      </c>
      <c r="G210">
        <v>0.5</v>
      </c>
      <c r="H210">
        <v>2</v>
      </c>
      <c r="I210">
        <v>10</v>
      </c>
      <c r="J210">
        <v>0</v>
      </c>
      <c r="K210">
        <v>4</v>
      </c>
      <c r="L210">
        <v>0</v>
      </c>
    </row>
    <row r="211" spans="1:12" x14ac:dyDescent="0.2">
      <c r="A211" t="s">
        <v>221</v>
      </c>
      <c r="B211" t="s">
        <v>15</v>
      </c>
      <c r="C211">
        <v>0</v>
      </c>
      <c r="D211">
        <v>12</v>
      </c>
      <c r="E211">
        <v>14</v>
      </c>
      <c r="F211">
        <v>1</v>
      </c>
      <c r="G211">
        <v>1</v>
      </c>
      <c r="H211">
        <v>2</v>
      </c>
      <c r="I211">
        <v>25</v>
      </c>
      <c r="J211">
        <v>0</v>
      </c>
      <c r="K211">
        <v>12</v>
      </c>
      <c r="L211">
        <v>0</v>
      </c>
    </row>
    <row r="212" spans="1:12" x14ac:dyDescent="0.2">
      <c r="A212" t="s">
        <v>222</v>
      </c>
      <c r="B212" t="s">
        <v>13</v>
      </c>
      <c r="C212">
        <v>0</v>
      </c>
      <c r="D212">
        <v>12</v>
      </c>
      <c r="E212">
        <v>14</v>
      </c>
      <c r="F212">
        <v>0</v>
      </c>
      <c r="G212">
        <v>0.25</v>
      </c>
      <c r="H212">
        <v>3</v>
      </c>
      <c r="I212">
        <v>50</v>
      </c>
      <c r="J212">
        <v>1</v>
      </c>
      <c r="K212">
        <v>12</v>
      </c>
      <c r="L212">
        <v>0</v>
      </c>
    </row>
    <row r="213" spans="1:12" x14ac:dyDescent="0.2">
      <c r="A213" t="s">
        <v>223</v>
      </c>
      <c r="B213" t="s">
        <v>13</v>
      </c>
      <c r="C213">
        <v>0</v>
      </c>
      <c r="D213">
        <v>11</v>
      </c>
      <c r="E213">
        <v>99</v>
      </c>
      <c r="F213">
        <v>1</v>
      </c>
      <c r="G213">
        <v>0.2</v>
      </c>
      <c r="H213">
        <v>13</v>
      </c>
      <c r="I213">
        <v>86</v>
      </c>
      <c r="J213">
        <v>4</v>
      </c>
      <c r="K213">
        <v>18</v>
      </c>
      <c r="L213">
        <v>0</v>
      </c>
    </row>
    <row r="214" spans="1:12" x14ac:dyDescent="0.2">
      <c r="A214" t="s">
        <v>224</v>
      </c>
      <c r="B214" t="s">
        <v>13</v>
      </c>
      <c r="C214">
        <v>0</v>
      </c>
      <c r="D214">
        <v>4</v>
      </c>
      <c r="E214">
        <v>8</v>
      </c>
      <c r="F214">
        <v>0</v>
      </c>
      <c r="G214">
        <v>0.33300000000000002</v>
      </c>
      <c r="H214">
        <v>7</v>
      </c>
      <c r="I214">
        <v>17</v>
      </c>
      <c r="J214">
        <v>0</v>
      </c>
      <c r="K214">
        <v>5</v>
      </c>
      <c r="L214">
        <v>0</v>
      </c>
    </row>
    <row r="215" spans="1:12" x14ac:dyDescent="0.2">
      <c r="A215" t="s">
        <v>225</v>
      </c>
      <c r="B215" t="s">
        <v>13</v>
      </c>
      <c r="C215">
        <v>0</v>
      </c>
      <c r="D215">
        <v>4</v>
      </c>
      <c r="E215">
        <v>8</v>
      </c>
      <c r="F215">
        <v>0</v>
      </c>
      <c r="G215">
        <v>0.33300000000000002</v>
      </c>
      <c r="H215">
        <v>7</v>
      </c>
      <c r="I215">
        <v>17</v>
      </c>
      <c r="J215">
        <v>0</v>
      </c>
      <c r="K215">
        <v>5</v>
      </c>
      <c r="L215">
        <v>0</v>
      </c>
    </row>
    <row r="216" spans="1:12" x14ac:dyDescent="0.2">
      <c r="A216" t="s">
        <v>226</v>
      </c>
      <c r="B216" t="s">
        <v>15</v>
      </c>
      <c r="C216">
        <v>0</v>
      </c>
      <c r="D216">
        <v>5</v>
      </c>
      <c r="E216">
        <v>5</v>
      </c>
      <c r="F216">
        <v>0</v>
      </c>
      <c r="G216">
        <v>0.33300000000000002</v>
      </c>
      <c r="H216">
        <v>6</v>
      </c>
      <c r="I216">
        <v>24</v>
      </c>
      <c r="J216">
        <v>0</v>
      </c>
      <c r="K216">
        <v>6</v>
      </c>
      <c r="L216">
        <v>0</v>
      </c>
    </row>
    <row r="217" spans="1:12" x14ac:dyDescent="0.2">
      <c r="A217" t="s">
        <v>227</v>
      </c>
      <c r="B217" t="s">
        <v>15</v>
      </c>
      <c r="C217">
        <v>0</v>
      </c>
      <c r="D217">
        <v>2</v>
      </c>
      <c r="E217">
        <v>1</v>
      </c>
      <c r="F217">
        <v>0</v>
      </c>
      <c r="G217">
        <v>1</v>
      </c>
      <c r="H217">
        <v>0</v>
      </c>
      <c r="I217">
        <v>19</v>
      </c>
      <c r="J217">
        <v>0</v>
      </c>
      <c r="K217">
        <v>2</v>
      </c>
      <c r="L217">
        <v>0</v>
      </c>
    </row>
    <row r="218" spans="1:12" x14ac:dyDescent="0.2">
      <c r="A218" t="s">
        <v>228</v>
      </c>
      <c r="B218" t="s">
        <v>13</v>
      </c>
      <c r="C218">
        <v>0</v>
      </c>
      <c r="D218">
        <v>18</v>
      </c>
      <c r="E218">
        <v>134</v>
      </c>
      <c r="F218">
        <v>0</v>
      </c>
      <c r="G218">
        <v>0.33300000000000002</v>
      </c>
      <c r="H218">
        <v>8</v>
      </c>
      <c r="I218">
        <v>57</v>
      </c>
      <c r="J218">
        <v>0</v>
      </c>
      <c r="K218">
        <v>20</v>
      </c>
      <c r="L218">
        <v>0</v>
      </c>
    </row>
    <row r="219" spans="1:12" x14ac:dyDescent="0.2">
      <c r="A219" t="s">
        <v>229</v>
      </c>
      <c r="B219" t="s">
        <v>15</v>
      </c>
      <c r="C219">
        <v>0</v>
      </c>
      <c r="D219">
        <v>2</v>
      </c>
      <c r="E219">
        <v>1</v>
      </c>
      <c r="F219">
        <v>0</v>
      </c>
      <c r="G219">
        <v>1</v>
      </c>
      <c r="H219">
        <v>0</v>
      </c>
      <c r="I219">
        <v>6</v>
      </c>
      <c r="J219">
        <v>0</v>
      </c>
      <c r="K219">
        <v>2</v>
      </c>
      <c r="L219">
        <v>0</v>
      </c>
    </row>
    <row r="220" spans="1:12" x14ac:dyDescent="0.2">
      <c r="A220" t="s">
        <v>230</v>
      </c>
      <c r="B220" t="s">
        <v>13</v>
      </c>
      <c r="C220">
        <v>0</v>
      </c>
      <c r="D220">
        <v>10</v>
      </c>
      <c r="E220">
        <v>3</v>
      </c>
      <c r="F220">
        <v>0</v>
      </c>
      <c r="G220">
        <v>1</v>
      </c>
      <c r="H220">
        <v>7</v>
      </c>
      <c r="I220">
        <v>34</v>
      </c>
      <c r="J220">
        <v>0</v>
      </c>
      <c r="K220">
        <v>10</v>
      </c>
      <c r="L220">
        <v>0</v>
      </c>
    </row>
    <row r="221" spans="1:12" x14ac:dyDescent="0.2">
      <c r="A221" t="s">
        <v>231</v>
      </c>
      <c r="B221" t="s">
        <v>15</v>
      </c>
      <c r="C221">
        <v>0</v>
      </c>
      <c r="D221">
        <v>2</v>
      </c>
      <c r="E221">
        <v>1</v>
      </c>
      <c r="F221">
        <v>0</v>
      </c>
      <c r="G221">
        <v>1</v>
      </c>
      <c r="H221">
        <v>0</v>
      </c>
      <c r="I221">
        <v>6</v>
      </c>
      <c r="J221">
        <v>0</v>
      </c>
      <c r="K221">
        <v>2</v>
      </c>
      <c r="L221">
        <v>0</v>
      </c>
    </row>
    <row r="222" spans="1:12" x14ac:dyDescent="0.2">
      <c r="A222" t="s">
        <v>232</v>
      </c>
      <c r="B222" t="s">
        <v>13</v>
      </c>
      <c r="C222">
        <v>0</v>
      </c>
      <c r="D222">
        <v>23</v>
      </c>
      <c r="E222">
        <v>204</v>
      </c>
      <c r="F222">
        <v>0</v>
      </c>
      <c r="G222">
        <v>0.33300000000000002</v>
      </c>
      <c r="H222">
        <v>13</v>
      </c>
      <c r="I222">
        <v>92</v>
      </c>
      <c r="J222">
        <v>0</v>
      </c>
      <c r="K222">
        <v>25</v>
      </c>
      <c r="L222">
        <v>0</v>
      </c>
    </row>
    <row r="223" spans="1:12" x14ac:dyDescent="0.2">
      <c r="A223" t="s">
        <v>233</v>
      </c>
      <c r="B223" t="s">
        <v>15</v>
      </c>
      <c r="C223">
        <v>0</v>
      </c>
      <c r="D223">
        <v>9</v>
      </c>
      <c r="E223">
        <v>4</v>
      </c>
      <c r="F223">
        <v>0</v>
      </c>
      <c r="G223">
        <v>0.5</v>
      </c>
      <c r="H223">
        <v>6</v>
      </c>
      <c r="I223">
        <v>18</v>
      </c>
      <c r="J223">
        <v>0</v>
      </c>
      <c r="K223">
        <v>9</v>
      </c>
      <c r="L223">
        <v>0</v>
      </c>
    </row>
    <row r="224" spans="1:12" x14ac:dyDescent="0.2">
      <c r="A224" t="s">
        <v>234</v>
      </c>
      <c r="B224" t="s">
        <v>15</v>
      </c>
      <c r="C224">
        <v>0</v>
      </c>
      <c r="D224">
        <v>28</v>
      </c>
      <c r="E224">
        <v>297</v>
      </c>
      <c r="F224">
        <v>0</v>
      </c>
      <c r="G224">
        <v>0.33300000000000002</v>
      </c>
      <c r="H224">
        <v>5</v>
      </c>
      <c r="I224">
        <v>66</v>
      </c>
      <c r="J224">
        <v>0</v>
      </c>
      <c r="K224">
        <v>30</v>
      </c>
      <c r="L224">
        <v>0</v>
      </c>
    </row>
    <row r="225" spans="1:12" x14ac:dyDescent="0.2">
      <c r="A225" t="s">
        <v>235</v>
      </c>
      <c r="B225" t="s">
        <v>236</v>
      </c>
      <c r="C225">
        <v>0</v>
      </c>
      <c r="D225">
        <v>16</v>
      </c>
      <c r="E225">
        <v>72</v>
      </c>
      <c r="F225">
        <v>0</v>
      </c>
      <c r="G225">
        <v>0.2</v>
      </c>
      <c r="H225">
        <v>7</v>
      </c>
      <c r="I225">
        <v>45</v>
      </c>
      <c r="J225">
        <v>4</v>
      </c>
      <c r="K225">
        <v>17</v>
      </c>
      <c r="L225">
        <v>0</v>
      </c>
    </row>
    <row r="226" spans="1:12" x14ac:dyDescent="0.2">
      <c r="A226" t="s">
        <v>237</v>
      </c>
      <c r="B226" t="s">
        <v>238</v>
      </c>
      <c r="C226">
        <v>0</v>
      </c>
      <c r="D226">
        <v>5</v>
      </c>
      <c r="E226">
        <v>0</v>
      </c>
      <c r="F226">
        <v>0</v>
      </c>
      <c r="G226">
        <v>1</v>
      </c>
      <c r="H226">
        <v>17</v>
      </c>
      <c r="I226">
        <v>35</v>
      </c>
      <c r="J226">
        <v>0</v>
      </c>
      <c r="K226">
        <v>5</v>
      </c>
      <c r="L226">
        <v>0</v>
      </c>
    </row>
    <row r="227" spans="1:12" x14ac:dyDescent="0.2">
      <c r="A227" t="s">
        <v>239</v>
      </c>
      <c r="B227" t="s">
        <v>236</v>
      </c>
      <c r="C227">
        <v>0</v>
      </c>
      <c r="D227">
        <v>6</v>
      </c>
      <c r="E227">
        <v>3</v>
      </c>
      <c r="F227">
        <v>0</v>
      </c>
      <c r="G227">
        <v>0.5</v>
      </c>
      <c r="H227">
        <v>7</v>
      </c>
      <c r="I227">
        <v>32</v>
      </c>
      <c r="J227">
        <v>3</v>
      </c>
      <c r="K227">
        <v>6</v>
      </c>
      <c r="L227">
        <v>2</v>
      </c>
    </row>
    <row r="228" spans="1:12" x14ac:dyDescent="0.2">
      <c r="A228" t="s">
        <v>240</v>
      </c>
      <c r="B228" t="s">
        <v>238</v>
      </c>
      <c r="C228">
        <v>0</v>
      </c>
      <c r="D228">
        <v>5</v>
      </c>
      <c r="E228">
        <v>0</v>
      </c>
      <c r="F228">
        <v>0</v>
      </c>
      <c r="G228">
        <v>1</v>
      </c>
      <c r="H228">
        <v>8</v>
      </c>
      <c r="I228">
        <v>31</v>
      </c>
      <c r="J228">
        <v>0</v>
      </c>
      <c r="K228">
        <v>5</v>
      </c>
      <c r="L228">
        <v>0</v>
      </c>
    </row>
    <row r="229" spans="1:12" x14ac:dyDescent="0.2">
      <c r="A229" t="s">
        <v>241</v>
      </c>
      <c r="B229" t="s">
        <v>15</v>
      </c>
      <c r="C229">
        <v>0</v>
      </c>
      <c r="D229">
        <v>2</v>
      </c>
      <c r="E229">
        <v>0</v>
      </c>
      <c r="F229">
        <v>1</v>
      </c>
      <c r="G229">
        <v>1</v>
      </c>
      <c r="H229">
        <v>0</v>
      </c>
      <c r="I229">
        <v>2</v>
      </c>
      <c r="J229">
        <v>9</v>
      </c>
      <c r="K229">
        <v>2</v>
      </c>
      <c r="L229">
        <v>0</v>
      </c>
    </row>
    <row r="230" spans="1:12" x14ac:dyDescent="0.2">
      <c r="A230" t="s">
        <v>242</v>
      </c>
      <c r="B230" t="s">
        <v>243</v>
      </c>
      <c r="C230">
        <v>0</v>
      </c>
      <c r="D230">
        <v>6</v>
      </c>
      <c r="E230">
        <v>4</v>
      </c>
      <c r="F230">
        <v>1</v>
      </c>
      <c r="G230">
        <v>0.5</v>
      </c>
      <c r="H230">
        <v>2</v>
      </c>
      <c r="I230">
        <v>7</v>
      </c>
      <c r="J230">
        <v>2</v>
      </c>
      <c r="K230">
        <v>6</v>
      </c>
      <c r="L230">
        <v>1</v>
      </c>
    </row>
    <row r="231" spans="1:12" x14ac:dyDescent="0.2">
      <c r="A231" t="s">
        <v>244</v>
      </c>
      <c r="B231" t="s">
        <v>15</v>
      </c>
      <c r="C231">
        <v>0</v>
      </c>
      <c r="D231">
        <v>2</v>
      </c>
      <c r="E231">
        <v>3</v>
      </c>
      <c r="F231">
        <v>1</v>
      </c>
      <c r="G231">
        <v>1</v>
      </c>
      <c r="H231">
        <v>0</v>
      </c>
      <c r="I231">
        <v>6</v>
      </c>
      <c r="J231">
        <v>0</v>
      </c>
      <c r="K231">
        <v>4</v>
      </c>
      <c r="L231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B6C43-4E62-47D8-AA65-8210DF77596A}">
  <dimension ref="B4:W37"/>
  <sheetViews>
    <sheetView workbookViewId="0">
      <selection activeCell="G14" sqref="G14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245</v>
      </c>
      <c r="S4" s="7"/>
      <c r="T4" s="8" t="s">
        <v>246</v>
      </c>
      <c r="U4" s="8" t="s">
        <v>247</v>
      </c>
      <c r="V4" s="8" t="s">
        <v>248</v>
      </c>
      <c r="W4" s="8" t="s">
        <v>249</v>
      </c>
    </row>
    <row r="5" spans="2:23" x14ac:dyDescent="0.2">
      <c r="B5" s="1"/>
      <c r="C5" s="9" t="s">
        <v>236</v>
      </c>
      <c r="D5" s="9" t="s">
        <v>238</v>
      </c>
      <c r="E5" s="9" t="s">
        <v>243</v>
      </c>
      <c r="F5" s="9" t="s">
        <v>250</v>
      </c>
      <c r="G5" s="9" t="s">
        <v>13</v>
      </c>
      <c r="H5" s="9" t="s">
        <v>251</v>
      </c>
      <c r="J5" s="1"/>
      <c r="K5" s="9" t="s">
        <v>236</v>
      </c>
      <c r="L5" s="9" t="s">
        <v>238</v>
      </c>
      <c r="M5" s="9" t="s">
        <v>243</v>
      </c>
      <c r="N5" s="9" t="s">
        <v>250</v>
      </c>
      <c r="O5" s="9" t="s">
        <v>13</v>
      </c>
      <c r="P5" s="9" t="s">
        <v>251</v>
      </c>
      <c r="R5" s="10">
        <v>1</v>
      </c>
      <c r="S5" s="10" t="s">
        <v>2</v>
      </c>
      <c r="T5" s="10">
        <v>0</v>
      </c>
      <c r="U5" s="10" t="s">
        <v>252</v>
      </c>
      <c r="V5" s="10" t="s">
        <v>253</v>
      </c>
      <c r="W5" s="10" t="s">
        <v>254</v>
      </c>
    </row>
    <row r="6" spans="2:23" x14ac:dyDescent="0.2">
      <c r="B6" s="11" t="s">
        <v>246</v>
      </c>
      <c r="C6" s="12">
        <f>COUNTIFS(metricas!C2:C10000,"=0",metricas!B2:B10000,"LSCC")</f>
        <v>2</v>
      </c>
      <c r="D6" s="12">
        <f>COUNTIFS(metricas!C2:C10000,"=0",metricas!B2:B10000,"IN")</f>
        <v>2</v>
      </c>
      <c r="E6" s="12">
        <f>COUNTIFS(metricas!C2:C10000,"=0",metricas!B2:B10000,"OUT")</f>
        <v>1</v>
      </c>
      <c r="F6" s="12">
        <f>COUNTIFS(metricas!C2:C10000,"=0",metricas!B2:B10000,"TUBES")</f>
        <v>0</v>
      </c>
      <c r="G6" s="12">
        <f>COUNTIFS(metricas!C2:C10000,"=0",metricas!B2:B10000,"TENDRILS")</f>
        <v>156</v>
      </c>
      <c r="H6" s="12">
        <f>COUNTIFS(metricas!C2:C10000,"=0",metricas!B2:B10000,"DISCONNECTED")</f>
        <v>46</v>
      </c>
      <c r="J6" s="11" t="s">
        <v>246</v>
      </c>
      <c r="K6" s="13">
        <f>COUNTIFS(metricas!H2:H10000,"&lt;=7",metricas!B2:B10000,"LSCC")</f>
        <v>2</v>
      </c>
      <c r="L6" s="13">
        <f>COUNTIFS(metricas!H2:H10000,"&lt;=7",metricas!B2:B10000,"IN")</f>
        <v>0</v>
      </c>
      <c r="M6" s="13">
        <f>COUNTIFS(metricas!H2:H10000,"&lt;=7",metricas!B2:B10000,"OUT")</f>
        <v>1</v>
      </c>
      <c r="N6" s="13">
        <f>COUNTIFS(metricas!H2:H10000,"&lt;=7",metricas!B2:B10000,"TUBES")</f>
        <v>0</v>
      </c>
      <c r="O6" s="13">
        <f>COUNTIFS(metricas!H2:H10000,"&lt;=7",metricas!B2:B10000,"TENDRILS")</f>
        <v>93</v>
      </c>
      <c r="P6" s="13">
        <f>COUNTIFS(metricas!H2:H10000,"&lt;=7",metricas!B2:B10000,"DISCONNECTED")</f>
        <v>50</v>
      </c>
      <c r="R6" s="10">
        <v>2</v>
      </c>
      <c r="S6" s="10" t="s">
        <v>3</v>
      </c>
      <c r="T6" s="10" t="s">
        <v>255</v>
      </c>
      <c r="U6" s="10" t="s">
        <v>256</v>
      </c>
      <c r="V6" s="10" t="s">
        <v>257</v>
      </c>
      <c r="W6" s="10" t="s">
        <v>254</v>
      </c>
    </row>
    <row r="7" spans="2:23" ht="15" x14ac:dyDescent="0.25">
      <c r="B7" s="11" t="s">
        <v>247</v>
      </c>
      <c r="C7" s="14">
        <f>COUNTIFS(metricas!C2:C10000,"&gt;=1",metricas!C2:C10000,"&lt;=10",metricas!B2:B10000,"LSCC")</f>
        <v>0</v>
      </c>
      <c r="D7" s="11">
        <f>COUNTIFS(metricas!C2:C10000,"&gt;=1",metricas!C2:C10000,"&lt;=10",metricas!B2:B10000,"IN")</f>
        <v>0</v>
      </c>
      <c r="E7" s="11">
        <f>COUNTIFS(metricas!C2:C10000,"&gt;=1",metricas!C2:C10000,"&lt;=10",metricas!B2:B10000,"OUT")</f>
        <v>0</v>
      </c>
      <c r="F7" s="11">
        <f>COUNTIFS(metricas!C2:C10000,"&gt;=1",metricas!C2:C10000,"&lt;=10",metricas!B2:B10000,"TUBES")</f>
        <v>0</v>
      </c>
      <c r="G7" s="11">
        <f>COUNTIFS(metricas!C2:C10000,"&gt;=1",metricas!C2:C10000,"&lt;=10",metricas!B2:B10000,"TENDRILS")</f>
        <v>10</v>
      </c>
      <c r="H7" s="11">
        <f>COUNTIFS(metricas!C2:C10000,"&gt;=1",metricas!C2:C10000,"&lt;=10",metricas!B2:B10000,"DISCONNECTED")</f>
        <v>9</v>
      </c>
      <c r="J7" s="11" t="s">
        <v>247</v>
      </c>
      <c r="K7" s="15">
        <f>COUNTIFS(metricas!H2:H10000,"&gt;7",metricas!H2:H10000,"&lt;=14",metricas!B2:B10000,"LSCC")</f>
        <v>0</v>
      </c>
      <c r="L7" s="16">
        <f>COUNTIFS(metricas!H2:H10000,"&gt;7",metricas!H2:H10000,"&lt;=14",metricas!B2:B10000,"IN")</f>
        <v>1</v>
      </c>
      <c r="M7" s="16">
        <f>COUNTIFS(metricas!H2:H10000,"&gt;7",metricas!H2:H10000,"&lt;=14",metricas!B2:B10000,"OUT")</f>
        <v>0</v>
      </c>
      <c r="N7" s="16">
        <f>COUNTIFS(metricas!H2:H10000,"&gt;7",metricas!H2:H10000,"&lt;=14",metricas!B2:B10000,"TUBES")</f>
        <v>0</v>
      </c>
      <c r="O7" s="16">
        <f>COUNTIFS(metricas!H2:H10000,"&gt;7",metricas!H2:H10000,"&lt;=14",metricas!B2:B10000,"TENDRILS")</f>
        <v>35</v>
      </c>
      <c r="P7" s="16">
        <f>COUNTIFS(metricas!H2:H10000,"&gt;7",metricas!H2:H10000,"&lt;=14",metricas!B2:B10000,"DISCONNECTED")</f>
        <v>6</v>
      </c>
      <c r="R7" s="10">
        <v>3</v>
      </c>
      <c r="S7" s="10" t="s">
        <v>4</v>
      </c>
      <c r="T7" s="10">
        <v>0</v>
      </c>
      <c r="U7" s="10" t="s">
        <v>258</v>
      </c>
      <c r="V7" s="10" t="s">
        <v>259</v>
      </c>
      <c r="W7" s="10" t="s">
        <v>254</v>
      </c>
    </row>
    <row r="8" spans="2:23" x14ac:dyDescent="0.2">
      <c r="B8" s="11" t="s">
        <v>248</v>
      </c>
      <c r="C8" s="11">
        <f>COUNTIFS(metricas!C2:C10000,"&gt;10",metricas!B2:B10000,"LSCC")</f>
        <v>0</v>
      </c>
      <c r="D8" s="11">
        <f>COUNTIFS(metricas!C2:C10000,"&gt;10",metricas!B2:B10000,"IN")</f>
        <v>0</v>
      </c>
      <c r="E8" s="11">
        <f>COUNTIFS(metricas!C2:C10000,"&gt;10",metricas!B2:B10000,"OUT")</f>
        <v>0</v>
      </c>
      <c r="F8" s="11">
        <f>COUNTIFS(metricas!C2:C10000,"&gt;10",metricas!B2:B10000,"TUBES")</f>
        <v>0</v>
      </c>
      <c r="G8" s="11">
        <f>COUNTIFS(metricas!C2:C10000,"&gt;10",metricas!B2:B10000,"TENDRILS")</f>
        <v>3</v>
      </c>
      <c r="H8" s="11">
        <f>COUNTIFS(metricas!C2:C10000,"&gt;10",metricas!B2:B10000,"DISCONNECTED")</f>
        <v>1</v>
      </c>
      <c r="J8" s="11" t="s">
        <v>248</v>
      </c>
      <c r="K8" s="16">
        <f>COUNTIFS(metricas!H2:H10000,"&gt;14",metricas!B2:B10000,"LSCC")</f>
        <v>0</v>
      </c>
      <c r="L8" s="16">
        <f>COUNTIFS(metricas!H2:H10000,"&gt;14",metricas!B2:B10000,"IN")</f>
        <v>1</v>
      </c>
      <c r="M8" s="16">
        <f>COUNTIFS(metricas!H2:H10000,"&gt;14",metricas!B2:B10000,"OUT")</f>
        <v>0</v>
      </c>
      <c r="N8" s="16">
        <f>COUNTIFS(metricas!H2:H10000,"&gt;14",metricas!B2:B10000,"TUBES")</f>
        <v>0</v>
      </c>
      <c r="O8" s="16">
        <f>COUNTIFS(metricas!H2:H10000,"&gt;14",metricas!B2:B10000,"TENDRILS")</f>
        <v>41</v>
      </c>
      <c r="P8" s="16">
        <f>COUNTIFS(metricas!H2:H10000,"&gt;14",metricas!B2:B10000,"DISCONNECTED")</f>
        <v>0</v>
      </c>
      <c r="R8" s="10">
        <v>4</v>
      </c>
      <c r="S8" s="10" t="s">
        <v>5</v>
      </c>
      <c r="T8" s="10" t="s">
        <v>260</v>
      </c>
      <c r="U8" s="10" t="s">
        <v>261</v>
      </c>
      <c r="V8" s="10" t="s">
        <v>262</v>
      </c>
      <c r="W8" s="10" t="s">
        <v>263</v>
      </c>
    </row>
    <row r="9" spans="2:23" ht="15" x14ac:dyDescent="0.25">
      <c r="B9" s="1"/>
      <c r="C9" s="17">
        <f>SUM(C6:H8)</f>
        <v>230</v>
      </c>
      <c r="D9" s="17"/>
      <c r="E9" s="17"/>
      <c r="F9" s="17"/>
      <c r="G9" s="17"/>
      <c r="H9" s="17"/>
      <c r="J9" s="1"/>
      <c r="K9" s="18">
        <f>SUM(K6:P8)</f>
        <v>230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264</v>
      </c>
      <c r="V9" s="10" t="s">
        <v>265</v>
      </c>
      <c r="W9" s="10" t="s">
        <v>266</v>
      </c>
    </row>
    <row r="10" spans="2:23" x14ac:dyDescent="0.2">
      <c r="R10" s="10">
        <v>6</v>
      </c>
      <c r="S10" s="10" t="s">
        <v>7</v>
      </c>
      <c r="T10" s="8" t="s">
        <v>267</v>
      </c>
      <c r="U10" s="10" t="s">
        <v>268</v>
      </c>
      <c r="V10" s="8" t="s">
        <v>269</v>
      </c>
      <c r="W10" s="8" t="s">
        <v>270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271</v>
      </c>
      <c r="U11" s="10" t="s">
        <v>272</v>
      </c>
      <c r="V11" s="8" t="s">
        <v>273</v>
      </c>
      <c r="W11" s="8" t="s">
        <v>270</v>
      </c>
    </row>
    <row r="12" spans="2:23" x14ac:dyDescent="0.2">
      <c r="B12" s="1"/>
      <c r="C12" s="9" t="s">
        <v>236</v>
      </c>
      <c r="D12" s="9" t="s">
        <v>238</v>
      </c>
      <c r="E12" s="9" t="s">
        <v>243</v>
      </c>
      <c r="F12" s="9" t="s">
        <v>250</v>
      </c>
      <c r="G12" s="9" t="s">
        <v>13</v>
      </c>
      <c r="H12" s="9" t="s">
        <v>251</v>
      </c>
      <c r="J12" s="1"/>
      <c r="K12" s="9" t="s">
        <v>236</v>
      </c>
      <c r="L12" s="9" t="s">
        <v>238</v>
      </c>
      <c r="M12" s="9" t="s">
        <v>243</v>
      </c>
      <c r="N12" s="9" t="s">
        <v>250</v>
      </c>
      <c r="O12" s="9" t="s">
        <v>13</v>
      </c>
      <c r="P12" s="9" t="s">
        <v>251</v>
      </c>
      <c r="R12" s="10">
        <v>8</v>
      </c>
      <c r="S12" s="10" t="s">
        <v>9</v>
      </c>
      <c r="T12" s="10" t="s">
        <v>267</v>
      </c>
      <c r="U12" s="10" t="s">
        <v>274</v>
      </c>
      <c r="V12" s="10" t="s">
        <v>275</v>
      </c>
      <c r="W12" s="10" t="s">
        <v>263</v>
      </c>
    </row>
    <row r="13" spans="2:23" x14ac:dyDescent="0.2">
      <c r="B13" s="11" t="s">
        <v>246</v>
      </c>
      <c r="C13" s="12">
        <f>COUNTIFS(metricas!D2:D10000,"&gt;=0",metricas!D2:D10000,"&lt;=10",metricas!B2:B10000,"LSCC")</f>
        <v>1</v>
      </c>
      <c r="D13" s="12">
        <f>COUNTIFS(metricas!D2:D10000,"&gt;=0",metricas!D2:D10000,"&lt;=10",metricas!B2:B10000,"IN")</f>
        <v>2</v>
      </c>
      <c r="E13" s="12">
        <f>COUNTIFS(metricas!D2:D10000,"&gt;=0",metricas!D2:D10000,"&lt;=10",metricas!B2:B10000,"OUT")</f>
        <v>1</v>
      </c>
      <c r="F13" s="12">
        <f>COUNTIFS(metricas!D2:D10000,"&gt;=0",metricas!D2:D10000,"&lt;=10",metricas!B2:B10000,"TUBES")</f>
        <v>0</v>
      </c>
      <c r="G13" s="12">
        <f>COUNTIFS(metricas!D2:D10000,"&gt;=0",metricas!D2:D10000,"&lt;=10",metricas!B2:B10000,"TENDRILS")</f>
        <v>120</v>
      </c>
      <c r="H13" s="12">
        <f>COUNTIFS(metricas!D2:D10000,"&gt;=0",metricas!D2:D10000,"&lt;=10",metricas!B2:B10000,"DISCONNECTED")</f>
        <v>47</v>
      </c>
      <c r="J13" s="11" t="s">
        <v>246</v>
      </c>
      <c r="K13" s="13">
        <f>COUNTIFS(metricas!I2:I10000,"&lt;=20",metricas!B2:B10000,"LSCC")</f>
        <v>0</v>
      </c>
      <c r="L13" s="13">
        <f>COUNTIFS(metricas!I2:I10000,"&lt;=20",metricas!B2:B10000,"IN")</f>
        <v>0</v>
      </c>
      <c r="M13" s="13">
        <f>COUNTIFS(metricas!I2:I10000,"&lt;=20",metricas!B2:B10000,"OUT")</f>
        <v>1</v>
      </c>
      <c r="N13" s="13">
        <f>COUNTIFS(metricas!I2:I10000,"&lt;=20",metricas!B2:B10000,"TUBES")</f>
        <v>0</v>
      </c>
      <c r="O13" s="13">
        <f>COUNTIFS(metricas!I2:I10000,"&lt;=20",metricas!B2:B10000,"TENDRILS")</f>
        <v>87</v>
      </c>
      <c r="P13" s="13">
        <f>COUNTIFS(metricas!I2:I10000,"&lt;=20",metricas!B2:B10000,"DISCONNECTED")</f>
        <v>47</v>
      </c>
      <c r="R13" s="10">
        <v>9</v>
      </c>
      <c r="S13" s="10" t="s">
        <v>10</v>
      </c>
      <c r="T13" s="10" t="s">
        <v>276</v>
      </c>
      <c r="U13" s="10" t="s">
        <v>277</v>
      </c>
      <c r="V13" s="10" t="s">
        <v>278</v>
      </c>
      <c r="W13" s="10" t="s">
        <v>263</v>
      </c>
    </row>
    <row r="14" spans="2:23" ht="15" x14ac:dyDescent="0.25">
      <c r="B14" s="11" t="s">
        <v>247</v>
      </c>
      <c r="C14" s="14">
        <f>COUNTIFS(metricas!D2:D10000,"&gt;=11",metricas!D2:D10000,"&lt;=40",metricas!B2:B10000,"LSCC")</f>
        <v>1</v>
      </c>
      <c r="D14" s="11">
        <f>COUNTIFS(metricas!D2:D10000,"&gt;=11",metricas!D2:D10000,"&lt;=40",metricas!B2:B10000,"IN")</f>
        <v>0</v>
      </c>
      <c r="E14" s="11">
        <f>COUNTIFS(metricas!D2:D10000,"&gt;=11",metricas!D2:D10000,"&lt;=40",metricas!B2:B10000,"OUT")</f>
        <v>0</v>
      </c>
      <c r="F14" s="11">
        <f>COUNTIFS(metricas!D2:D10000,"&gt;=11",metricas!D2:D10000,"&lt;=40",metricas!B2:B10000,"TUBES")</f>
        <v>0</v>
      </c>
      <c r="G14" s="11">
        <f>COUNTIFS(metricas!D2:D10000,"&gt;=11",metricas!D2:D10000,"&lt;=40",metricas!B2:B10000,"TENDRILS")</f>
        <v>46</v>
      </c>
      <c r="H14" s="11">
        <f>COUNTIFS(metricas!D2:D10000,"&gt;=11",metricas!D2:D10000,"&lt;=40",metricas!B2:B10000,"DISCONNECTED")</f>
        <v>9</v>
      </c>
      <c r="J14" s="11" t="s">
        <v>247</v>
      </c>
      <c r="K14" s="15">
        <f>COUNTIFS(metricas!I2:I10000,"&gt;20",metricas!I2:I10000,"&lt;=46",metricas!B2:B10000,"LSCC")</f>
        <v>2</v>
      </c>
      <c r="L14" s="16">
        <f>COUNTIFS(metricas!I2:I10000,"&gt;20",metricas!I2:I10000,"&lt;=46",metricas!B2:B10000,"IN")</f>
        <v>2</v>
      </c>
      <c r="M14" s="16">
        <f>COUNTIFS(metricas!I2:I10000,"&gt;20",metricas!I2:I10000,"&lt;=46",metricas!B2:B10000,"OUT")</f>
        <v>0</v>
      </c>
      <c r="N14" s="16">
        <f>COUNTIFS(metricas!I2:I10000,"&gt;20",metricas!I2:I10000,"&lt;=46",metricas!B2:B10000,"TUBES")</f>
        <v>0</v>
      </c>
      <c r="O14" s="16">
        <f>COUNTIFS(metricas!I2:I10000,"&gt;20",metricas!I2:I10000,"&lt;=46",metricas!B2:B10000,"TENDRILS")</f>
        <v>40</v>
      </c>
      <c r="P14" s="16">
        <f>COUNTIFS(metricas!I2:I10000,"&gt;20",metricas!I2:I10000,"&lt;=46",metricas!B2:B10000,"DISCONNECTED")</f>
        <v>6</v>
      </c>
      <c r="R14" s="10">
        <v>10</v>
      </c>
      <c r="S14" s="10" t="s">
        <v>11</v>
      </c>
      <c r="T14" s="10" t="s">
        <v>276</v>
      </c>
      <c r="U14" s="10" t="s">
        <v>279</v>
      </c>
      <c r="V14" s="10" t="s">
        <v>280</v>
      </c>
      <c r="W14" s="10" t="s">
        <v>263</v>
      </c>
    </row>
    <row r="15" spans="2:23" x14ac:dyDescent="0.2">
      <c r="B15" s="11" t="s">
        <v>248</v>
      </c>
      <c r="C15" s="11">
        <f>COUNTIFS(metricas!D2:D10000,"&gt;40",metricas!B2:B10000,"LSCC")</f>
        <v>0</v>
      </c>
      <c r="D15" s="11">
        <f>COUNTIFS(metricas!D2:D10000,"&gt;40",metricas!B2:B10000,"IN")</f>
        <v>0</v>
      </c>
      <c r="E15" s="11">
        <f>COUNTIFS(metricas!D2:D10000,"&gt;40",metricas!B2:B10000,"OUT")</f>
        <v>0</v>
      </c>
      <c r="F15" s="11">
        <f>COUNTIFS(metricas!D2:D10000,"&gt;40",metricas!B2:B10000,"TUBES")</f>
        <v>0</v>
      </c>
      <c r="G15" s="11">
        <f>COUNTIFS(metricas!D2:D10000,"&gt;40",metricas!B2:B10000,"TENDRILS")</f>
        <v>3</v>
      </c>
      <c r="H15" s="11">
        <f>COUNTIFS(metricas!D2:D10000,"&gt;40",metricas!B2:B10000,"DISCONNECTED")</f>
        <v>0</v>
      </c>
      <c r="J15" s="11" t="s">
        <v>248</v>
      </c>
      <c r="K15" s="16">
        <f>COUNTIFS(metricas!I2:I10000,"&gt;46",metricas!B2:B10000,"LSCC")</f>
        <v>0</v>
      </c>
      <c r="L15" s="16">
        <f>COUNTIFS(metricas!I2:I10000,"&gt;46",metricas!B2:B10000,"IN")</f>
        <v>0</v>
      </c>
      <c r="M15" s="16">
        <f>COUNTIFS(metricas!I2:I10000,"&gt;46",metricas!B2:B10000,"OUT")</f>
        <v>0</v>
      </c>
      <c r="N15" s="16">
        <f>COUNTIFS(metricas!I2:I10000,"&gt;46",metricas!B2:B10000,"TUBES")</f>
        <v>0</v>
      </c>
      <c r="O15" s="16">
        <f>COUNTIFS(metricas!I2:I10000,"&gt;46",metricas!B2:B10000,"TENDRILS")</f>
        <v>42</v>
      </c>
      <c r="P15" s="16">
        <f>COUNTIFS(metricas!I2:I10000,"&gt;46",metricas!B2:B10000,"DISCONNECTED")</f>
        <v>3</v>
      </c>
    </row>
    <row r="16" spans="2:23" ht="15" x14ac:dyDescent="0.25">
      <c r="B16" s="1"/>
      <c r="C16" s="17">
        <f>SUM(C13:H15)</f>
        <v>230</v>
      </c>
      <c r="D16" s="17"/>
      <c r="E16" s="17"/>
      <c r="F16" s="17"/>
      <c r="G16" s="17"/>
      <c r="H16" s="17"/>
      <c r="J16" s="1"/>
      <c r="K16" s="18">
        <f>SUM(K13:P15)</f>
        <v>230</v>
      </c>
      <c r="L16" s="19"/>
      <c r="M16" s="19"/>
      <c r="N16" s="19"/>
      <c r="O16" s="19"/>
      <c r="P16" s="20"/>
      <c r="S16" s="21" t="s">
        <v>281</v>
      </c>
      <c r="T16" s="22"/>
      <c r="U16" s="21" t="s">
        <v>282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236</v>
      </c>
      <c r="D19" s="9" t="s">
        <v>238</v>
      </c>
      <c r="E19" s="9" t="s">
        <v>243</v>
      </c>
      <c r="F19" s="9" t="s">
        <v>250</v>
      </c>
      <c r="G19" s="9" t="s">
        <v>13</v>
      </c>
      <c r="H19" s="9" t="s">
        <v>251</v>
      </c>
      <c r="J19" s="1"/>
      <c r="K19" s="9" t="s">
        <v>236</v>
      </c>
      <c r="L19" s="9" t="s">
        <v>238</v>
      </c>
      <c r="M19" s="9" t="s">
        <v>243</v>
      </c>
      <c r="N19" s="9" t="s">
        <v>250</v>
      </c>
      <c r="O19" s="9" t="s">
        <v>13</v>
      </c>
      <c r="P19" s="9" t="s">
        <v>251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246</v>
      </c>
      <c r="C20" s="12">
        <f>COUNTIFS(metricas!E2:E10000,"=0",metricas!B2:B10000,"LSCC")</f>
        <v>0</v>
      </c>
      <c r="D20" s="12">
        <f>COUNTIFS(metricas!E2:E10000,"=0",metricas!B2:B10000,"IN")</f>
        <v>2</v>
      </c>
      <c r="E20" s="12">
        <f>COUNTIFS(metricas!E2:E10000,"=0",metricas!B2:B10000,"OUT")</f>
        <v>0</v>
      </c>
      <c r="F20" s="12">
        <f>COUNTIFS(metricas!E2:E10000,"=0",metricas!B2:B10000,"TUBES")</f>
        <v>0</v>
      </c>
      <c r="G20" s="12">
        <f>COUNTIFS(metricas!E2:E10000,"=0",metricas!B2:B10000,"TENDRILS")</f>
        <v>48</v>
      </c>
      <c r="H20" s="12">
        <f>COUNTIFS(metricas!E2:E10000,"=0",metricas!B2:B10000,"DISCONNECTED")</f>
        <v>30</v>
      </c>
      <c r="J20" s="11" t="s">
        <v>246</v>
      </c>
      <c r="K20" s="12">
        <f>COUNTIFS(metricas!J2:J10000,"&lt;=7",metricas!B2:B10000,"LSCC")</f>
        <v>2</v>
      </c>
      <c r="L20" s="12">
        <f>COUNTIFS(metricas!J2:J10000,"&lt;=7",metricas!B2:B10000,"IN")</f>
        <v>2</v>
      </c>
      <c r="M20" s="12">
        <f>COUNTIFS(metricas!J2:J10000,"&lt;=7",metricas!B2:B10000,"OUT")</f>
        <v>1</v>
      </c>
      <c r="N20" s="12">
        <f>COUNTIFS(metricas!J2:J10000,"&lt;=7",metricas!B2:B10000,"TUBES")</f>
        <v>0</v>
      </c>
      <c r="O20" s="12">
        <f>COUNTIFS(metricas!J2:J10000,"&lt;=7",metricas!B2:B10000,"TENDRILS")</f>
        <v>150</v>
      </c>
      <c r="P20" s="12">
        <f>COUNTIFS(metricas!J2:J10000,"&lt;=7",metricas!B2:B10000,"DISCONNECTED")</f>
        <v>46</v>
      </c>
    </row>
    <row r="21" spans="2:22" ht="15" x14ac:dyDescent="0.25">
      <c r="B21" s="11" t="s">
        <v>247</v>
      </c>
      <c r="C21" s="14">
        <f>COUNTIFS(metricas!E2:E10000,"&gt;=1",metricas!E2:E10000,"&lt;=20",metricas!B2:B10000,"LSCC")</f>
        <v>1</v>
      </c>
      <c r="D21" s="11">
        <f>COUNTIFS(metricas!E2:E10000,"&gt;=1",metricas!E2:E10000,"&lt;=20",metricas!B2:B10000,"IN")</f>
        <v>0</v>
      </c>
      <c r="E21" s="11">
        <f>COUNTIFS(metricas!E2:E10000,"&gt;=1",metricas!E2:E10000,"&lt;=20",metricas!B2:B10000,"OUT")</f>
        <v>1</v>
      </c>
      <c r="F21" s="11">
        <f>COUNTIFS(metricas!E2:E10000,"&gt;=1",metricas!E2:E10000,"&lt;=20",metricas!B2:B10000,"TUBES")</f>
        <v>0</v>
      </c>
      <c r="G21" s="11">
        <f>COUNTIFS(metricas!E2:E10000,"&gt;=1",metricas!E2:E10000,"&lt;=20",metricas!B2:B10000,"TENDRILS")</f>
        <v>60</v>
      </c>
      <c r="H21" s="11">
        <f>COUNTIFS(metricas!E2:E10000,"&gt;=1",metricas!E2:E10000,"&lt;=20",metricas!B2:B10000,"DISCONNECTED")</f>
        <v>22</v>
      </c>
      <c r="J21" s="11" t="s">
        <v>247</v>
      </c>
      <c r="K21" s="14">
        <f>COUNTIFS(metricas!J2:J10000,"&gt;7",metricas!J2:J10000,"&lt;=39",metricas!B2:B10000,"LSCC")</f>
        <v>0</v>
      </c>
      <c r="L21" s="11">
        <f>COUNTIFS(metricas!J2:J10000,"&gt;7",metricas!J2:J10000,"&lt;=39",metricas!B2:B10000,"IN")</f>
        <v>0</v>
      </c>
      <c r="M21" s="11">
        <f>COUNTIFS(metricas!J2:J10000,"&gt;7",metricas!J2:J10000,"&lt;=39",metricas!B2:B10000,"OUT")</f>
        <v>0</v>
      </c>
      <c r="N21" s="11">
        <f>COUNTIFS(metricas!J2:J10000,"&gt;7",metricas!J2:J10000,"&lt;=39",metricas!B2:B10000,"TUBES")</f>
        <v>0</v>
      </c>
      <c r="O21" s="11">
        <f>COUNTIFS(metricas!J2:J10000,"&gt;7",metricas!J2:J10000,"&lt;=39",metricas!B2:B10000,"TENDRILS")</f>
        <v>18</v>
      </c>
      <c r="P21" s="11">
        <f>COUNTIFS(metricas!J2:J10000,"&gt;7",metricas!J2:J10000,"&lt;=39",metricas!B2:B10000,"DISCONNECTED")</f>
        <v>9</v>
      </c>
    </row>
    <row r="22" spans="2:22" x14ac:dyDescent="0.2">
      <c r="B22" s="11" t="s">
        <v>248</v>
      </c>
      <c r="C22" s="11">
        <f>COUNTIFS(metricas!E2:E10000,"&gt;20",metricas!B2:B10000,"LSCC")</f>
        <v>1</v>
      </c>
      <c r="D22" s="11">
        <f>COUNTIFS(metricas!E2:E10000,"&gt;20",metricas!B2:B10000,"IN")</f>
        <v>0</v>
      </c>
      <c r="E22" s="11">
        <f>COUNTIFS(metricas!E2:E10000,"&gt;20",metricas!B2:B10000,"OUT")</f>
        <v>0</v>
      </c>
      <c r="F22" s="11">
        <f>COUNTIFS(metricas!E2:E10000,"&gt;20",metricas!B2:B10000,"TUBES")</f>
        <v>0</v>
      </c>
      <c r="G22" s="11">
        <f>COUNTIFS(metricas!E2:E10000,"&gt;20",metricas!B2:B10000,"TENDRILS")</f>
        <v>61</v>
      </c>
      <c r="H22" s="11">
        <f>COUNTIFS(metricas!E2:E10000,"&gt;20",metricas!B2:B10000,"DISCONNECTED")</f>
        <v>4</v>
      </c>
      <c r="J22" s="11" t="s">
        <v>248</v>
      </c>
      <c r="K22" s="11">
        <f>COUNTIFS(metricas!J2:J10000,"&gt;39",metricas!B2:B10000,"LSCC")</f>
        <v>0</v>
      </c>
      <c r="L22" s="11">
        <f>COUNTIFS(metricas!J2:J10000,"&gt;39",metricas!B2:B10000,"IN")</f>
        <v>0</v>
      </c>
      <c r="M22" s="11">
        <f>COUNTIFS(metricas!J2:J10000,"&gt;39",metricas!B2:B10000,"OUT")</f>
        <v>0</v>
      </c>
      <c r="N22" s="11">
        <f>COUNTIFS(metricas!J2:J10000,"&gt;39",metricas!B2:B10000,"TUBES")</f>
        <v>0</v>
      </c>
      <c r="O22" s="11">
        <f>COUNTIFS(metricas!J2:J10000,"&gt;39",metricas!B2:B10000,"TENDRILS")</f>
        <v>1</v>
      </c>
      <c r="P22" s="11">
        <f>COUNTIFS(metricas!J2:J10000,"&gt;39",metricas!B2:B10000,"DISCONNECTED")</f>
        <v>1</v>
      </c>
    </row>
    <row r="23" spans="2:22" ht="15" x14ac:dyDescent="0.25">
      <c r="B23" s="1"/>
      <c r="C23" s="17">
        <f>SUM(C20:H22)</f>
        <v>230</v>
      </c>
      <c r="D23" s="17"/>
      <c r="E23" s="17"/>
      <c r="F23" s="17"/>
      <c r="G23" s="17"/>
      <c r="H23" s="17"/>
      <c r="J23" s="1"/>
      <c r="K23" s="18">
        <f>SUM(K20:P22)</f>
        <v>230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236</v>
      </c>
      <c r="D26" s="9" t="s">
        <v>238</v>
      </c>
      <c r="E26" s="9" t="s">
        <v>243</v>
      </c>
      <c r="F26" s="9" t="s">
        <v>250</v>
      </c>
      <c r="G26" s="9" t="s">
        <v>13</v>
      </c>
      <c r="H26" s="9" t="s">
        <v>251</v>
      </c>
      <c r="J26" s="1"/>
      <c r="K26" s="9" t="s">
        <v>236</v>
      </c>
      <c r="L26" s="9" t="s">
        <v>238</v>
      </c>
      <c r="M26" s="9" t="s">
        <v>243</v>
      </c>
      <c r="N26" s="9" t="s">
        <v>250</v>
      </c>
      <c r="O26" s="9" t="s">
        <v>13</v>
      </c>
      <c r="P26" s="9" t="s">
        <v>251</v>
      </c>
    </row>
    <row r="27" spans="2:22" x14ac:dyDescent="0.2">
      <c r="B27" s="11" t="s">
        <v>246</v>
      </c>
      <c r="C27" s="12">
        <f>COUNTIFS(metricas!F2:F10000,"&lt;=2",metricas!B2:B10000,"LSCC")</f>
        <v>2</v>
      </c>
      <c r="D27" s="12">
        <f>COUNTIFS(metricas!F2:F10000,"&lt;=2",metricas!B2:B10000,"IN")</f>
        <v>2</v>
      </c>
      <c r="E27" s="12">
        <f>COUNTIFS(metricas!F2:F10000,"&lt;=2",metricas!B2:B10000,"OUT")</f>
        <v>1</v>
      </c>
      <c r="F27" s="12">
        <f>COUNTIFS(metricas!F2:F10000,"&lt;=2",metricas!B2:B10000,"TUBES")</f>
        <v>0</v>
      </c>
      <c r="G27" s="12">
        <f>COUNTIFS(metricas!F2:F10000,"&lt;=2",metricas!B2:B10000,"TENDRILS")</f>
        <v>169</v>
      </c>
      <c r="H27" s="12">
        <f>COUNTIFS(metricas!F2:F10000,"&lt;=2",metricas!B2:B10000,"DISCONNECTED")</f>
        <v>56</v>
      </c>
      <c r="J27" s="11" t="s">
        <v>246</v>
      </c>
      <c r="K27" s="12">
        <f>COUNTIFS(metricas!K2:K10000,"&lt;=11",metricas!B2:B10000,"LSCC")</f>
        <v>1</v>
      </c>
      <c r="L27" s="12">
        <f>COUNTIFS(metricas!K2:K10000,"&lt;=11",metricas!B2:B10000,"IN")</f>
        <v>2</v>
      </c>
      <c r="M27" s="12">
        <f>COUNTIFS(metricas!K2:K10000,"&lt;=11",metricas!B2:B10000,"OUT")</f>
        <v>1</v>
      </c>
      <c r="N27" s="12">
        <f>COUNTIFS(metricas!K2:K10000,"&lt;=11",metricas!B2:B10000,"TUBES")</f>
        <v>0</v>
      </c>
      <c r="O27" s="12">
        <f>COUNTIFS(metricas!K2:K10000,"&lt;=11",metricas!B2:B10000,"TENDRILS")</f>
        <v>116</v>
      </c>
      <c r="P27" s="12">
        <f>COUNTIFS(metricas!K2:K10000,"&lt;=11",metricas!B2:B10000,"DISCONNECTED")</f>
        <v>48</v>
      </c>
    </row>
    <row r="28" spans="2:22" ht="15" x14ac:dyDescent="0.25">
      <c r="B28" s="11" t="s">
        <v>247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0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0</v>
      </c>
      <c r="H28" s="11">
        <f>COUNTIFS(metricas!F2:F10000,"&gt;2",metricas!F2:F10000,"&lt;=4",metricas!B2:B10000,"DISCONNECTED")</f>
        <v>0</v>
      </c>
      <c r="J28" s="11" t="s">
        <v>247</v>
      </c>
      <c r="K28" s="14">
        <f>COUNTIFS(metricas!K2:K10000,"&gt;11",metricas!K2:K10000,"&lt;=34",metricas!B2:B10000,"LSCC")</f>
        <v>1</v>
      </c>
      <c r="L28" s="11">
        <f>COUNTIFS(metricas!K2:K10000,"&gt;11",metricas!K2:K10000,"&lt;=34",metricas!B2:B10000,"IN")</f>
        <v>0</v>
      </c>
      <c r="M28" s="11">
        <f>COUNTIFS(metricas!K2:K10000,"&gt;11",metricas!K2:K10000,"&lt;=34",metricas!B2:B10000,"OUT")</f>
        <v>0</v>
      </c>
      <c r="N28" s="11">
        <f>COUNTIFS(metricas!K2:K10000,"&gt;11",metricas!K2:K10000,"&lt;=34",metricas!B2:B10000,"TUBES")</f>
        <v>0</v>
      </c>
      <c r="O28" s="11">
        <f>COUNTIFS(metricas!K2:K10000,"&gt;11",metricas!K2:K10000,"&lt;=34",metricas!B2:B10000,"TENDRILS")</f>
        <v>49</v>
      </c>
      <c r="P28" s="11">
        <f>COUNTIFS(metricas!K2:K10000,"&gt;11",metricas!K2:K10000,"&lt;=34",metricas!B2:B10000,"DISCONNECTED")</f>
        <v>8</v>
      </c>
    </row>
    <row r="29" spans="2:22" x14ac:dyDescent="0.2">
      <c r="B29" s="11" t="s">
        <v>248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0</v>
      </c>
      <c r="J29" s="11" t="s">
        <v>248</v>
      </c>
      <c r="K29" s="11">
        <f>COUNTIFS(metricas!K2:K10000,"&gt;34",metricas!B2:B10000,"LSCC")</f>
        <v>0</v>
      </c>
      <c r="L29" s="11">
        <f>COUNTIFS(metricas!K2:K10000,"&gt;34",metricas!B2:B10000,"IN")</f>
        <v>0</v>
      </c>
      <c r="M29" s="11">
        <f>COUNTIFS(metricas!K2:K10000,"&gt;34",metricas!B2:B10000,"OUT")</f>
        <v>0</v>
      </c>
      <c r="N29" s="11">
        <f>COUNTIFS(metricas!K2:K10000,"&gt;34",metricas!B2:B10000,"TUBES")</f>
        <v>0</v>
      </c>
      <c r="O29" s="11">
        <f>COUNTIFS(metricas!K2:K10000,"&gt;34",metricas!B2:B10000,"TENDRILS")</f>
        <v>4</v>
      </c>
      <c r="P29" s="11">
        <f>COUNTIFS(metricas!K2:K10000,"&gt;34",metricas!B2:B10000,"DISCONNECTED")</f>
        <v>0</v>
      </c>
    </row>
    <row r="30" spans="2:22" ht="15" x14ac:dyDescent="0.25">
      <c r="B30" s="1"/>
      <c r="C30" s="17">
        <f>SUM(C27:H29)</f>
        <v>230</v>
      </c>
      <c r="D30" s="17"/>
      <c r="E30" s="17"/>
      <c r="F30" s="17"/>
      <c r="G30" s="17"/>
      <c r="H30" s="17"/>
      <c r="J30" s="1"/>
      <c r="K30" s="18">
        <f>SUM(K27:P29)</f>
        <v>230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236</v>
      </c>
      <c r="D33" s="9" t="s">
        <v>238</v>
      </c>
      <c r="E33" s="9" t="s">
        <v>243</v>
      </c>
      <c r="F33" s="9" t="s">
        <v>250</v>
      </c>
      <c r="G33" s="9" t="s">
        <v>13</v>
      </c>
      <c r="H33" s="9" t="s">
        <v>251</v>
      </c>
      <c r="J33" s="1"/>
      <c r="K33" s="9" t="s">
        <v>236</v>
      </c>
      <c r="L33" s="9" t="s">
        <v>238</v>
      </c>
      <c r="M33" s="9" t="s">
        <v>243</v>
      </c>
      <c r="N33" s="9" t="s">
        <v>250</v>
      </c>
      <c r="O33" s="9" t="s">
        <v>13</v>
      </c>
      <c r="P33" s="9" t="s">
        <v>251</v>
      </c>
    </row>
    <row r="34" spans="2:16" x14ac:dyDescent="0.2">
      <c r="B34" s="11" t="s">
        <v>246</v>
      </c>
      <c r="C34" s="12">
        <f>COUNTIFS(metricas!G2:G10000,"=1",metricas!B2:B10000,"LSCC")</f>
        <v>0</v>
      </c>
      <c r="D34" s="12">
        <f>COUNTIFS(metricas!G2:G10000,"=1",metricas!B2:B10000,"IN")</f>
        <v>2</v>
      </c>
      <c r="E34" s="12">
        <f>COUNTIFS(metricas!G2:G10000,"=1",metricas!B2:B10000,"OUT")</f>
        <v>0</v>
      </c>
      <c r="F34" s="12">
        <f>COUNTIFS(metricas!G2:G10000,"=1",metricas!B2:B10000,"TUBES")</f>
        <v>0</v>
      </c>
      <c r="G34" s="12">
        <f>COUNTIFS(metricas!G2:G10000,"=1",metricas!B2:B10000,"TENDRILS")</f>
        <v>64</v>
      </c>
      <c r="H34" s="12">
        <f>COUNTIFS(metricas!G2:G10000,"=1",metricas!B2:B10000,"DISCONNECTED")</f>
        <v>42</v>
      </c>
      <c r="J34" s="11" t="s">
        <v>246</v>
      </c>
      <c r="K34" s="12">
        <f>COUNTIFS(metricas!L2:L10000,"&lt;=11",metricas!B2:B10000,"LSCC")</f>
        <v>2</v>
      </c>
      <c r="L34" s="12">
        <f>COUNTIFS(metricas!L2:L10000,"&lt;=11",metricas!B2:B10000,"IN")</f>
        <v>2</v>
      </c>
      <c r="M34" s="12">
        <f>COUNTIFS(metricas!L2:L10000,"&lt;=11",metricas!B2:B10000,"OUT")</f>
        <v>1</v>
      </c>
      <c r="N34" s="12">
        <f>COUNTIFS(metricas!L2:L10000,"&lt;=11",metricas!B2:B10000,"TUBES")</f>
        <v>0</v>
      </c>
      <c r="O34" s="12">
        <f>COUNTIFS(metricas!L2:L10000,"&lt;=11",metricas!B2:B10000,"TENDRILS")</f>
        <v>168</v>
      </c>
      <c r="P34" s="12">
        <f>COUNTIFS(metricas!L2:L10000,"&lt;=11",metricas!B2:B10000,"DISCONNECTED")</f>
        <v>56</v>
      </c>
    </row>
    <row r="35" spans="2:16" ht="15" x14ac:dyDescent="0.25">
      <c r="B35" s="11" t="s">
        <v>247</v>
      </c>
      <c r="C35" s="14">
        <f>COUNTIFS(metricas!G2:G10000,"&gt;=0,2",metricas!G2:G10000,"&lt;=0,5",metricas!B2:B10000,"LSCC")</f>
        <v>2</v>
      </c>
      <c r="D35" s="11">
        <f>COUNTIFS(metricas!G2:G10000,"&gt;=0,2",metricas!G2:G10000,"&lt;=0,5",metricas!B2:B10000,"IN")</f>
        <v>0</v>
      </c>
      <c r="E35" s="11">
        <f>COUNTIFS(metricas!G2:G10000,"&gt;=0,2",metricas!G2:G10000,"&lt;=0,5",metricas!B2:B10000,"OUT")</f>
        <v>1</v>
      </c>
      <c r="F35" s="11">
        <f>COUNTIFS(metricas!G2:G10000,"&gt;=0,2",metricas!G2:G10000,"&lt;=0,5",metricas!B2:B10000,"TUBES")</f>
        <v>0</v>
      </c>
      <c r="G35" s="11">
        <f>COUNTIFS(metricas!G2:G10000,"&gt;=0,2",metricas!G2:G10000,"&lt;=0,5",metricas!B2:B10000,"TENDRILS")</f>
        <v>77</v>
      </c>
      <c r="H35" s="11">
        <f>COUNTIFS(metricas!G2:G10000,"&gt;=0,2",metricas!G2:G10000,"&lt;=0,5",metricas!B2:B10000,"DISCONNECTED")</f>
        <v>12</v>
      </c>
      <c r="J35" s="11" t="s">
        <v>247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1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248</v>
      </c>
      <c r="C36" s="11">
        <f>COUNTIFS(metricas!G2:G10000,"&lt;0,2",metricas!B2:B10000,"LSCC")</f>
        <v>0</v>
      </c>
      <c r="D36" s="11">
        <f>COUNTIFS(metricas!G2:G10000,"&lt;0,2",metricas!B2:B10000,"IN")</f>
        <v>0</v>
      </c>
      <c r="E36" s="11">
        <f>COUNTIFS(metricas!G2:G10000,"&lt;0,2",metricas!B2:B10000,"OUT")</f>
        <v>0</v>
      </c>
      <c r="F36" s="11">
        <f>COUNTIFS(metricas!G2:G10000,"&lt;0,2",metricas!B2:B10000,"TUBES")</f>
        <v>0</v>
      </c>
      <c r="G36" s="11">
        <f>COUNTIFS(metricas!G2:G10000,"&lt;0,2",metricas!B2:B10000,"TENDRILS")</f>
        <v>28</v>
      </c>
      <c r="H36" s="11">
        <f>COUNTIFS(metricas!G2:G10000,"&lt;0,2",metricas!B2:B10000,"DISCONNECTED")</f>
        <v>2</v>
      </c>
      <c r="J36" s="11" t="s">
        <v>248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230</v>
      </c>
      <c r="D37" s="19"/>
      <c r="E37" s="19"/>
      <c r="F37" s="19"/>
      <c r="G37" s="19"/>
      <c r="H37" s="20"/>
      <c r="J37" s="1"/>
      <c r="K37" s="17">
        <f>SUM(K34:P36)</f>
        <v>230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BAE6C-DAC0-4BC7-91DA-DB274360447E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7.140625" style="43" bestFit="1" customWidth="1"/>
    <col min="2" max="2" width="2" style="30" bestFit="1" customWidth="1"/>
    <col min="3" max="3" width="5.7109375" style="30" customWidth="1"/>
    <col min="4" max="4" width="2" style="30" bestFit="1" customWidth="1"/>
    <col min="5" max="5" width="5.7109375" style="30" customWidth="1"/>
    <col min="6" max="6" width="2" style="30" bestFit="1" customWidth="1"/>
    <col min="7" max="7" width="5.7109375" style="30" bestFit="1" customWidth="1"/>
    <col min="8" max="8" width="2" style="30" bestFit="1" customWidth="1"/>
    <col min="9" max="9" width="5.7109375" style="30" bestFit="1" customWidth="1"/>
    <col min="10" max="10" width="2" style="30" bestFit="1" customWidth="1"/>
    <col min="11" max="11" width="5.7109375" style="30" bestFit="1" customWidth="1"/>
    <col min="12" max="12" width="2" style="30" bestFit="1" customWidth="1"/>
    <col min="13" max="13" width="5.7109375" style="30" bestFit="1" customWidth="1"/>
    <col min="14" max="14" width="2" style="30" bestFit="1" customWidth="1"/>
    <col min="15" max="15" width="5.7109375" style="30" bestFit="1" customWidth="1"/>
    <col min="16" max="16" width="2" style="30" bestFit="1" customWidth="1"/>
    <col min="17" max="17" width="5.7109375" style="30" bestFit="1" customWidth="1"/>
    <col min="18" max="18" width="2" style="30" bestFit="1" customWidth="1"/>
    <col min="19" max="19" width="5.7109375" style="30" bestFit="1" customWidth="1"/>
    <col min="20" max="20" width="2" style="30" bestFit="1" customWidth="1"/>
    <col min="21" max="21" width="5.7109375" style="30" bestFit="1" customWidth="1"/>
    <col min="22" max="22" width="2" style="30" bestFit="1" customWidth="1"/>
    <col min="23" max="23" width="5.7109375" style="30" bestFit="1" customWidth="1"/>
    <col min="24" max="24" width="2" style="30" bestFit="1" customWidth="1"/>
    <col min="25" max="25" width="5.7109375" style="30" bestFit="1" customWidth="1"/>
    <col min="26" max="26" width="4" style="30" bestFit="1" customWidth="1"/>
    <col min="27" max="27" width="6.7109375" style="30" bestFit="1" customWidth="1"/>
    <col min="28" max="28" width="3" style="30" bestFit="1" customWidth="1"/>
    <col min="29" max="29" width="6.7109375" style="30" bestFit="1" customWidth="1"/>
    <col min="30" max="30" width="3" style="30" bestFit="1" customWidth="1"/>
    <col min="31" max="31" width="6.7109375" style="30" bestFit="1" customWidth="1"/>
    <col min="32" max="32" width="3" style="30" bestFit="1" customWidth="1"/>
    <col min="33" max="33" width="6.7109375" style="30" bestFit="1" customWidth="1"/>
    <col min="34" max="34" width="3" style="30" bestFit="1" customWidth="1"/>
    <col min="35" max="35" width="5.7109375" style="30" bestFit="1" customWidth="1"/>
    <col min="36" max="36" width="2" style="30" bestFit="1" customWidth="1"/>
    <col min="37" max="37" width="5.7109375" style="30" bestFit="1" customWidth="1"/>
    <col min="38" max="38" width="4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245</v>
      </c>
      <c r="B1" s="29" t="s">
        <v>236</v>
      </c>
      <c r="C1" s="29"/>
      <c r="D1" s="29"/>
      <c r="E1" s="29"/>
      <c r="F1" s="29"/>
      <c r="G1" s="29"/>
      <c r="H1" s="29" t="s">
        <v>238</v>
      </c>
      <c r="I1" s="29"/>
      <c r="J1" s="29"/>
      <c r="K1" s="29"/>
      <c r="L1" s="29"/>
      <c r="M1" s="29"/>
      <c r="N1" s="29" t="s">
        <v>243</v>
      </c>
      <c r="O1" s="29"/>
      <c r="P1" s="29"/>
      <c r="Q1" s="29"/>
      <c r="R1" s="29"/>
      <c r="S1" s="29"/>
      <c r="T1" s="29" t="s">
        <v>250</v>
      </c>
      <c r="U1" s="29"/>
      <c r="V1" s="29"/>
      <c r="W1" s="29"/>
      <c r="X1" s="29"/>
      <c r="Y1" s="29"/>
      <c r="Z1" s="29" t="s">
        <v>13</v>
      </c>
      <c r="AA1" s="29"/>
      <c r="AB1" s="29"/>
      <c r="AC1" s="29"/>
      <c r="AD1" s="29"/>
      <c r="AE1" s="29"/>
      <c r="AF1" s="29" t="s">
        <v>251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283</v>
      </c>
      <c r="C2" s="29"/>
      <c r="D2" s="32" t="s">
        <v>284</v>
      </c>
      <c r="E2" s="29"/>
      <c r="F2" s="32" t="s">
        <v>285</v>
      </c>
      <c r="G2" s="29"/>
      <c r="H2" s="32" t="s">
        <v>283</v>
      </c>
      <c r="I2" s="29"/>
      <c r="J2" s="32" t="s">
        <v>284</v>
      </c>
      <c r="K2" s="29"/>
      <c r="L2" s="32" t="s">
        <v>285</v>
      </c>
      <c r="M2" s="29"/>
      <c r="N2" s="32" t="s">
        <v>283</v>
      </c>
      <c r="O2" s="29"/>
      <c r="P2" s="32" t="s">
        <v>284</v>
      </c>
      <c r="Q2" s="29"/>
      <c r="R2" s="32" t="s">
        <v>285</v>
      </c>
      <c r="S2" s="29"/>
      <c r="T2" s="32" t="s">
        <v>283</v>
      </c>
      <c r="U2" s="29"/>
      <c r="V2" s="32" t="s">
        <v>284</v>
      </c>
      <c r="W2" s="29"/>
      <c r="X2" s="32" t="s">
        <v>285</v>
      </c>
      <c r="Y2" s="29"/>
      <c r="Z2" s="32" t="s">
        <v>283</v>
      </c>
      <c r="AA2" s="29"/>
      <c r="AB2" s="32" t="s">
        <v>284</v>
      </c>
      <c r="AC2" s="29"/>
      <c r="AD2" s="32" t="s">
        <v>285</v>
      </c>
      <c r="AE2" s="29"/>
      <c r="AF2" s="32" t="s">
        <v>283</v>
      </c>
      <c r="AG2" s="29"/>
      <c r="AH2" s="32" t="s">
        <v>284</v>
      </c>
      <c r="AI2" s="29"/>
      <c r="AJ2" s="32" t="s">
        <v>285</v>
      </c>
      <c r="AK2" s="29"/>
    </row>
    <row r="3" spans="1:39" x14ac:dyDescent="0.2">
      <c r="A3" s="33" t="s">
        <v>2</v>
      </c>
      <c r="B3" s="34">
        <f>distribuicao!C6</f>
        <v>2</v>
      </c>
      <c r="C3" s="35">
        <f>distribuicao!C6/distribuicao!C9</f>
        <v>8.6956521739130436E-3</v>
      </c>
      <c r="D3" s="34">
        <f>distribuicao!C7</f>
        <v>0</v>
      </c>
      <c r="E3" s="35">
        <f>distribuicao!C7/distribuicao!C9</f>
        <v>0</v>
      </c>
      <c r="F3" s="34">
        <f>distribuicao!C8</f>
        <v>0</v>
      </c>
      <c r="G3" s="35">
        <f>distribuicao!C8/distribuicao!C9</f>
        <v>0</v>
      </c>
      <c r="H3" s="34">
        <f>distribuicao!D6</f>
        <v>2</v>
      </c>
      <c r="I3" s="35">
        <f>distribuicao!D6/distribuicao!C9</f>
        <v>8.6956521739130436E-3</v>
      </c>
      <c r="J3" s="34">
        <f>distribuicao!D7</f>
        <v>0</v>
      </c>
      <c r="K3" s="35">
        <f>distribuicao!D7/distribuicao!C9</f>
        <v>0</v>
      </c>
      <c r="L3" s="34">
        <f>distribuicao!D8</f>
        <v>0</v>
      </c>
      <c r="M3" s="35">
        <f>distribuicao!D8/distribuicao!C9</f>
        <v>0</v>
      </c>
      <c r="N3" s="34">
        <f>distribuicao!E6</f>
        <v>1</v>
      </c>
      <c r="O3" s="35">
        <f>distribuicao!E6/distribuicao!C9</f>
        <v>4.3478260869565218E-3</v>
      </c>
      <c r="P3" s="34">
        <f>distribuicao!E7</f>
        <v>0</v>
      </c>
      <c r="Q3" s="35">
        <f>distribuicao!E7/distribuicao!C9</f>
        <v>0</v>
      </c>
      <c r="R3" s="34">
        <f>distribuicao!E8</f>
        <v>0</v>
      </c>
      <c r="S3" s="35">
        <f>distribuicao!E8/distribuicao!C9</f>
        <v>0</v>
      </c>
      <c r="T3" s="34">
        <f>distribuicao!F6</f>
        <v>0</v>
      </c>
      <c r="U3" s="35">
        <f>distribuicao!F6/distribuicao!C9</f>
        <v>0</v>
      </c>
      <c r="V3" s="34">
        <f>distribuicao!F7</f>
        <v>0</v>
      </c>
      <c r="W3" s="35">
        <f>distribuicao!F7/distribuicao!C9</f>
        <v>0</v>
      </c>
      <c r="X3" s="34">
        <f>distribuicao!F8</f>
        <v>0</v>
      </c>
      <c r="Y3" s="35">
        <f>distribuicao!F8/distribuicao!C9</f>
        <v>0</v>
      </c>
      <c r="Z3" s="34">
        <f>distribuicao!G6</f>
        <v>156</v>
      </c>
      <c r="AA3" s="35">
        <f>distribuicao!G6/distribuicao!C9</f>
        <v>0.67826086956521736</v>
      </c>
      <c r="AB3" s="34">
        <f>distribuicao!G7</f>
        <v>10</v>
      </c>
      <c r="AC3" s="35">
        <f>distribuicao!G7/distribuicao!C9</f>
        <v>4.3478260869565216E-2</v>
      </c>
      <c r="AD3" s="34">
        <f>distribuicao!G8</f>
        <v>3</v>
      </c>
      <c r="AE3" s="35">
        <f>distribuicao!G8/distribuicao!C9</f>
        <v>1.3043478260869565E-2</v>
      </c>
      <c r="AF3" s="34">
        <f>distribuicao!H6</f>
        <v>46</v>
      </c>
      <c r="AG3" s="35">
        <f>distribuicao!H6/distribuicao!C9</f>
        <v>0.2</v>
      </c>
      <c r="AH3" s="34">
        <f>distribuicao!H7</f>
        <v>9</v>
      </c>
      <c r="AI3" s="35">
        <f>distribuicao!H7/distribuicao!C9</f>
        <v>3.9130434782608699E-2</v>
      </c>
      <c r="AJ3" s="34">
        <f>distribuicao!H8</f>
        <v>1</v>
      </c>
      <c r="AK3" s="35">
        <f>distribuicao!H8/distribuicao!C9</f>
        <v>4.3478260869565218E-3</v>
      </c>
      <c r="AL3" s="36">
        <f>SUM(B3,D3,F3,H3,J3,L3,N3,P3,R3,T3,V3,X3,Z3,AB3,AD3,AF3,AH3,AJ3)</f>
        <v>230</v>
      </c>
      <c r="AM3" s="37">
        <f>SUM(C3,E3,G3,I3,K3,M3,O3,Q3,S3,U3,W3,Y3,AA3,AC3,AE3,AG3,AI3,AK3)</f>
        <v>1</v>
      </c>
    </row>
    <row r="4" spans="1:39" x14ac:dyDescent="0.2">
      <c r="A4" s="33" t="s">
        <v>3</v>
      </c>
      <c r="B4" s="34">
        <f>distribuicao!C13</f>
        <v>1</v>
      </c>
      <c r="C4" s="35">
        <f>distribuicao!C13/distribuicao!C9</f>
        <v>4.3478260869565218E-3</v>
      </c>
      <c r="D4" s="34">
        <f>distribuicao!C14</f>
        <v>1</v>
      </c>
      <c r="E4" s="35">
        <f>distribuicao!C14/distribuicao!C9</f>
        <v>4.3478260869565218E-3</v>
      </c>
      <c r="F4" s="34">
        <f>distribuicao!C15</f>
        <v>0</v>
      </c>
      <c r="G4" s="35">
        <f>distribuicao!C15/distribuicao!C9</f>
        <v>0</v>
      </c>
      <c r="H4" s="34">
        <f>distribuicao!D13</f>
        <v>2</v>
      </c>
      <c r="I4" s="35">
        <f>distribuicao!D13/distribuicao!C9</f>
        <v>8.6956521739130436E-3</v>
      </c>
      <c r="J4" s="34">
        <f>distribuicao!D14</f>
        <v>0</v>
      </c>
      <c r="K4" s="35">
        <f>distribuicao!D14/distribuicao!C9</f>
        <v>0</v>
      </c>
      <c r="L4" s="25">
        <f>distribuicao!D15</f>
        <v>0</v>
      </c>
      <c r="M4" s="35">
        <f>distribuicao!D15/distribuicao!C9</f>
        <v>0</v>
      </c>
      <c r="N4" s="34">
        <f>distribuicao!E13</f>
        <v>1</v>
      </c>
      <c r="O4" s="35">
        <f>distribuicao!E13/distribuicao!C9</f>
        <v>4.3478260869565218E-3</v>
      </c>
      <c r="P4" s="34">
        <f>distribuicao!E14</f>
        <v>0</v>
      </c>
      <c r="Q4" s="35">
        <f>distribuicao!E14/distribuicao!C9</f>
        <v>0</v>
      </c>
      <c r="R4" s="34">
        <f>distribuicao!E15</f>
        <v>0</v>
      </c>
      <c r="S4" s="35">
        <f>distribuicao!E15/distribuicao!C9</f>
        <v>0</v>
      </c>
      <c r="T4" s="34">
        <f>distribuicao!F13</f>
        <v>0</v>
      </c>
      <c r="U4" s="35">
        <f>distribuicao!F13/distribuicao!C9</f>
        <v>0</v>
      </c>
      <c r="V4" s="34">
        <f>distribuicao!F14</f>
        <v>0</v>
      </c>
      <c r="W4" s="35">
        <f>distribuicao!F14/distribuicao!C9</f>
        <v>0</v>
      </c>
      <c r="X4" s="34">
        <f>distribuicao!F15</f>
        <v>0</v>
      </c>
      <c r="Y4" s="35">
        <f>distribuicao!F15/distribuicao!C9</f>
        <v>0</v>
      </c>
      <c r="Z4" s="34">
        <f>distribuicao!G13</f>
        <v>120</v>
      </c>
      <c r="AA4" s="35">
        <f>distribuicao!G13/distribuicao!C9</f>
        <v>0.52173913043478259</v>
      </c>
      <c r="AB4" s="34">
        <f>distribuicao!G14</f>
        <v>46</v>
      </c>
      <c r="AC4" s="35">
        <f>distribuicao!G14/distribuicao!C9</f>
        <v>0.2</v>
      </c>
      <c r="AD4" s="34">
        <f>distribuicao!G15</f>
        <v>3</v>
      </c>
      <c r="AE4" s="35">
        <f>distribuicao!G15/distribuicao!C9</f>
        <v>1.3043478260869565E-2</v>
      </c>
      <c r="AF4" s="34">
        <f>distribuicao!H13</f>
        <v>47</v>
      </c>
      <c r="AG4" s="35">
        <f>distribuicao!H13/distribuicao!C9</f>
        <v>0.20434782608695654</v>
      </c>
      <c r="AH4" s="34">
        <f>distribuicao!H14</f>
        <v>9</v>
      </c>
      <c r="AI4" s="35">
        <f>distribuicao!H14/distribuicao!C9</f>
        <v>3.9130434782608699E-2</v>
      </c>
      <c r="AJ4" s="34">
        <f>distribuicao!H15</f>
        <v>0</v>
      </c>
      <c r="AK4" s="35">
        <f>distribuicao!H15/distribuicao!C9</f>
        <v>0</v>
      </c>
      <c r="AL4" s="36">
        <f>SUM(B4,D4,F4,H4,J4,L4,N4,P4,R4,T4,V4,X4,Z4,AB4,AD4,AF4,AH4,AJ4)</f>
        <v>230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0</v>
      </c>
      <c r="C5" s="35">
        <f>distribuicao!C20/distribuicao!C9</f>
        <v>0</v>
      </c>
      <c r="D5" s="34">
        <f>distribuicao!C21</f>
        <v>1</v>
      </c>
      <c r="E5" s="35">
        <f>distribuicao!C21/distribuicao!C9</f>
        <v>4.3478260869565218E-3</v>
      </c>
      <c r="F5" s="34">
        <f>distribuicao!C22</f>
        <v>1</v>
      </c>
      <c r="G5" s="35">
        <f>distribuicao!C22/distribuicao!C9</f>
        <v>4.3478260869565218E-3</v>
      </c>
      <c r="H5" s="34">
        <f>distribuicao!D20</f>
        <v>2</v>
      </c>
      <c r="I5" s="35">
        <f>distribuicao!D20/distribuicao!C9</f>
        <v>8.6956521739130436E-3</v>
      </c>
      <c r="J5" s="34">
        <f>distribuicao!D21</f>
        <v>0</v>
      </c>
      <c r="K5" s="35">
        <f>distribuicao!D21/distribuicao!C9</f>
        <v>0</v>
      </c>
      <c r="L5" s="34">
        <f>distribuicao!D22</f>
        <v>0</v>
      </c>
      <c r="M5" s="35">
        <f>distribuicao!D22/distribuicao!C9</f>
        <v>0</v>
      </c>
      <c r="N5" s="34">
        <f>distribuicao!E20</f>
        <v>0</v>
      </c>
      <c r="O5" s="35">
        <f>distribuicao!E20/distribuicao!C9</f>
        <v>0</v>
      </c>
      <c r="P5" s="34">
        <f>distribuicao!E21</f>
        <v>1</v>
      </c>
      <c r="Q5" s="35">
        <f>distribuicao!E21/distribuicao!C9</f>
        <v>4.3478260869565218E-3</v>
      </c>
      <c r="R5" s="34">
        <f>distribuicao!E22</f>
        <v>0</v>
      </c>
      <c r="S5" s="35">
        <f>distribuicao!E22/distribuicao!C9</f>
        <v>0</v>
      </c>
      <c r="T5" s="34">
        <f>distribuicao!F20</f>
        <v>0</v>
      </c>
      <c r="U5" s="35">
        <f>distribuicao!F20/distribuicao!C9</f>
        <v>0</v>
      </c>
      <c r="V5" s="34">
        <f>distribuicao!F21</f>
        <v>0</v>
      </c>
      <c r="W5" s="35">
        <f>distribuicao!F21/distribuicao!C9</f>
        <v>0</v>
      </c>
      <c r="X5" s="34">
        <f>distribuicao!F22</f>
        <v>0</v>
      </c>
      <c r="Y5" s="35">
        <f>distribuicao!F22/distribuicao!C9</f>
        <v>0</v>
      </c>
      <c r="Z5" s="34">
        <f>distribuicao!G20</f>
        <v>48</v>
      </c>
      <c r="AA5" s="35">
        <f>distribuicao!G20/distribuicao!C9</f>
        <v>0.20869565217391303</v>
      </c>
      <c r="AB5" s="34">
        <f>distribuicao!G21</f>
        <v>60</v>
      </c>
      <c r="AC5" s="35">
        <f>distribuicao!G21/distribuicao!C9</f>
        <v>0.2608695652173913</v>
      </c>
      <c r="AD5" s="34">
        <f>distribuicao!G22</f>
        <v>61</v>
      </c>
      <c r="AE5" s="35">
        <f>distribuicao!G22/distribuicao!C9</f>
        <v>0.26521739130434785</v>
      </c>
      <c r="AF5" s="34">
        <f>distribuicao!H20</f>
        <v>30</v>
      </c>
      <c r="AG5" s="35">
        <f>distribuicao!H20/distribuicao!C9</f>
        <v>0.13043478260869565</v>
      </c>
      <c r="AH5" s="34">
        <f>distribuicao!H21</f>
        <v>22</v>
      </c>
      <c r="AI5" s="35">
        <f>distribuicao!H21/distribuicao!C9</f>
        <v>9.5652173913043481E-2</v>
      </c>
      <c r="AJ5" s="34">
        <f>distribuicao!H22</f>
        <v>4</v>
      </c>
      <c r="AK5" s="35">
        <f>distribuicao!H22/distribuicao!C9</f>
        <v>1.7391304347826087E-2</v>
      </c>
      <c r="AL5" s="36">
        <f t="shared" ref="AL5:AL12" si="1">SUM(B5,D5,F5,H5,J5,L5,N5,P5,R5,T5,V5,X5,Z5,AB5,AD5,AF5,AH5,AJ5)</f>
        <v>230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2</v>
      </c>
      <c r="C6" s="39">
        <f>distribuicao!C27/distribuicao!C9</f>
        <v>8.6956521739130436E-3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2</v>
      </c>
      <c r="I6" s="39">
        <f>distribuicao!D27/distribuicao!C9</f>
        <v>8.6956521739130436E-3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1</v>
      </c>
      <c r="O6" s="39">
        <f>distribuicao!E27/distribuicao!C9</f>
        <v>4.3478260869565218E-3</v>
      </c>
      <c r="P6" s="38">
        <f>distribuicao!E28</f>
        <v>0</v>
      </c>
      <c r="Q6" s="39">
        <f>distribuicao!E28/distribuicao!C9</f>
        <v>0</v>
      </c>
      <c r="R6" s="38">
        <f>distribuicao!E29</f>
        <v>0</v>
      </c>
      <c r="S6" s="39">
        <f>distribuicao!E29/distribuicao!C9</f>
        <v>0</v>
      </c>
      <c r="T6" s="38">
        <f>distribuicao!F27</f>
        <v>0</v>
      </c>
      <c r="U6" s="39">
        <f>distribuicao!F27/distribuicao!C9</f>
        <v>0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169</v>
      </c>
      <c r="AA6" s="39">
        <f>distribuicao!G27/distribuicao!C9</f>
        <v>0.73478260869565215</v>
      </c>
      <c r="AB6" s="38">
        <f>distribuicao!G28</f>
        <v>0</v>
      </c>
      <c r="AC6" s="39">
        <f>distribuicao!G28/distribuicao!C9</f>
        <v>0</v>
      </c>
      <c r="AD6" s="38">
        <f>distribuicao!G29</f>
        <v>0</v>
      </c>
      <c r="AE6" s="39">
        <f>distribuicao!G29/distribuicao!C9</f>
        <v>0</v>
      </c>
      <c r="AF6" s="38">
        <f>distribuicao!H27</f>
        <v>56</v>
      </c>
      <c r="AG6" s="39">
        <f>distribuicao!H27/distribuicao!C9</f>
        <v>0.24347826086956523</v>
      </c>
      <c r="AH6" s="38">
        <f>distribuicao!H28</f>
        <v>0</v>
      </c>
      <c r="AI6" s="39">
        <f>distribuicao!H28/distribuicao!C9</f>
        <v>0</v>
      </c>
      <c r="AJ6" s="38">
        <f>distribuicao!H29</f>
        <v>0</v>
      </c>
      <c r="AK6" s="39">
        <f>distribuicao!H29/distribuicao!C9</f>
        <v>0</v>
      </c>
      <c r="AL6" s="36">
        <f t="shared" si="1"/>
        <v>230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0</v>
      </c>
      <c r="C7" s="41">
        <f>distribuicao!C34/distribuicao!C9</f>
        <v>0</v>
      </c>
      <c r="D7" s="42">
        <f>distribuicao!C35</f>
        <v>2</v>
      </c>
      <c r="E7" s="41">
        <f>distribuicao!C35/distribuicao!C9</f>
        <v>8.6956521739130436E-3</v>
      </c>
      <c r="F7" s="42">
        <f>distribuicao!C36</f>
        <v>0</v>
      </c>
      <c r="G7" s="41">
        <f>distribuicao!C36/distribuicao!C9</f>
        <v>0</v>
      </c>
      <c r="H7" s="42">
        <f>distribuicao!D34</f>
        <v>2</v>
      </c>
      <c r="I7" s="41">
        <f>distribuicao!D34/distribuicao!C9</f>
        <v>8.6956521739130436E-3</v>
      </c>
      <c r="J7" s="42">
        <f>distribuicao!D35</f>
        <v>0</v>
      </c>
      <c r="K7" s="41">
        <f>distribuicao!D35/distribuicao!C9</f>
        <v>0</v>
      </c>
      <c r="L7" s="42">
        <f>distribuicao!D36</f>
        <v>0</v>
      </c>
      <c r="M7" s="41">
        <f>distribuicao!D36/distribuicao!C9</f>
        <v>0</v>
      </c>
      <c r="N7" s="42">
        <f>distribuicao!E34</f>
        <v>0</v>
      </c>
      <c r="O7" s="41">
        <f>distribuicao!E34/distribuicao!C9</f>
        <v>0</v>
      </c>
      <c r="P7" s="42">
        <f>distribuicao!E35</f>
        <v>1</v>
      </c>
      <c r="Q7" s="41">
        <f>distribuicao!E35/distribuicao!C9</f>
        <v>4.3478260869565218E-3</v>
      </c>
      <c r="R7" s="42">
        <f>distribuicao!E36</f>
        <v>0</v>
      </c>
      <c r="S7" s="41">
        <f>distribuicao!E36/distribuicao!C9</f>
        <v>0</v>
      </c>
      <c r="T7" s="42">
        <f>distribuicao!F34</f>
        <v>0</v>
      </c>
      <c r="U7" s="41">
        <f>distribuicao!F34/distribuicao!C9</f>
        <v>0</v>
      </c>
      <c r="V7" s="42">
        <f>distribuicao!F35</f>
        <v>0</v>
      </c>
      <c r="W7" s="41">
        <f>distribuicao!F35/distribuicao!C9</f>
        <v>0</v>
      </c>
      <c r="X7" s="42">
        <f>distribuicao!F36</f>
        <v>0</v>
      </c>
      <c r="Y7" s="41">
        <f>distribuicao!F36/distribuicao!C9</f>
        <v>0</v>
      </c>
      <c r="Z7" s="42">
        <f>distribuicao!G34</f>
        <v>64</v>
      </c>
      <c r="AA7" s="41">
        <f>distribuicao!G34/distribuicao!C9</f>
        <v>0.27826086956521739</v>
      </c>
      <c r="AB7" s="42">
        <f>distribuicao!G35</f>
        <v>77</v>
      </c>
      <c r="AC7" s="41">
        <f>distribuicao!G35/distribuicao!C9</f>
        <v>0.33478260869565218</v>
      </c>
      <c r="AD7" s="42">
        <f>distribuicao!G36</f>
        <v>28</v>
      </c>
      <c r="AE7" s="41">
        <f>distribuicao!G36/distribuicao!C9</f>
        <v>0.12173913043478261</v>
      </c>
      <c r="AF7" s="42">
        <f>distribuicao!H34</f>
        <v>42</v>
      </c>
      <c r="AG7" s="41">
        <f>distribuicao!H34/distribuicao!C9</f>
        <v>0.18260869565217391</v>
      </c>
      <c r="AH7" s="42">
        <f>distribuicao!H35</f>
        <v>12</v>
      </c>
      <c r="AI7" s="41">
        <f>distribuicao!H35/distribuicao!C9</f>
        <v>5.2173913043478258E-2</v>
      </c>
      <c r="AJ7" s="42">
        <f>distribuicao!H36</f>
        <v>2</v>
      </c>
      <c r="AK7" s="41">
        <f>distribuicao!H36/distribuicao!C9</f>
        <v>8.6956521739130436E-3</v>
      </c>
      <c r="AL7" s="36">
        <f t="shared" si="1"/>
        <v>230</v>
      </c>
      <c r="AM7" s="37">
        <f t="shared" si="0"/>
        <v>0.99999999999999989</v>
      </c>
    </row>
    <row r="8" spans="1:39" x14ac:dyDescent="0.2">
      <c r="A8" s="33" t="s">
        <v>7</v>
      </c>
      <c r="B8" s="34">
        <f>distribuicao!K6</f>
        <v>2</v>
      </c>
      <c r="C8" s="35">
        <f>distribuicao!K6/distribuicao!C9</f>
        <v>8.6956521739130436E-3</v>
      </c>
      <c r="D8" s="34">
        <f>distribuicao!K7</f>
        <v>0</v>
      </c>
      <c r="E8" s="35">
        <f>distribuicao!K7/distribuicao!C9</f>
        <v>0</v>
      </c>
      <c r="F8" s="34">
        <f>distribuicao!K8</f>
        <v>0</v>
      </c>
      <c r="G8" s="35">
        <f>distribuicao!K8/distribuicao!C9</f>
        <v>0</v>
      </c>
      <c r="H8" s="34">
        <f>distribuicao!L6</f>
        <v>0</v>
      </c>
      <c r="I8" s="35">
        <f>distribuicao!L6/distribuicao!C9</f>
        <v>0</v>
      </c>
      <c r="J8" s="34">
        <f>distribuicao!L7</f>
        <v>1</v>
      </c>
      <c r="K8" s="35">
        <f>distribuicao!L7/distribuicao!C9</f>
        <v>4.3478260869565218E-3</v>
      </c>
      <c r="L8" s="34">
        <f>distribuicao!L8</f>
        <v>1</v>
      </c>
      <c r="M8" s="35">
        <f>distribuicao!L8/distribuicao!C9</f>
        <v>4.3478260869565218E-3</v>
      </c>
      <c r="N8" s="34">
        <f>distribuicao!M6</f>
        <v>1</v>
      </c>
      <c r="O8" s="35">
        <f>distribuicao!M6/distribuicao!C9</f>
        <v>4.3478260869565218E-3</v>
      </c>
      <c r="P8" s="34">
        <f>distribuicao!M7</f>
        <v>0</v>
      </c>
      <c r="Q8" s="35">
        <f>distribuicao!M7/distribuicao!C9</f>
        <v>0</v>
      </c>
      <c r="R8" s="34">
        <f>distribuicao!M8</f>
        <v>0</v>
      </c>
      <c r="S8" s="35">
        <f>distribuicao!M8/distribuicao!C9</f>
        <v>0</v>
      </c>
      <c r="T8" s="34">
        <f>distribuicao!N6</f>
        <v>0</v>
      </c>
      <c r="U8" s="35">
        <f>distribuicao!N6/distribuicao!C9</f>
        <v>0</v>
      </c>
      <c r="V8" s="34">
        <f>distribuicao!N7</f>
        <v>0</v>
      </c>
      <c r="W8" s="35">
        <f>distribuicao!N7/distribuicao!C9</f>
        <v>0</v>
      </c>
      <c r="X8" s="34">
        <f>distribuicao!N8</f>
        <v>0</v>
      </c>
      <c r="Y8" s="35">
        <f>distribuicao!N8/distribuicao!C9</f>
        <v>0</v>
      </c>
      <c r="Z8" s="34">
        <f>distribuicao!O6</f>
        <v>93</v>
      </c>
      <c r="AA8" s="35">
        <f>distribuicao!O6/distribuicao!C9</f>
        <v>0.40434782608695652</v>
      </c>
      <c r="AB8" s="34">
        <f>distribuicao!O7</f>
        <v>35</v>
      </c>
      <c r="AC8" s="35">
        <f>distribuicao!O7/distribuicao!C9</f>
        <v>0.15217391304347827</v>
      </c>
      <c r="AD8" s="34">
        <f>distribuicao!O8</f>
        <v>41</v>
      </c>
      <c r="AE8" s="35">
        <f>distribuicao!O8/distribuicao!C9</f>
        <v>0.17826086956521739</v>
      </c>
      <c r="AF8" s="34">
        <f>distribuicao!P6</f>
        <v>50</v>
      </c>
      <c r="AG8" s="35">
        <f>distribuicao!P6/distribuicao!C9</f>
        <v>0.21739130434782608</v>
      </c>
      <c r="AH8" s="34">
        <f>distribuicao!P7</f>
        <v>6</v>
      </c>
      <c r="AI8" s="35">
        <f>distribuicao!P7/distribuicao!C9</f>
        <v>2.6086956521739129E-2</v>
      </c>
      <c r="AJ8" s="34">
        <f>distribuicao!P8</f>
        <v>0</v>
      </c>
      <c r="AK8" s="35">
        <f>distribuicao!P8/distribuicao!C9</f>
        <v>0</v>
      </c>
      <c r="AL8" s="36">
        <f t="shared" si="1"/>
        <v>230</v>
      </c>
      <c r="AM8" s="37">
        <f t="shared" si="0"/>
        <v>0.99999999999999989</v>
      </c>
    </row>
    <row r="9" spans="1:39" x14ac:dyDescent="0.2">
      <c r="A9" s="33" t="s">
        <v>8</v>
      </c>
      <c r="B9" s="42">
        <f>distribuicao!K13</f>
        <v>0</v>
      </c>
      <c r="C9" s="41">
        <f>distribuicao!K13/distribuicao!C9</f>
        <v>0</v>
      </c>
      <c r="D9" s="42">
        <f>distribuicao!K14</f>
        <v>2</v>
      </c>
      <c r="E9" s="41">
        <f>distribuicao!K14/distribuicao!C9</f>
        <v>8.6956521739130436E-3</v>
      </c>
      <c r="F9" s="42">
        <f>distribuicao!K15</f>
        <v>0</v>
      </c>
      <c r="G9" s="41">
        <f>distribuicao!K15/distribuicao!C9</f>
        <v>0</v>
      </c>
      <c r="H9" s="42">
        <f>distribuicao!L13</f>
        <v>0</v>
      </c>
      <c r="I9" s="41">
        <f>distribuicao!L13/distribuicao!C9</f>
        <v>0</v>
      </c>
      <c r="J9" s="42">
        <f>distribuicao!L14</f>
        <v>2</v>
      </c>
      <c r="K9" s="41">
        <f>distribuicao!L14/distribuicao!C9</f>
        <v>8.6956521739130436E-3</v>
      </c>
      <c r="L9" s="42">
        <f>distribuicao!L15</f>
        <v>0</v>
      </c>
      <c r="M9" s="41">
        <f>distribuicao!L15/distribuicao!C9</f>
        <v>0</v>
      </c>
      <c r="N9" s="42">
        <f>distribuicao!M13</f>
        <v>1</v>
      </c>
      <c r="O9" s="41">
        <f>distribuicao!M13/distribuicao!C9</f>
        <v>4.3478260869565218E-3</v>
      </c>
      <c r="P9" s="42">
        <f>distribuicao!M14</f>
        <v>0</v>
      </c>
      <c r="Q9" s="41">
        <f>distribuicao!M14/distribuicao!C9</f>
        <v>0</v>
      </c>
      <c r="R9" s="42">
        <f>distribuicao!M15</f>
        <v>0</v>
      </c>
      <c r="S9" s="41">
        <f>distribuicao!M15/distribuicao!C9</f>
        <v>0</v>
      </c>
      <c r="T9" s="42">
        <f>distribuicao!N13</f>
        <v>0</v>
      </c>
      <c r="U9" s="41">
        <f>distribuicao!N13/distribuicao!C9</f>
        <v>0</v>
      </c>
      <c r="V9" s="42">
        <f>distribuicao!N14</f>
        <v>0</v>
      </c>
      <c r="W9" s="41">
        <f>distribuicao!N14/distribuicao!C9</f>
        <v>0</v>
      </c>
      <c r="X9" s="42">
        <f>distribuicao!N15</f>
        <v>0</v>
      </c>
      <c r="Y9" s="41">
        <f>distribuicao!N15/distribuicao!C9</f>
        <v>0</v>
      </c>
      <c r="Z9" s="42">
        <f>distribuicao!O13</f>
        <v>87</v>
      </c>
      <c r="AA9" s="41">
        <f>distribuicao!O13/distribuicao!C9</f>
        <v>0.37826086956521737</v>
      </c>
      <c r="AB9" s="42">
        <f>distribuicao!O14</f>
        <v>40</v>
      </c>
      <c r="AC9" s="41">
        <f>distribuicao!O14/distribuicao!C9</f>
        <v>0.17391304347826086</v>
      </c>
      <c r="AD9" s="42">
        <f>distribuicao!O15</f>
        <v>42</v>
      </c>
      <c r="AE9" s="41">
        <f>distribuicao!O15/distribuicao!C9</f>
        <v>0.18260869565217391</v>
      </c>
      <c r="AF9" s="42">
        <f>distribuicao!P13</f>
        <v>47</v>
      </c>
      <c r="AG9" s="41">
        <f>distribuicao!P13/distribuicao!C9</f>
        <v>0.20434782608695654</v>
      </c>
      <c r="AH9" s="42">
        <f>distribuicao!P14</f>
        <v>6</v>
      </c>
      <c r="AI9" s="41">
        <f>distribuicao!P14/distribuicao!C9</f>
        <v>2.6086956521739129E-2</v>
      </c>
      <c r="AJ9" s="42">
        <f>distribuicao!P15</f>
        <v>3</v>
      </c>
      <c r="AK9" s="41">
        <f>distribuicao!P15/distribuicao!C9</f>
        <v>1.3043478260869565E-2</v>
      </c>
      <c r="AL9" s="36">
        <f t="shared" si="1"/>
        <v>230</v>
      </c>
      <c r="AM9" s="37">
        <f t="shared" si="0"/>
        <v>1</v>
      </c>
    </row>
    <row r="10" spans="1:39" x14ac:dyDescent="0.2">
      <c r="A10" s="33" t="s">
        <v>9</v>
      </c>
      <c r="B10" s="42">
        <f>distribuicao!K20</f>
        <v>2</v>
      </c>
      <c r="C10" s="41">
        <f>distribuicao!K20/distribuicao!C9</f>
        <v>8.6956521739130436E-3</v>
      </c>
      <c r="D10" s="42">
        <f>distribuicao!K21</f>
        <v>0</v>
      </c>
      <c r="E10" s="41">
        <f>distribuicao!K21/distribuicao!C9</f>
        <v>0</v>
      </c>
      <c r="F10" s="42">
        <f>distribuicao!K22</f>
        <v>0</v>
      </c>
      <c r="G10" s="41">
        <f>distribuicao!K22/distribuicao!C9</f>
        <v>0</v>
      </c>
      <c r="H10" s="42">
        <f>distribuicao!L20</f>
        <v>2</v>
      </c>
      <c r="I10" s="41">
        <f>distribuicao!L20/distribuicao!C9</f>
        <v>8.6956521739130436E-3</v>
      </c>
      <c r="J10" s="42">
        <f>distribuicao!L21</f>
        <v>0</v>
      </c>
      <c r="K10" s="41">
        <f>distribuicao!L21/distribuicao!C9</f>
        <v>0</v>
      </c>
      <c r="L10" s="42">
        <f>distribuicao!L22</f>
        <v>0</v>
      </c>
      <c r="M10" s="41">
        <f>distribuicao!L22/distribuicao!C9</f>
        <v>0</v>
      </c>
      <c r="N10" s="42">
        <f>distribuicao!M20</f>
        <v>1</v>
      </c>
      <c r="O10" s="41">
        <f>distribuicao!M20/distribuicao!C9</f>
        <v>4.3478260869565218E-3</v>
      </c>
      <c r="P10" s="42">
        <f>distribuicao!M21</f>
        <v>0</v>
      </c>
      <c r="Q10" s="41">
        <f>distribuicao!M21/distribuicao!C9</f>
        <v>0</v>
      </c>
      <c r="R10" s="42">
        <f>distribuicao!M22</f>
        <v>0</v>
      </c>
      <c r="S10" s="41">
        <f>distribuicao!M22/distribuicao!C9</f>
        <v>0</v>
      </c>
      <c r="T10" s="42">
        <f>distribuicao!N20</f>
        <v>0</v>
      </c>
      <c r="U10" s="41">
        <f>distribuicao!N20/distribuicao!C9</f>
        <v>0</v>
      </c>
      <c r="V10" s="42">
        <f>distribuicao!N21</f>
        <v>0</v>
      </c>
      <c r="W10" s="41">
        <f>distribuicao!N21/distribuicao!C9</f>
        <v>0</v>
      </c>
      <c r="X10" s="42">
        <f>distribuicao!N22</f>
        <v>0</v>
      </c>
      <c r="Y10" s="41">
        <f>distribuicao!N22/distribuicao!C9</f>
        <v>0</v>
      </c>
      <c r="Z10" s="42">
        <f>distribuicao!O20</f>
        <v>150</v>
      </c>
      <c r="AA10" s="41">
        <f>distribuicao!O20/distribuicao!C9</f>
        <v>0.65217391304347827</v>
      </c>
      <c r="AB10" s="42">
        <f>distribuicao!O21</f>
        <v>18</v>
      </c>
      <c r="AC10" s="41">
        <f>distribuicao!O21/distribuicao!C9</f>
        <v>7.8260869565217397E-2</v>
      </c>
      <c r="AD10" s="42">
        <f>distribuicao!O22</f>
        <v>1</v>
      </c>
      <c r="AE10" s="41">
        <f>distribuicao!O22/distribuicao!C9</f>
        <v>4.3478260869565218E-3</v>
      </c>
      <c r="AF10" s="42">
        <f>distribuicao!P20</f>
        <v>46</v>
      </c>
      <c r="AG10" s="41">
        <f>distribuicao!P20/distribuicao!C9</f>
        <v>0.2</v>
      </c>
      <c r="AH10" s="42">
        <f>distribuicao!P21</f>
        <v>9</v>
      </c>
      <c r="AI10" s="41">
        <f>distribuicao!P21/distribuicao!C9</f>
        <v>3.9130434782608699E-2</v>
      </c>
      <c r="AJ10" s="42">
        <f>distribuicao!P22</f>
        <v>1</v>
      </c>
      <c r="AK10" s="41">
        <f>distribuicao!P22/distribuicao!C9</f>
        <v>4.3478260869565218E-3</v>
      </c>
      <c r="AL10" s="36">
        <f t="shared" si="1"/>
        <v>230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1</v>
      </c>
      <c r="C11" s="35">
        <f>distribuicao!K27/distribuicao!C9</f>
        <v>4.3478260869565218E-3</v>
      </c>
      <c r="D11" s="34">
        <f>distribuicao!K28</f>
        <v>1</v>
      </c>
      <c r="E11" s="35">
        <f>distribuicao!K28/distribuicao!C9</f>
        <v>4.3478260869565218E-3</v>
      </c>
      <c r="F11" s="34">
        <f>distribuicao!K29</f>
        <v>0</v>
      </c>
      <c r="G11" s="35">
        <f>distribuicao!K29/distribuicao!C9</f>
        <v>0</v>
      </c>
      <c r="H11" s="34">
        <f>distribuicao!L27</f>
        <v>2</v>
      </c>
      <c r="I11" s="35">
        <f>distribuicao!L27/distribuicao!C9</f>
        <v>8.6956521739130436E-3</v>
      </c>
      <c r="J11" s="34">
        <f>distribuicao!L28</f>
        <v>0</v>
      </c>
      <c r="K11" s="35">
        <f>distribuicao!L28/distribuicao!C9</f>
        <v>0</v>
      </c>
      <c r="L11" s="34">
        <f>distribuicao!L29</f>
        <v>0</v>
      </c>
      <c r="M11" s="35">
        <f>distribuicao!L29/distribuicao!C9</f>
        <v>0</v>
      </c>
      <c r="N11" s="34">
        <f>distribuicao!M27</f>
        <v>1</v>
      </c>
      <c r="O11" s="35">
        <f>distribuicao!M27/distribuicao!C9</f>
        <v>4.3478260869565218E-3</v>
      </c>
      <c r="P11" s="34">
        <f>distribuicao!M28</f>
        <v>0</v>
      </c>
      <c r="Q11" s="35">
        <f>distribuicao!M28/distribuicao!C9</f>
        <v>0</v>
      </c>
      <c r="R11" s="34">
        <f>distribuicao!M29</f>
        <v>0</v>
      </c>
      <c r="S11" s="35">
        <f>distribuicao!M29/distribuicao!C9</f>
        <v>0</v>
      </c>
      <c r="T11" s="34">
        <f>distribuicao!N27</f>
        <v>0</v>
      </c>
      <c r="U11" s="35">
        <f>distribuicao!N27/distribuicao!C9</f>
        <v>0</v>
      </c>
      <c r="V11" s="34">
        <f>distribuicao!N28</f>
        <v>0</v>
      </c>
      <c r="W11" s="35">
        <f>distribuicao!N28/distribuicao!C9</f>
        <v>0</v>
      </c>
      <c r="X11" s="34">
        <f>distribuicao!N29</f>
        <v>0</v>
      </c>
      <c r="Y11" s="35">
        <f>distribuicao!N29/distribuicao!C9</f>
        <v>0</v>
      </c>
      <c r="Z11" s="34">
        <f>distribuicao!O27</f>
        <v>116</v>
      </c>
      <c r="AA11" s="35">
        <f>distribuicao!O27/distribuicao!C9</f>
        <v>0.5043478260869565</v>
      </c>
      <c r="AB11" s="34">
        <f>distribuicao!O28</f>
        <v>49</v>
      </c>
      <c r="AC11" s="35">
        <f>distribuicao!O28/distribuicao!C9</f>
        <v>0.21304347826086956</v>
      </c>
      <c r="AD11" s="34">
        <f>distribuicao!O29</f>
        <v>4</v>
      </c>
      <c r="AE11" s="35">
        <f>distribuicao!O29/distribuicao!C9</f>
        <v>1.7391304347826087E-2</v>
      </c>
      <c r="AF11" s="34">
        <f>distribuicao!P27</f>
        <v>48</v>
      </c>
      <c r="AG11" s="35">
        <f>distribuicao!P27/distribuicao!C9</f>
        <v>0.20869565217391303</v>
      </c>
      <c r="AH11" s="34">
        <f>distribuicao!P28</f>
        <v>8</v>
      </c>
      <c r="AI11" s="35">
        <f>distribuicao!P28/distribuicao!C9</f>
        <v>3.4782608695652174E-2</v>
      </c>
      <c r="AJ11" s="34">
        <f>distribuicao!P29</f>
        <v>0</v>
      </c>
      <c r="AK11" s="35">
        <f>distribuicao!P29/distribuicao!C9</f>
        <v>0</v>
      </c>
      <c r="AL11" s="36">
        <f t="shared" si="1"/>
        <v>230</v>
      </c>
      <c r="AM11" s="37">
        <f t="shared" si="0"/>
        <v>1</v>
      </c>
    </row>
    <row r="12" spans="1:39" x14ac:dyDescent="0.2">
      <c r="A12" s="33" t="s">
        <v>11</v>
      </c>
      <c r="B12" s="42">
        <f>distribuicao!K34</f>
        <v>2</v>
      </c>
      <c r="C12" s="41">
        <f>distribuicao!K34/distribuicao!C9</f>
        <v>8.6956521739130436E-3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2</v>
      </c>
      <c r="I12" s="41">
        <f>distribuicao!L34/distribuicao!C9</f>
        <v>8.6956521739130436E-3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1</v>
      </c>
      <c r="O12" s="41">
        <f>distribuicao!M34/distribuicao!C9</f>
        <v>4.3478260869565218E-3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0</v>
      </c>
      <c r="U12" s="41">
        <f>distribuicao!N34/distribuicao!C9</f>
        <v>0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168</v>
      </c>
      <c r="AA12" s="41">
        <f>distribuicao!O34/distribuicao!C9</f>
        <v>0.73043478260869565</v>
      </c>
      <c r="AB12" s="42">
        <f>distribuicao!O35</f>
        <v>1</v>
      </c>
      <c r="AC12" s="41">
        <f>distribuicao!O35/distribuicao!C9</f>
        <v>4.3478260869565218E-3</v>
      </c>
      <c r="AD12" s="42">
        <f>distribuicao!O36</f>
        <v>0</v>
      </c>
      <c r="AE12" s="41">
        <f>distribuicao!O36/distribuicao!C9</f>
        <v>0</v>
      </c>
      <c r="AF12" s="42">
        <f>distribuicao!P34</f>
        <v>56</v>
      </c>
      <c r="AG12" s="41">
        <f>distribuicao!P34/distribuicao!C9</f>
        <v>0.24347826086956523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230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2</cp:revision>
  <dcterms:modified xsi:type="dcterms:W3CDTF">2019-04-10T00:12:43Z</dcterms:modified>
  <dc:language>pt-BR</dc:language>
</cp:coreProperties>
</file>