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F7846854-ABEC-4921-9E5A-FD7E397D08C4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R12" i="3"/>
  <c r="L9" i="3"/>
  <c r="AJ7" i="3"/>
  <c r="Z7" i="3"/>
  <c r="T7" i="3"/>
  <c r="J7" i="3"/>
  <c r="F7" i="3"/>
  <c r="D7" i="3"/>
  <c r="AD6" i="3"/>
  <c r="X6" i="3"/>
  <c r="AB5" i="3"/>
  <c r="B5" i="3"/>
  <c r="F4" i="3"/>
  <c r="O36" i="2"/>
  <c r="AD12" i="3" s="1"/>
  <c r="N36" i="2"/>
  <c r="M36" i="2"/>
  <c r="L36" i="2"/>
  <c r="K36" i="2"/>
  <c r="F12" i="3" s="1"/>
  <c r="H36" i="2"/>
  <c r="G36" i="2"/>
  <c r="AD7" i="3" s="1"/>
  <c r="F36" i="2"/>
  <c r="E36" i="2"/>
  <c r="D36" i="2"/>
  <c r="L7" i="3" s="1"/>
  <c r="C36" i="2"/>
  <c r="P35" i="2"/>
  <c r="O35" i="2"/>
  <c r="N35" i="2"/>
  <c r="V12" i="3" s="1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N12" i="3" s="1"/>
  <c r="L34" i="2"/>
  <c r="K34" i="2"/>
  <c r="H34" i="2"/>
  <c r="AF7" i="3" s="1"/>
  <c r="G34" i="2"/>
  <c r="F34" i="2"/>
  <c r="E34" i="2"/>
  <c r="N7" i="3" s="1"/>
  <c r="D34" i="2"/>
  <c r="C34" i="2"/>
  <c r="P29" i="2"/>
  <c r="O29" i="2"/>
  <c r="N29" i="2"/>
  <c r="M29" i="2"/>
  <c r="R11" i="3" s="1"/>
  <c r="L29" i="2"/>
  <c r="K29" i="2"/>
  <c r="H29" i="2"/>
  <c r="AJ6" i="3" s="1"/>
  <c r="G29" i="2"/>
  <c r="F29" i="2"/>
  <c r="E29" i="2"/>
  <c r="D29" i="2"/>
  <c r="C29" i="2"/>
  <c r="P28" i="2"/>
  <c r="AH11" i="3" s="1"/>
  <c r="O28" i="2"/>
  <c r="N28" i="2"/>
  <c r="M28" i="2"/>
  <c r="L28" i="2"/>
  <c r="J11" i="3" s="1"/>
  <c r="K28" i="2"/>
  <c r="H28" i="2"/>
  <c r="AH6" i="3" s="1"/>
  <c r="G28" i="2"/>
  <c r="F28" i="2"/>
  <c r="E28" i="2"/>
  <c r="D28" i="2"/>
  <c r="C28" i="2"/>
  <c r="D6" i="3" s="1"/>
  <c r="P27" i="2"/>
  <c r="O27" i="2"/>
  <c r="N27" i="2"/>
  <c r="M27" i="2"/>
  <c r="L27" i="2"/>
  <c r="K27" i="2"/>
  <c r="H27" i="2"/>
  <c r="AF6" i="3" s="1"/>
  <c r="G27" i="2"/>
  <c r="F27" i="2"/>
  <c r="E27" i="2"/>
  <c r="D27" i="2"/>
  <c r="H6" i="3" s="1"/>
  <c r="C27" i="2"/>
  <c r="B6" i="3" s="1"/>
  <c r="P22" i="2"/>
  <c r="O22" i="2"/>
  <c r="N22" i="2"/>
  <c r="M22" i="2"/>
  <c r="L22" i="2"/>
  <c r="K22" i="2"/>
  <c r="H22" i="2"/>
  <c r="AJ5" i="3" s="1"/>
  <c r="G22" i="2"/>
  <c r="F22" i="2"/>
  <c r="E22" i="2"/>
  <c r="D22" i="2"/>
  <c r="L5" i="3" s="1"/>
  <c r="C22" i="2"/>
  <c r="F5" i="3" s="1"/>
  <c r="P21" i="2"/>
  <c r="O21" i="2"/>
  <c r="N21" i="2"/>
  <c r="V10" i="3" s="1"/>
  <c r="M21" i="2"/>
  <c r="L21" i="2"/>
  <c r="K21" i="2"/>
  <c r="H21" i="2"/>
  <c r="G21" i="2"/>
  <c r="F21" i="2"/>
  <c r="V5" i="3" s="1"/>
  <c r="E21" i="2"/>
  <c r="D21" i="2"/>
  <c r="C21" i="2"/>
  <c r="P20" i="2"/>
  <c r="O20" i="2"/>
  <c r="N20" i="2"/>
  <c r="M20" i="2"/>
  <c r="N10" i="3" s="1"/>
  <c r="L20" i="2"/>
  <c r="K20" i="2"/>
  <c r="H20" i="2"/>
  <c r="G20" i="2"/>
  <c r="F20" i="2"/>
  <c r="E20" i="2"/>
  <c r="D20" i="2"/>
  <c r="H5" i="3" s="1"/>
  <c r="C20" i="2"/>
  <c r="P15" i="2"/>
  <c r="O15" i="2"/>
  <c r="N15" i="2"/>
  <c r="M15" i="2"/>
  <c r="R9" i="3" s="1"/>
  <c r="L15" i="2"/>
  <c r="K15" i="2"/>
  <c r="H15" i="2"/>
  <c r="G15" i="2"/>
  <c r="F15" i="2"/>
  <c r="E15" i="2"/>
  <c r="D15" i="2"/>
  <c r="C15" i="2"/>
  <c r="P14" i="2"/>
  <c r="AH9" i="3" s="1"/>
  <c r="O14" i="2"/>
  <c r="N14" i="2"/>
  <c r="M14" i="2"/>
  <c r="L14" i="2"/>
  <c r="K14" i="2"/>
  <c r="H14" i="2"/>
  <c r="G14" i="2"/>
  <c r="AB4" i="3" s="1"/>
  <c r="F14" i="2"/>
  <c r="E14" i="2"/>
  <c r="D14" i="2"/>
  <c r="C14" i="2"/>
  <c r="P13" i="2"/>
  <c r="O13" i="2"/>
  <c r="N13" i="2"/>
  <c r="M13" i="2"/>
  <c r="L13" i="2"/>
  <c r="K13" i="2"/>
  <c r="H13" i="2"/>
  <c r="G13" i="2"/>
  <c r="Z4" i="3" s="1"/>
  <c r="F13" i="2"/>
  <c r="E13" i="2"/>
  <c r="D13" i="2"/>
  <c r="C13" i="2"/>
  <c r="P8" i="2"/>
  <c r="O8" i="2"/>
  <c r="N8" i="2"/>
  <c r="M8" i="2"/>
  <c r="L8" i="2"/>
  <c r="K8" i="2"/>
  <c r="H8" i="2"/>
  <c r="G8" i="2"/>
  <c r="AD3" i="3" s="1"/>
  <c r="F8" i="2"/>
  <c r="E8" i="2"/>
  <c r="D8" i="2"/>
  <c r="C8" i="2"/>
  <c r="P7" i="2"/>
  <c r="O7" i="2"/>
  <c r="N7" i="2"/>
  <c r="M7" i="2"/>
  <c r="L7" i="2"/>
  <c r="J8" i="3" s="1"/>
  <c r="K7" i="2"/>
  <c r="H7" i="2"/>
  <c r="G7" i="2"/>
  <c r="F7" i="2"/>
  <c r="E7" i="2"/>
  <c r="D7" i="2"/>
  <c r="C7" i="2"/>
  <c r="P6" i="2"/>
  <c r="AF8" i="3" s="1"/>
  <c r="O6" i="2"/>
  <c r="N6" i="2"/>
  <c r="M6" i="2"/>
  <c r="L6" i="2"/>
  <c r="K6" i="2"/>
  <c r="H6" i="2"/>
  <c r="G6" i="2"/>
  <c r="F6" i="2"/>
  <c r="T3" i="3" s="1"/>
  <c r="E6" i="2"/>
  <c r="D6" i="2"/>
  <c r="C6" i="2"/>
  <c r="K37" i="2"/>
  <c r="C37" i="2"/>
  <c r="K30" i="2"/>
  <c r="C30" i="2"/>
  <c r="C16" i="2"/>
  <c r="AF3" i="3" l="1"/>
  <c r="AH3" i="3"/>
  <c r="V8" i="3"/>
  <c r="L3" i="3"/>
  <c r="AJ3" i="3"/>
  <c r="X8" i="3"/>
  <c r="H4" i="3"/>
  <c r="AF4" i="3"/>
  <c r="T9" i="3"/>
  <c r="J4" i="3"/>
  <c r="AH4" i="3"/>
  <c r="V9" i="3"/>
  <c r="L4" i="3"/>
  <c r="T8" i="3"/>
  <c r="B8" i="3"/>
  <c r="K9" i="2"/>
  <c r="P3" i="3"/>
  <c r="D8" i="3"/>
  <c r="R3" i="3"/>
  <c r="AD8" i="3"/>
  <c r="B9" i="3"/>
  <c r="D9" i="3"/>
  <c r="F9" i="3"/>
  <c r="B10" i="3"/>
  <c r="K23" i="2"/>
  <c r="D10" i="3"/>
  <c r="R5" i="3"/>
  <c r="AD10" i="3"/>
  <c r="B11" i="3"/>
  <c r="Q6" i="3"/>
  <c r="P6" i="3"/>
  <c r="AB11" i="3"/>
  <c r="G11" i="3"/>
  <c r="F11" i="3"/>
  <c r="AA12" i="3"/>
  <c r="H3" i="3"/>
  <c r="O3" i="3"/>
  <c r="N3" i="3"/>
  <c r="Z9" i="3"/>
  <c r="AC9" i="3"/>
  <c r="AB9" i="3"/>
  <c r="AD9" i="3"/>
  <c r="AA10" i="3"/>
  <c r="Z10" i="3"/>
  <c r="AB10" i="3"/>
  <c r="F10" i="3"/>
  <c r="N6" i="3"/>
  <c r="Z11" i="3"/>
  <c r="D11" i="3"/>
  <c r="R6" i="3"/>
  <c r="K16" i="2"/>
  <c r="AI8" i="3"/>
  <c r="AI10" i="3"/>
  <c r="AI12" i="3"/>
  <c r="C9" i="2"/>
  <c r="K6" i="3" s="1"/>
  <c r="J3" i="3"/>
  <c r="Z8" i="3"/>
  <c r="AA8" i="3"/>
  <c r="AB8" i="3"/>
  <c r="G8" i="3"/>
  <c r="F8" i="3"/>
  <c r="N4" i="3"/>
  <c r="Q4" i="3"/>
  <c r="P4" i="3"/>
  <c r="R4" i="3"/>
  <c r="O5" i="3"/>
  <c r="N5" i="3"/>
  <c r="P5" i="3"/>
  <c r="C23" i="2"/>
  <c r="C3" i="3"/>
  <c r="B3" i="3"/>
  <c r="Z3" i="3"/>
  <c r="O8" i="3"/>
  <c r="N8" i="3"/>
  <c r="D3" i="3"/>
  <c r="E3" i="3"/>
  <c r="AC3" i="3"/>
  <c r="AB3" i="3"/>
  <c r="G3" i="3"/>
  <c r="S8" i="3"/>
  <c r="C4" i="3"/>
  <c r="G4" i="3"/>
  <c r="AE4" i="3"/>
  <c r="C5" i="3"/>
  <c r="AE5" i="3"/>
  <c r="S10" i="3"/>
  <c r="AA6" i="3"/>
  <c r="G6" i="3"/>
  <c r="AE6" i="3"/>
  <c r="C7" i="3"/>
  <c r="G7" i="3"/>
  <c r="S12" i="3"/>
  <c r="Q7" i="3"/>
  <c r="D12" i="3"/>
  <c r="AC12" i="3"/>
  <c r="AB12" i="3"/>
  <c r="AE3" i="3"/>
  <c r="V4" i="3"/>
  <c r="AA4" i="3"/>
  <c r="AH5" i="3"/>
  <c r="O7" i="3"/>
  <c r="K8" i="3"/>
  <c r="P8" i="3"/>
  <c r="W10" i="3"/>
  <c r="G12" i="3"/>
  <c r="AE12" i="3"/>
  <c r="AG8" i="3"/>
  <c r="Y3" i="3"/>
  <c r="M8" i="3"/>
  <c r="U4" i="3"/>
  <c r="I9" i="3"/>
  <c r="AG9" i="3"/>
  <c r="AF9" i="3"/>
  <c r="Y4" i="3"/>
  <c r="M9" i="3"/>
  <c r="AK9" i="3"/>
  <c r="AJ9" i="3"/>
  <c r="U5" i="3"/>
  <c r="I10" i="3"/>
  <c r="H10" i="3"/>
  <c r="AG10" i="3"/>
  <c r="AF10" i="3"/>
  <c r="Y5" i="3"/>
  <c r="M10" i="3"/>
  <c r="L10" i="3"/>
  <c r="AK10" i="3"/>
  <c r="AJ10" i="3"/>
  <c r="U6" i="3"/>
  <c r="I11" i="3"/>
  <c r="H11" i="3"/>
  <c r="AG11" i="3"/>
  <c r="AF11" i="3"/>
  <c r="Y6" i="3"/>
  <c r="M11" i="3"/>
  <c r="L11" i="3"/>
  <c r="AK11" i="3"/>
  <c r="AJ11" i="3"/>
  <c r="U7" i="3"/>
  <c r="I12" i="3"/>
  <c r="H12" i="3"/>
  <c r="AG12" i="3"/>
  <c r="AF12" i="3"/>
  <c r="Y7" i="3"/>
  <c r="M12" i="3"/>
  <c r="L12" i="3"/>
  <c r="F3" i="3"/>
  <c r="V3" i="3"/>
  <c r="B4" i="3"/>
  <c r="X5" i="3"/>
  <c r="AD5" i="3"/>
  <c r="J6" i="3"/>
  <c r="T6" i="3"/>
  <c r="Z6" i="3"/>
  <c r="P7" i="3"/>
  <c r="V7" i="3"/>
  <c r="L8" i="3"/>
  <c r="R8" i="3"/>
  <c r="AH8" i="3"/>
  <c r="H9" i="3"/>
  <c r="N9" i="3"/>
  <c r="J10" i="3"/>
  <c r="R10" i="3"/>
  <c r="AH10" i="3"/>
  <c r="N11" i="3"/>
  <c r="V11" i="3"/>
  <c r="AD11" i="3"/>
  <c r="B12" i="3"/>
  <c r="J12" i="3"/>
  <c r="Z12" i="3"/>
  <c r="AH12" i="3"/>
  <c r="E4" i="3"/>
  <c r="AC4" i="3"/>
  <c r="Q9" i="3"/>
  <c r="P9" i="3"/>
  <c r="E5" i="3"/>
  <c r="AC5" i="3"/>
  <c r="Q10" i="3"/>
  <c r="P10" i="3"/>
  <c r="E6" i="3"/>
  <c r="AC6" i="3"/>
  <c r="Q11" i="3"/>
  <c r="P11" i="3"/>
  <c r="E7" i="3"/>
  <c r="AC7" i="3"/>
  <c r="Q12" i="3"/>
  <c r="P12" i="3"/>
  <c r="X4" i="3"/>
  <c r="AD4" i="3"/>
  <c r="D5" i="3"/>
  <c r="J5" i="3"/>
  <c r="T5" i="3"/>
  <c r="Z5" i="3"/>
  <c r="F6" i="3"/>
  <c r="V6" i="3"/>
  <c r="B7" i="3"/>
  <c r="R7" i="3"/>
  <c r="AB7" i="3"/>
  <c r="AH7" i="3"/>
  <c r="H8" i="3"/>
  <c r="J9" i="3"/>
  <c r="Y9" i="3"/>
  <c r="X9" i="3"/>
  <c r="I5" i="3"/>
  <c r="AG5" i="3"/>
  <c r="U10" i="3"/>
  <c r="T10" i="3"/>
  <c r="M5" i="3"/>
  <c r="AK5" i="3"/>
  <c r="Y10" i="3"/>
  <c r="X10" i="3"/>
  <c r="I6" i="3"/>
  <c r="AG6" i="3"/>
  <c r="U11" i="3"/>
  <c r="T11" i="3"/>
  <c r="M6" i="3"/>
  <c r="AK6" i="3"/>
  <c r="Y11" i="3"/>
  <c r="X11" i="3"/>
  <c r="I7" i="3"/>
  <c r="AG7" i="3"/>
  <c r="U12" i="3"/>
  <c r="T12" i="3"/>
  <c r="M7" i="3"/>
  <c r="AK7" i="3"/>
  <c r="Y12" i="3"/>
  <c r="X12" i="3"/>
  <c r="X3" i="3"/>
  <c r="D4" i="3"/>
  <c r="T4" i="3"/>
  <c r="AJ4" i="3"/>
  <c r="AF5" i="3"/>
  <c r="L6" i="3"/>
  <c r="AB6" i="3"/>
  <c r="H7" i="3"/>
  <c r="X7" i="3"/>
  <c r="AJ8" i="3"/>
  <c r="E10" i="3" l="1"/>
  <c r="G9" i="3"/>
  <c r="AL9" i="3"/>
  <c r="Q3" i="3"/>
  <c r="C8" i="3"/>
  <c r="K7" i="3"/>
  <c r="K5" i="3"/>
  <c r="K4" i="3"/>
  <c r="M3" i="3"/>
  <c r="AL6" i="3"/>
  <c r="AL5" i="3"/>
  <c r="AK8" i="3"/>
  <c r="I8" i="3"/>
  <c r="AI9" i="3"/>
  <c r="U3" i="3"/>
  <c r="E12" i="3"/>
  <c r="AA7" i="3"/>
  <c r="O11" i="3"/>
  <c r="AA5" i="3"/>
  <c r="O9" i="3"/>
  <c r="Q8" i="3"/>
  <c r="AA3" i="3"/>
  <c r="K12" i="3"/>
  <c r="K10" i="3"/>
  <c r="W3" i="3"/>
  <c r="AA9" i="3"/>
  <c r="I3" i="3"/>
  <c r="C12" i="3"/>
  <c r="C11" i="3"/>
  <c r="C9" i="3"/>
  <c r="S3" i="3"/>
  <c r="W11" i="3"/>
  <c r="AK4" i="3"/>
  <c r="W9" i="3"/>
  <c r="AG4" i="3"/>
  <c r="Y8" i="3"/>
  <c r="AI3" i="3"/>
  <c r="AL4" i="3"/>
  <c r="AL3" i="3"/>
  <c r="Q5" i="3"/>
  <c r="S4" i="3"/>
  <c r="O4" i="3"/>
  <c r="AC8" i="3"/>
  <c r="K3" i="3"/>
  <c r="W7" i="3"/>
  <c r="K9" i="3"/>
  <c r="E11" i="3"/>
  <c r="O6" i="3"/>
  <c r="AC10" i="3"/>
  <c r="AE9" i="3"/>
  <c r="AE11" i="3"/>
  <c r="AC11" i="3"/>
  <c r="AL11" i="3"/>
  <c r="S5" i="3"/>
  <c r="AL10" i="3"/>
  <c r="U8" i="3"/>
  <c r="AL7" i="3"/>
  <c r="AL12" i="3"/>
  <c r="AK12" i="3"/>
  <c r="W12" i="3"/>
  <c r="O12" i="3"/>
  <c r="AI11" i="3"/>
  <c r="S11" i="3"/>
  <c r="K11" i="3"/>
  <c r="O10" i="3"/>
  <c r="S9" i="3"/>
  <c r="AE7" i="3"/>
  <c r="AI6" i="3"/>
  <c r="C6" i="3"/>
  <c r="W5" i="3"/>
  <c r="AM5" i="3" s="1"/>
  <c r="G5" i="3"/>
  <c r="W6" i="3"/>
  <c r="W4" i="3"/>
  <c r="S6" i="3"/>
  <c r="AA11" i="3"/>
  <c r="G10" i="3"/>
  <c r="S7" i="3"/>
  <c r="AM7" i="3" s="1"/>
  <c r="AE10" i="3"/>
  <c r="C10" i="3"/>
  <c r="E9" i="3"/>
  <c r="AE8" i="3"/>
  <c r="E8" i="3"/>
  <c r="AL8" i="3"/>
  <c r="AI7" i="3"/>
  <c r="AI5" i="3"/>
  <c r="M4" i="3"/>
  <c r="AI4" i="3"/>
  <c r="U9" i="3"/>
  <c r="I4" i="3"/>
  <c r="AM4" i="3" s="1"/>
  <c r="AK3" i="3"/>
  <c r="W8" i="3"/>
  <c r="AG3" i="3"/>
  <c r="AM3" i="3" s="1"/>
  <c r="AM12" i="3" l="1"/>
  <c r="AM10" i="3"/>
  <c r="AM9" i="3"/>
  <c r="AM6" i="3"/>
  <c r="AM11" i="3"/>
  <c r="AM8" i="3"/>
</calcChain>
</file>

<file path=xl/sharedStrings.xml><?xml version="1.0" encoding="utf-8"?>
<sst xmlns="http://schemas.openxmlformats.org/spreadsheetml/2006/main" count="353" uniqueCount="133">
  <si>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</si>
  <si>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</si>
  <si>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</si>
  <si>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</si>
  <si>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</si>
  <si>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</si>
  <si>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</si>
  <si>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</si>
  <si>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</si>
  <si>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</si>
  <si>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</si>
  <si>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</si>
  <si>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org.cyberneko.html.CanonicalTest</t>
  </si>
  <si>
    <t>IN</t>
  </si>
  <si>
    <t>org.cyberneko.html.CanonicalTest$1</t>
  </si>
  <si>
    <t>TENDRILS</t>
  </si>
  <si>
    <t>org.cyberneko.html.DOMFragmentParserTest</t>
  </si>
  <si>
    <t>org.cyberneko.html.filters.DefaultFilter</t>
  </si>
  <si>
    <t>TUBES</t>
  </si>
  <si>
    <t>org.cyberneko.html.filters.ElementRemover</t>
  </si>
  <si>
    <t>org.cyberneko.html.filters.Identity</t>
  </si>
  <si>
    <t>org.cyberneko.html.filters.NamespaceBinder</t>
  </si>
  <si>
    <t>org.cyberneko.html.filters.NamespaceBinder$NamespaceSupport</t>
  </si>
  <si>
    <t>org.cyberneko.html.filters.NamespaceBinder$NamespaceSupport$Entry</t>
  </si>
  <si>
    <t>org.cyberneko.html.filters.Purifier</t>
  </si>
  <si>
    <t>org.cyberneko.html.filters.Writer</t>
  </si>
  <si>
    <t>org.cyberneko.html.filters.WriterTest</t>
  </si>
  <si>
    <t>org.cyberneko.html.FragmentContextStackTest</t>
  </si>
  <si>
    <t>org.cyberneko.html.HeadNamespaceBug</t>
  </si>
  <si>
    <t>org.cyberneko.html.HeadNamespaceBug$1</t>
  </si>
  <si>
    <t>org.cyberneko.html.HeadNamespaceBug$2</t>
  </si>
  <si>
    <t>org.cyberneko.html.HTMLAugmentations</t>
  </si>
  <si>
    <t>OUT</t>
  </si>
  <si>
    <t>org.cyberneko.html.HTMLComponent</t>
  </si>
  <si>
    <t>Disconnected</t>
  </si>
  <si>
    <t>org.cyberneko.html.HTMLConfiguration</t>
  </si>
  <si>
    <t>org.cyberneko.html.HTMLConfiguration$ErrorReporter</t>
  </si>
  <si>
    <t>org.cyberneko.html.HTMLElements</t>
  </si>
  <si>
    <t>org.cyberneko.html.HTMLElements$Element</t>
  </si>
  <si>
    <t>org.cyberneko.html.HTMLElements$ElementList</t>
  </si>
  <si>
    <t>org.cyberneko.html.HTMLEntities</t>
  </si>
  <si>
    <t>org.cyberneko.html.HTMLEntities$IntProperties</t>
  </si>
  <si>
    <t>org.cyberneko.html.HTMLEntities$IntProperties$Entry</t>
  </si>
  <si>
    <t>org.cyberneko.html.HTMLErrorHandler</t>
  </si>
  <si>
    <t>org.cyberneko.html.HTMLErrorReporter</t>
  </si>
  <si>
    <t>org.cyberneko.html.HTMLEventInfo</t>
  </si>
  <si>
    <t>org.cyberneko.html.HTMLEventInfo$SynthesizedItem</t>
  </si>
  <si>
    <t>org.cyberneko.html.HTMLScanner</t>
  </si>
  <si>
    <t>LSCC</t>
  </si>
  <si>
    <t>org.cyberneko.html.HTMLScanner$ContentScanner</t>
  </si>
  <si>
    <t>org.cyberneko.html.HTMLScanner$CurrentEntity</t>
  </si>
  <si>
    <t>org.cyberneko.html.HTMLScanner$LocationItem</t>
  </si>
  <si>
    <t>org.cyberneko.html.HTMLScanner$PlaybackInputStream</t>
  </si>
  <si>
    <t>org.cyberneko.html.HTMLScanner$Scanner</t>
  </si>
  <si>
    <t>org.cyberneko.html.HTMLScanner$SpecialScanner</t>
  </si>
  <si>
    <t>org.cyberneko.html.HTMLScannerTest</t>
  </si>
  <si>
    <t>org.cyberneko.html.HTMLScannerTest$1</t>
  </si>
  <si>
    <t>org.cyberneko.html.HTMLScannerTest$EvaluateInputSourceFilter</t>
  </si>
  <si>
    <t>org.cyberneko.html.HTMLScannerTest$InfiniteLoopScanner</t>
  </si>
  <si>
    <t>org.cyberneko.html.HTMLScannerTest$InfiniteLoopScanner$MyContentScanner</t>
  </si>
  <si>
    <t>org.cyberneko.html.HTMLTagBalancer</t>
  </si>
  <si>
    <t>org.cyberneko.html.HTMLTagBalancer$ElementEntry</t>
  </si>
  <si>
    <t>org.cyberneko.html.HTMLTagBalancer$Info</t>
  </si>
  <si>
    <t>org.cyberneko.html.HTMLTagBalancer$InfoStack</t>
  </si>
  <si>
    <t>org.cyberneko.html.HTMLTagBalancingListener</t>
  </si>
  <si>
    <t>org.cyberneko.html.LostText</t>
  </si>
  <si>
    <t>org.cyberneko.html.LostText$Entry</t>
  </si>
  <si>
    <t>org.cyberneko.html.ObjectFactory</t>
  </si>
  <si>
    <t>org.cyberneko.html.ObjectFactory$ConfigurationError</t>
  </si>
  <si>
    <t>org.cyberneko.html.parsers.DOMFragmentParser</t>
  </si>
  <si>
    <t>org.cyberneko.html.parsers.DOMParser</t>
  </si>
  <si>
    <t>org.cyberneko.html.parsers.SAXParser</t>
  </si>
  <si>
    <t>org.cyberneko.html.SecuritySupport</t>
  </si>
  <si>
    <t>org.cyberneko.html.SecuritySupport12</t>
  </si>
  <si>
    <t>org.cyberneko.html.SecuritySupport12$1</t>
  </si>
  <si>
    <t>org.cyberneko.html.SecuritySupport12$2</t>
  </si>
  <si>
    <t>org.cyberneko.html.SecuritySupport12$3</t>
  </si>
  <si>
    <t>org.cyberneko.html.SecuritySupport12$4</t>
  </si>
  <si>
    <t>org.cyberneko.html.SecuritySupport12$5</t>
  </si>
  <si>
    <t>org.cyberneko.html.SecuritySupport12$6</t>
  </si>
  <si>
    <t>org.cyberneko.html.SecuritySupport12$7</t>
  </si>
  <si>
    <t>org.cyberneko.html.SecuritySupport12$8</t>
  </si>
  <si>
    <t>org.cyberneko.html.TestParser</t>
  </si>
  <si>
    <t>org.cyberneko.html.UTF8BOMSkipper</t>
  </si>
  <si>
    <t>org.cyberneko.html.Writer</t>
  </si>
  <si>
    <t>org.cyberneko.html.xercesbridge.XercesBridge</t>
  </si>
  <si>
    <t>org.cyberneko.html.xercesbridge.XercesBridge_2_0</t>
  </si>
  <si>
    <t>sample.HTMLSAXParser</t>
  </si>
  <si>
    <t>sample.Minimal</t>
  </si>
  <si>
    <t>sample.RemoveElements</t>
  </si>
  <si>
    <t>sample.Script</t>
  </si>
  <si>
    <t>sample.TestHTMLDOM</t>
  </si>
  <si>
    <t>sample.TestHTMLDOMFragment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</si>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</sst>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zoomScaleNormal="100" workbookViewId="0">
      <selection activeCell="M6" sqref="M6"/>
    </sheetView>
  </sheetViews>
  <sheetFormatPr defaultRowHeight="12.75" x14ac:dyDescent="0.2"/>
  <cols>
    <col min="1" max="1" width="65.855468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7</v>
      </c>
      <c r="F2">
        <v>0</v>
      </c>
      <c r="G2">
        <v>0.5</v>
      </c>
      <c r="H2">
        <v>13</v>
      </c>
      <c r="I2">
        <v>60</v>
      </c>
      <c r="J2">
        <v>0</v>
      </c>
      <c r="K2">
        <v>6</v>
      </c>
      <c r="L2">
        <v>0</v>
      </c>
    </row>
    <row r="3" spans="1:12" x14ac:dyDescent="0.2">
      <c r="A3" t="s">
        <v>14</v>
      </c>
      <c r="B3" t="s">
        <v>15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10</v>
      </c>
      <c r="J3">
        <v>1</v>
      </c>
      <c r="K3">
        <v>2</v>
      </c>
      <c r="L3">
        <v>0</v>
      </c>
    </row>
    <row r="4" spans="1:12" x14ac:dyDescent="0.2">
      <c r="A4" t="s">
        <v>16</v>
      </c>
      <c r="B4" t="s">
        <v>13</v>
      </c>
      <c r="C4">
        <v>0</v>
      </c>
      <c r="D4">
        <v>4</v>
      </c>
      <c r="E4">
        <v>10</v>
      </c>
      <c r="F4">
        <v>0</v>
      </c>
      <c r="G4">
        <v>0.5</v>
      </c>
      <c r="H4">
        <v>3</v>
      </c>
      <c r="I4">
        <v>27</v>
      </c>
      <c r="J4">
        <v>0</v>
      </c>
      <c r="K4">
        <v>5</v>
      </c>
      <c r="L4">
        <v>0</v>
      </c>
    </row>
    <row r="5" spans="1:12" x14ac:dyDescent="0.2">
      <c r="A5" t="s">
        <v>17</v>
      </c>
      <c r="B5" t="s">
        <v>18</v>
      </c>
      <c r="C5">
        <v>0</v>
      </c>
      <c r="D5">
        <v>31</v>
      </c>
      <c r="E5">
        <v>121</v>
      </c>
      <c r="F5">
        <v>1</v>
      </c>
      <c r="G5">
        <v>9.0999999999999998E-2</v>
      </c>
      <c r="H5">
        <v>15</v>
      </c>
      <c r="I5">
        <v>53</v>
      </c>
      <c r="J5">
        <v>9</v>
      </c>
      <c r="K5">
        <v>32</v>
      </c>
      <c r="L5">
        <v>9</v>
      </c>
    </row>
    <row r="6" spans="1:12" x14ac:dyDescent="0.2">
      <c r="A6" t="s">
        <v>19</v>
      </c>
      <c r="B6" t="s">
        <v>18</v>
      </c>
      <c r="C6">
        <v>0</v>
      </c>
      <c r="D6">
        <v>19</v>
      </c>
      <c r="E6">
        <v>0</v>
      </c>
      <c r="F6">
        <v>0</v>
      </c>
      <c r="G6">
        <v>0.5</v>
      </c>
      <c r="H6">
        <v>9</v>
      </c>
      <c r="I6">
        <v>50</v>
      </c>
      <c r="J6">
        <v>1</v>
      </c>
      <c r="K6">
        <v>23</v>
      </c>
      <c r="L6">
        <v>0</v>
      </c>
    </row>
    <row r="7" spans="1:12" x14ac:dyDescent="0.2">
      <c r="A7" t="s">
        <v>20</v>
      </c>
      <c r="B7" t="s">
        <v>18</v>
      </c>
      <c r="C7">
        <v>0</v>
      </c>
      <c r="D7">
        <v>4</v>
      </c>
      <c r="E7">
        <v>10</v>
      </c>
      <c r="F7">
        <v>0</v>
      </c>
      <c r="G7">
        <v>1</v>
      </c>
      <c r="H7">
        <v>6</v>
      </c>
      <c r="I7">
        <v>11</v>
      </c>
      <c r="J7">
        <v>2</v>
      </c>
      <c r="K7">
        <v>5</v>
      </c>
      <c r="L7">
        <v>0</v>
      </c>
    </row>
    <row r="8" spans="1:12" x14ac:dyDescent="0.2">
      <c r="A8" t="s">
        <v>21</v>
      </c>
      <c r="B8" t="s">
        <v>18</v>
      </c>
      <c r="C8">
        <v>3</v>
      </c>
      <c r="D8">
        <v>10</v>
      </c>
      <c r="E8">
        <v>51</v>
      </c>
      <c r="F8">
        <v>0</v>
      </c>
      <c r="G8">
        <v>0.25</v>
      </c>
      <c r="H8">
        <v>14</v>
      </c>
      <c r="I8">
        <v>60</v>
      </c>
      <c r="J8">
        <v>1</v>
      </c>
      <c r="K8">
        <v>15</v>
      </c>
      <c r="L8">
        <v>0</v>
      </c>
    </row>
    <row r="9" spans="1:12" x14ac:dyDescent="0.2">
      <c r="A9" t="s">
        <v>22</v>
      </c>
      <c r="B9" t="s">
        <v>15</v>
      </c>
      <c r="C9">
        <v>0</v>
      </c>
      <c r="D9">
        <v>11</v>
      </c>
      <c r="E9">
        <v>0</v>
      </c>
      <c r="F9">
        <v>1</v>
      </c>
      <c r="G9">
        <v>0.5</v>
      </c>
      <c r="H9">
        <v>2</v>
      </c>
      <c r="I9">
        <v>19</v>
      </c>
      <c r="J9">
        <v>2</v>
      </c>
      <c r="K9">
        <v>11</v>
      </c>
      <c r="L9">
        <v>0</v>
      </c>
    </row>
    <row r="10" spans="1:12" x14ac:dyDescent="0.2">
      <c r="A10" t="s">
        <v>23</v>
      </c>
      <c r="B10" t="s">
        <v>15</v>
      </c>
      <c r="C10">
        <v>2</v>
      </c>
      <c r="D10">
        <v>1</v>
      </c>
      <c r="E10">
        <v>0</v>
      </c>
      <c r="F10">
        <v>1</v>
      </c>
      <c r="G10">
        <v>1</v>
      </c>
      <c r="H10">
        <v>0</v>
      </c>
      <c r="I10">
        <v>2</v>
      </c>
      <c r="J10">
        <v>1</v>
      </c>
      <c r="K10">
        <v>1</v>
      </c>
      <c r="L10">
        <v>0</v>
      </c>
    </row>
    <row r="11" spans="1:12" x14ac:dyDescent="0.2">
      <c r="A11" t="s">
        <v>24</v>
      </c>
      <c r="B11" t="s">
        <v>18</v>
      </c>
      <c r="C11">
        <v>1</v>
      </c>
      <c r="D11">
        <v>14</v>
      </c>
      <c r="E11">
        <v>171</v>
      </c>
      <c r="F11">
        <v>0</v>
      </c>
      <c r="G11">
        <v>0.5</v>
      </c>
      <c r="H11">
        <v>17</v>
      </c>
      <c r="I11">
        <v>81</v>
      </c>
      <c r="J11">
        <v>1</v>
      </c>
      <c r="K11">
        <v>23</v>
      </c>
      <c r="L11">
        <v>0</v>
      </c>
    </row>
    <row r="12" spans="1:12" x14ac:dyDescent="0.2">
      <c r="A12" t="s">
        <v>25</v>
      </c>
      <c r="B12" t="s">
        <v>13</v>
      </c>
      <c r="C12">
        <v>2</v>
      </c>
      <c r="D12">
        <v>13</v>
      </c>
      <c r="E12">
        <v>58</v>
      </c>
      <c r="F12">
        <v>0</v>
      </c>
      <c r="G12">
        <v>0.33300000000000002</v>
      </c>
      <c r="H12">
        <v>17</v>
      </c>
      <c r="I12">
        <v>71</v>
      </c>
      <c r="J12">
        <v>3</v>
      </c>
      <c r="K12">
        <v>19</v>
      </c>
      <c r="L12">
        <v>0</v>
      </c>
    </row>
    <row r="13" spans="1:12" x14ac:dyDescent="0.2">
      <c r="A13" t="s">
        <v>26</v>
      </c>
      <c r="B13" t="s">
        <v>13</v>
      </c>
      <c r="C13">
        <v>0</v>
      </c>
      <c r="D13">
        <v>2</v>
      </c>
      <c r="E13">
        <v>1</v>
      </c>
      <c r="F13">
        <v>0</v>
      </c>
      <c r="G13">
        <v>1</v>
      </c>
      <c r="H13">
        <v>5</v>
      </c>
      <c r="I13">
        <v>12</v>
      </c>
      <c r="J13">
        <v>0</v>
      </c>
      <c r="K13">
        <v>2</v>
      </c>
      <c r="L13">
        <v>0</v>
      </c>
    </row>
    <row r="14" spans="1:12" x14ac:dyDescent="0.2">
      <c r="A14" t="s">
        <v>27</v>
      </c>
      <c r="B14" t="s">
        <v>13</v>
      </c>
      <c r="C14">
        <v>0</v>
      </c>
      <c r="D14">
        <v>4</v>
      </c>
      <c r="E14">
        <v>15</v>
      </c>
      <c r="F14">
        <v>0</v>
      </c>
      <c r="G14">
        <v>0.5</v>
      </c>
      <c r="H14">
        <v>5</v>
      </c>
      <c r="I14">
        <v>22</v>
      </c>
      <c r="J14">
        <v>0</v>
      </c>
      <c r="K14">
        <v>6</v>
      </c>
      <c r="L14">
        <v>0</v>
      </c>
    </row>
    <row r="15" spans="1:12" x14ac:dyDescent="0.2">
      <c r="A15" t="s">
        <v>28</v>
      </c>
      <c r="B15" t="s">
        <v>13</v>
      </c>
      <c r="C15">
        <v>0</v>
      </c>
      <c r="D15">
        <v>2</v>
      </c>
      <c r="E15">
        <v>1</v>
      </c>
      <c r="F15">
        <v>0</v>
      </c>
      <c r="G15">
        <v>1</v>
      </c>
      <c r="H15">
        <v>6</v>
      </c>
      <c r="I15">
        <v>15</v>
      </c>
      <c r="J15">
        <v>2</v>
      </c>
      <c r="K15">
        <v>2</v>
      </c>
      <c r="L15">
        <v>0</v>
      </c>
    </row>
    <row r="16" spans="1:12" x14ac:dyDescent="0.2">
      <c r="A16" t="s">
        <v>29</v>
      </c>
      <c r="B16" t="s">
        <v>13</v>
      </c>
      <c r="C16">
        <v>0</v>
      </c>
      <c r="D16">
        <v>1</v>
      </c>
      <c r="E16">
        <v>0</v>
      </c>
      <c r="F16">
        <v>2</v>
      </c>
      <c r="G16">
        <v>1</v>
      </c>
      <c r="H16">
        <v>1</v>
      </c>
      <c r="I16">
        <v>8</v>
      </c>
      <c r="J16">
        <v>1</v>
      </c>
      <c r="K16">
        <v>2</v>
      </c>
      <c r="L16">
        <v>0</v>
      </c>
    </row>
    <row r="17" spans="1:12" x14ac:dyDescent="0.2">
      <c r="A17" t="s">
        <v>30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2</v>
      </c>
      <c r="J17">
        <v>1</v>
      </c>
      <c r="K17">
        <v>1</v>
      </c>
      <c r="L17">
        <v>0</v>
      </c>
    </row>
    <row r="18" spans="1:12" x14ac:dyDescent="0.2">
      <c r="A18" t="s">
        <v>31</v>
      </c>
      <c r="B18" t="s">
        <v>32</v>
      </c>
      <c r="C18">
        <v>0</v>
      </c>
      <c r="D18">
        <v>7</v>
      </c>
      <c r="E18">
        <v>0</v>
      </c>
      <c r="F18">
        <v>1</v>
      </c>
      <c r="G18">
        <v>1</v>
      </c>
      <c r="H18">
        <v>2</v>
      </c>
      <c r="I18">
        <v>20</v>
      </c>
      <c r="J18">
        <v>5</v>
      </c>
      <c r="K18">
        <v>8</v>
      </c>
      <c r="L18">
        <v>0</v>
      </c>
    </row>
    <row r="19" spans="1:12" x14ac:dyDescent="0.2">
      <c r="A19" t="s">
        <v>33</v>
      </c>
      <c r="B19" t="s">
        <v>34</v>
      </c>
      <c r="C19">
        <v>0</v>
      </c>
      <c r="D19">
        <v>2</v>
      </c>
      <c r="E19">
        <v>0</v>
      </c>
      <c r="F19">
        <v>1</v>
      </c>
      <c r="G19">
        <v>1</v>
      </c>
      <c r="H19">
        <v>1</v>
      </c>
      <c r="I19">
        <v>2</v>
      </c>
      <c r="J19">
        <v>4</v>
      </c>
      <c r="K19">
        <v>2</v>
      </c>
      <c r="L19">
        <v>0</v>
      </c>
    </row>
    <row r="20" spans="1:12" x14ac:dyDescent="0.2">
      <c r="A20" t="s">
        <v>35</v>
      </c>
      <c r="B20" t="s">
        <v>13</v>
      </c>
      <c r="C20">
        <v>0</v>
      </c>
      <c r="D20">
        <v>21</v>
      </c>
      <c r="E20">
        <v>188</v>
      </c>
      <c r="F20">
        <v>0</v>
      </c>
      <c r="G20">
        <v>0.14299999999999999</v>
      </c>
      <c r="H20">
        <v>23</v>
      </c>
      <c r="I20">
        <v>70</v>
      </c>
      <c r="J20">
        <v>17</v>
      </c>
      <c r="K20">
        <v>25</v>
      </c>
      <c r="L20">
        <v>1</v>
      </c>
    </row>
    <row r="21" spans="1:12" x14ac:dyDescent="0.2">
      <c r="A21" t="s">
        <v>36</v>
      </c>
      <c r="B21" t="s">
        <v>13</v>
      </c>
      <c r="C21">
        <v>0</v>
      </c>
      <c r="D21">
        <v>3</v>
      </c>
      <c r="E21">
        <v>0</v>
      </c>
      <c r="F21">
        <v>1</v>
      </c>
      <c r="G21">
        <v>0.5</v>
      </c>
      <c r="H21">
        <v>6</v>
      </c>
      <c r="I21">
        <v>20</v>
      </c>
      <c r="J21">
        <v>1</v>
      </c>
      <c r="K21">
        <v>6</v>
      </c>
      <c r="L21">
        <v>0</v>
      </c>
    </row>
    <row r="22" spans="1:12" x14ac:dyDescent="0.2">
      <c r="A22" t="s">
        <v>37</v>
      </c>
      <c r="B22" t="s">
        <v>32</v>
      </c>
      <c r="C22">
        <v>119</v>
      </c>
      <c r="D22">
        <v>4</v>
      </c>
      <c r="E22">
        <v>1</v>
      </c>
      <c r="F22">
        <v>1</v>
      </c>
      <c r="G22">
        <v>1</v>
      </c>
      <c r="H22">
        <v>2</v>
      </c>
      <c r="I22">
        <v>15</v>
      </c>
      <c r="J22">
        <v>4</v>
      </c>
      <c r="K22">
        <v>5</v>
      </c>
      <c r="L22">
        <v>0</v>
      </c>
    </row>
    <row r="23" spans="1:12" x14ac:dyDescent="0.2">
      <c r="A23" t="s">
        <v>38</v>
      </c>
      <c r="B23" t="s">
        <v>32</v>
      </c>
      <c r="C23">
        <v>12</v>
      </c>
      <c r="D23">
        <v>14</v>
      </c>
      <c r="E23">
        <v>9</v>
      </c>
      <c r="F23">
        <v>1</v>
      </c>
      <c r="G23">
        <v>0.25</v>
      </c>
      <c r="H23">
        <v>0</v>
      </c>
      <c r="I23">
        <v>22</v>
      </c>
      <c r="J23">
        <v>7</v>
      </c>
      <c r="K23">
        <v>14</v>
      </c>
      <c r="L23">
        <v>0</v>
      </c>
    </row>
    <row r="24" spans="1:12" x14ac:dyDescent="0.2">
      <c r="A24" t="s">
        <v>39</v>
      </c>
      <c r="B24" t="s">
        <v>32</v>
      </c>
      <c r="C24">
        <v>2</v>
      </c>
      <c r="D24">
        <v>2</v>
      </c>
      <c r="E24">
        <v>0</v>
      </c>
      <c r="F24">
        <v>1</v>
      </c>
      <c r="G24">
        <v>1</v>
      </c>
      <c r="H24">
        <v>1</v>
      </c>
      <c r="I24">
        <v>4</v>
      </c>
      <c r="J24">
        <v>1</v>
      </c>
      <c r="K24">
        <v>2</v>
      </c>
      <c r="L24">
        <v>0</v>
      </c>
    </row>
    <row r="25" spans="1:12" x14ac:dyDescent="0.2">
      <c r="A25" t="s">
        <v>40</v>
      </c>
      <c r="B25" t="s">
        <v>32</v>
      </c>
      <c r="C25">
        <v>0</v>
      </c>
      <c r="D25">
        <v>3</v>
      </c>
      <c r="E25">
        <v>2</v>
      </c>
      <c r="F25">
        <v>1</v>
      </c>
      <c r="G25">
        <v>0.5</v>
      </c>
      <c r="H25">
        <v>1</v>
      </c>
      <c r="I25">
        <v>23</v>
      </c>
      <c r="J25">
        <v>2</v>
      </c>
      <c r="K25">
        <v>5</v>
      </c>
      <c r="L25">
        <v>0</v>
      </c>
    </row>
    <row r="26" spans="1:12" x14ac:dyDescent="0.2">
      <c r="A26" t="s">
        <v>41</v>
      </c>
      <c r="B26" t="s">
        <v>32</v>
      </c>
      <c r="C26">
        <v>0</v>
      </c>
      <c r="D26">
        <v>2</v>
      </c>
      <c r="E26">
        <v>0</v>
      </c>
      <c r="F26">
        <v>1</v>
      </c>
      <c r="G26">
        <v>1</v>
      </c>
      <c r="H26">
        <v>1</v>
      </c>
      <c r="I26">
        <v>5</v>
      </c>
      <c r="J26">
        <v>1</v>
      </c>
      <c r="K26">
        <v>3</v>
      </c>
      <c r="L26">
        <v>0</v>
      </c>
    </row>
    <row r="27" spans="1:12" x14ac:dyDescent="0.2">
      <c r="A27" t="s">
        <v>42</v>
      </c>
      <c r="B27" t="s">
        <v>32</v>
      </c>
      <c r="C27">
        <v>3</v>
      </c>
      <c r="D27">
        <v>1</v>
      </c>
      <c r="E27">
        <v>0</v>
      </c>
      <c r="F27">
        <v>1</v>
      </c>
      <c r="G27">
        <v>1</v>
      </c>
      <c r="H27">
        <v>0</v>
      </c>
      <c r="I27">
        <v>2</v>
      </c>
      <c r="J27">
        <v>1</v>
      </c>
      <c r="K27">
        <v>1</v>
      </c>
      <c r="L27">
        <v>0</v>
      </c>
    </row>
    <row r="28" spans="1:12" x14ac:dyDescent="0.2">
      <c r="A28" t="s">
        <v>43</v>
      </c>
      <c r="B28" t="s">
        <v>15</v>
      </c>
      <c r="C28">
        <v>0</v>
      </c>
      <c r="D28">
        <v>3</v>
      </c>
      <c r="E28">
        <v>4</v>
      </c>
      <c r="F28">
        <v>0</v>
      </c>
      <c r="G28">
        <v>1</v>
      </c>
      <c r="H28">
        <v>3</v>
      </c>
      <c r="I28">
        <v>11</v>
      </c>
      <c r="J28">
        <v>1</v>
      </c>
      <c r="K28">
        <v>4</v>
      </c>
      <c r="L28">
        <v>0</v>
      </c>
    </row>
    <row r="29" spans="1:12" x14ac:dyDescent="0.2">
      <c r="A29" t="s">
        <v>44</v>
      </c>
      <c r="B29" t="s">
        <v>34</v>
      </c>
      <c r="C29">
        <v>0</v>
      </c>
      <c r="D29">
        <v>3</v>
      </c>
      <c r="E29">
        <v>0</v>
      </c>
      <c r="F29">
        <v>1</v>
      </c>
      <c r="G29">
        <v>1</v>
      </c>
      <c r="H29">
        <v>1</v>
      </c>
      <c r="I29">
        <v>3</v>
      </c>
      <c r="J29">
        <v>6</v>
      </c>
      <c r="K29">
        <v>3</v>
      </c>
      <c r="L29">
        <v>0</v>
      </c>
    </row>
    <row r="30" spans="1:12" x14ac:dyDescent="0.2">
      <c r="A30" t="s">
        <v>45</v>
      </c>
      <c r="B30" t="s">
        <v>34</v>
      </c>
      <c r="C30">
        <v>0</v>
      </c>
      <c r="D30">
        <v>7</v>
      </c>
      <c r="E30">
        <v>0</v>
      </c>
      <c r="F30">
        <v>1</v>
      </c>
      <c r="G30">
        <v>1</v>
      </c>
      <c r="H30">
        <v>0</v>
      </c>
      <c r="I30">
        <v>7</v>
      </c>
      <c r="J30">
        <v>7</v>
      </c>
      <c r="K30">
        <v>7</v>
      </c>
      <c r="L30">
        <v>0</v>
      </c>
    </row>
    <row r="31" spans="1:12" x14ac:dyDescent="0.2">
      <c r="A31" t="s">
        <v>46</v>
      </c>
      <c r="B31" t="s">
        <v>32</v>
      </c>
      <c r="C31">
        <v>0</v>
      </c>
      <c r="D31">
        <v>9</v>
      </c>
      <c r="E31">
        <v>36</v>
      </c>
      <c r="F31">
        <v>1</v>
      </c>
      <c r="G31">
        <v>0.125</v>
      </c>
      <c r="H31">
        <v>1</v>
      </c>
      <c r="I31">
        <v>10</v>
      </c>
      <c r="J31">
        <v>3</v>
      </c>
      <c r="K31">
        <v>9</v>
      </c>
      <c r="L31">
        <v>0</v>
      </c>
    </row>
    <row r="32" spans="1:12" x14ac:dyDescent="0.2">
      <c r="A32" t="s">
        <v>47</v>
      </c>
      <c r="B32" t="s">
        <v>48</v>
      </c>
      <c r="C32">
        <v>19</v>
      </c>
      <c r="D32">
        <v>25</v>
      </c>
      <c r="E32">
        <v>690</v>
      </c>
      <c r="F32">
        <v>1</v>
      </c>
      <c r="G32">
        <v>0.125</v>
      </c>
      <c r="H32">
        <v>28</v>
      </c>
      <c r="I32">
        <v>159</v>
      </c>
      <c r="J32">
        <v>8</v>
      </c>
      <c r="K32">
        <v>57</v>
      </c>
      <c r="L32">
        <v>1</v>
      </c>
    </row>
    <row r="33" spans="1:12" x14ac:dyDescent="0.2">
      <c r="A33" t="s">
        <v>49</v>
      </c>
      <c r="B33" t="s">
        <v>48</v>
      </c>
      <c r="C33">
        <v>0</v>
      </c>
      <c r="D33">
        <v>2</v>
      </c>
      <c r="E33">
        <v>0</v>
      </c>
      <c r="F33">
        <v>1</v>
      </c>
      <c r="G33">
        <v>1</v>
      </c>
      <c r="H33">
        <v>21</v>
      </c>
      <c r="I33">
        <v>128</v>
      </c>
      <c r="J33">
        <v>2</v>
      </c>
      <c r="K33">
        <v>19</v>
      </c>
      <c r="L33">
        <v>1</v>
      </c>
    </row>
    <row r="34" spans="1:12" x14ac:dyDescent="0.2">
      <c r="A34" t="s">
        <v>50</v>
      </c>
      <c r="B34" t="s">
        <v>32</v>
      </c>
      <c r="C34">
        <v>10</v>
      </c>
      <c r="D34">
        <v>2</v>
      </c>
      <c r="E34">
        <v>0</v>
      </c>
      <c r="F34">
        <v>1</v>
      </c>
      <c r="G34">
        <v>1</v>
      </c>
      <c r="H34">
        <v>1</v>
      </c>
      <c r="I34">
        <v>41</v>
      </c>
      <c r="J34">
        <v>3</v>
      </c>
      <c r="K34">
        <v>33</v>
      </c>
      <c r="L34">
        <v>0</v>
      </c>
    </row>
    <row r="35" spans="1:12" x14ac:dyDescent="0.2">
      <c r="A35" t="s">
        <v>51</v>
      </c>
      <c r="B35" t="s">
        <v>32</v>
      </c>
      <c r="C35">
        <v>0</v>
      </c>
      <c r="D35">
        <v>10</v>
      </c>
      <c r="E35">
        <v>3</v>
      </c>
      <c r="F35">
        <v>1</v>
      </c>
      <c r="G35">
        <v>0.5</v>
      </c>
      <c r="H35">
        <v>1</v>
      </c>
      <c r="I35">
        <v>16</v>
      </c>
      <c r="J35">
        <v>3</v>
      </c>
      <c r="K35">
        <v>11</v>
      </c>
      <c r="L35">
        <v>0</v>
      </c>
    </row>
    <row r="36" spans="1:12" x14ac:dyDescent="0.2">
      <c r="A36" t="s">
        <v>52</v>
      </c>
      <c r="B36" t="s">
        <v>32</v>
      </c>
      <c r="C36">
        <v>2</v>
      </c>
      <c r="D36">
        <v>7</v>
      </c>
      <c r="E36">
        <v>0</v>
      </c>
      <c r="F36">
        <v>3</v>
      </c>
      <c r="G36">
        <v>1</v>
      </c>
      <c r="H36">
        <v>0</v>
      </c>
      <c r="I36">
        <v>12</v>
      </c>
      <c r="J36">
        <v>2</v>
      </c>
      <c r="K36">
        <v>7</v>
      </c>
      <c r="L36">
        <v>0</v>
      </c>
    </row>
    <row r="37" spans="1:12" x14ac:dyDescent="0.2">
      <c r="A37" t="s">
        <v>53</v>
      </c>
      <c r="B37" t="s">
        <v>34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4</v>
      </c>
      <c r="K37">
        <v>1</v>
      </c>
      <c r="L37">
        <v>0</v>
      </c>
    </row>
    <row r="38" spans="1:12" x14ac:dyDescent="0.2">
      <c r="A38" t="s">
        <v>54</v>
      </c>
      <c r="B38" t="s">
        <v>48</v>
      </c>
      <c r="C38">
        <v>0</v>
      </c>
      <c r="D38">
        <v>3</v>
      </c>
      <c r="E38">
        <v>0</v>
      </c>
      <c r="F38">
        <v>1</v>
      </c>
      <c r="G38">
        <v>1</v>
      </c>
      <c r="H38">
        <v>9</v>
      </c>
      <c r="I38">
        <v>37</v>
      </c>
      <c r="J38">
        <v>2</v>
      </c>
      <c r="K38">
        <v>4</v>
      </c>
      <c r="L38">
        <v>0</v>
      </c>
    </row>
    <row r="39" spans="1:12" x14ac:dyDescent="0.2">
      <c r="A39" t="s">
        <v>55</v>
      </c>
      <c r="B39" t="s">
        <v>13</v>
      </c>
      <c r="C39">
        <v>0</v>
      </c>
      <c r="D39">
        <v>6</v>
      </c>
      <c r="E39">
        <v>15</v>
      </c>
      <c r="F39">
        <v>0</v>
      </c>
      <c r="G39">
        <v>0.2</v>
      </c>
      <c r="H39">
        <v>8</v>
      </c>
      <c r="I39">
        <v>30</v>
      </c>
      <c r="J39">
        <v>2</v>
      </c>
      <c r="K39">
        <v>6</v>
      </c>
      <c r="L39">
        <v>0</v>
      </c>
    </row>
    <row r="40" spans="1:12" x14ac:dyDescent="0.2">
      <c r="A40" t="s">
        <v>56</v>
      </c>
      <c r="B40" t="s">
        <v>13</v>
      </c>
      <c r="C40">
        <v>0</v>
      </c>
      <c r="D40">
        <v>0</v>
      </c>
      <c r="E40">
        <v>0</v>
      </c>
      <c r="F40">
        <v>0</v>
      </c>
      <c r="G40">
        <v>1</v>
      </c>
      <c r="H40">
        <v>4</v>
      </c>
      <c r="I40">
        <v>4</v>
      </c>
      <c r="J40">
        <v>1</v>
      </c>
      <c r="K40">
        <v>2</v>
      </c>
      <c r="L40">
        <v>0</v>
      </c>
    </row>
    <row r="41" spans="1:12" x14ac:dyDescent="0.2">
      <c r="A41" t="s">
        <v>57</v>
      </c>
      <c r="B41" t="s">
        <v>13</v>
      </c>
      <c r="C41">
        <v>0</v>
      </c>
      <c r="D41">
        <v>3</v>
      </c>
      <c r="E41">
        <v>0</v>
      </c>
      <c r="F41">
        <v>0</v>
      </c>
      <c r="G41">
        <v>1</v>
      </c>
      <c r="H41">
        <v>7</v>
      </c>
      <c r="I41">
        <v>17</v>
      </c>
      <c r="J41">
        <v>1</v>
      </c>
      <c r="K41">
        <v>6</v>
      </c>
      <c r="L41">
        <v>0</v>
      </c>
    </row>
    <row r="42" spans="1:12" x14ac:dyDescent="0.2">
      <c r="A42" t="s">
        <v>58</v>
      </c>
      <c r="B42" t="s">
        <v>13</v>
      </c>
      <c r="C42">
        <v>0</v>
      </c>
      <c r="D42">
        <v>0</v>
      </c>
      <c r="E42">
        <v>0</v>
      </c>
      <c r="F42">
        <v>0</v>
      </c>
      <c r="G42">
        <v>1</v>
      </c>
      <c r="H42">
        <v>4</v>
      </c>
      <c r="I42">
        <v>3</v>
      </c>
      <c r="J42">
        <v>2</v>
      </c>
      <c r="K42">
        <v>1</v>
      </c>
      <c r="L42">
        <v>0</v>
      </c>
    </row>
    <row r="43" spans="1:12" x14ac:dyDescent="0.2">
      <c r="A43" t="s">
        <v>59</v>
      </c>
      <c r="B43" t="s">
        <v>13</v>
      </c>
      <c r="C43">
        <v>0</v>
      </c>
      <c r="D43">
        <v>0</v>
      </c>
      <c r="E43">
        <v>1</v>
      </c>
      <c r="F43">
        <v>0</v>
      </c>
      <c r="G43">
        <v>1</v>
      </c>
      <c r="H43">
        <v>3</v>
      </c>
      <c r="I43">
        <v>5</v>
      </c>
      <c r="J43">
        <v>1</v>
      </c>
      <c r="K43">
        <v>2</v>
      </c>
      <c r="L43">
        <v>0</v>
      </c>
    </row>
    <row r="44" spans="1:12" x14ac:dyDescent="0.2">
      <c r="A44" t="s">
        <v>60</v>
      </c>
      <c r="B44" t="s">
        <v>18</v>
      </c>
      <c r="C44">
        <v>1</v>
      </c>
      <c r="D44">
        <v>31</v>
      </c>
      <c r="E44">
        <v>620</v>
      </c>
      <c r="F44">
        <v>1</v>
      </c>
      <c r="G44">
        <v>0.16700000000000001</v>
      </c>
      <c r="H44">
        <v>27</v>
      </c>
      <c r="I44">
        <v>117</v>
      </c>
      <c r="J44">
        <v>1</v>
      </c>
      <c r="K44">
        <v>49</v>
      </c>
      <c r="L44">
        <v>0</v>
      </c>
    </row>
    <row r="45" spans="1:12" x14ac:dyDescent="0.2">
      <c r="A45" t="s">
        <v>61</v>
      </c>
      <c r="B45" t="s">
        <v>18</v>
      </c>
      <c r="C45">
        <v>0</v>
      </c>
      <c r="D45">
        <v>0</v>
      </c>
      <c r="E45">
        <v>0</v>
      </c>
      <c r="F45">
        <v>1</v>
      </c>
      <c r="G45">
        <v>1</v>
      </c>
      <c r="H45">
        <v>3</v>
      </c>
      <c r="I45">
        <v>6</v>
      </c>
      <c r="J45">
        <v>1</v>
      </c>
      <c r="K45">
        <v>3</v>
      </c>
      <c r="L45">
        <v>0</v>
      </c>
    </row>
    <row r="46" spans="1:12" x14ac:dyDescent="0.2">
      <c r="A46" t="s">
        <v>62</v>
      </c>
      <c r="B46" t="s">
        <v>15</v>
      </c>
      <c r="C46">
        <v>3</v>
      </c>
      <c r="D46">
        <v>3</v>
      </c>
      <c r="E46">
        <v>0</v>
      </c>
      <c r="F46">
        <v>1</v>
      </c>
      <c r="G46">
        <v>1</v>
      </c>
      <c r="H46">
        <v>4</v>
      </c>
      <c r="I46">
        <v>21</v>
      </c>
      <c r="J46">
        <v>2</v>
      </c>
      <c r="K46">
        <v>3</v>
      </c>
      <c r="L46">
        <v>0</v>
      </c>
    </row>
    <row r="47" spans="1:12" x14ac:dyDescent="0.2">
      <c r="A47" t="s">
        <v>63</v>
      </c>
      <c r="B47" t="s">
        <v>15</v>
      </c>
      <c r="C47">
        <v>2</v>
      </c>
      <c r="D47">
        <v>5</v>
      </c>
      <c r="E47">
        <v>0</v>
      </c>
      <c r="F47">
        <v>1</v>
      </c>
      <c r="G47">
        <v>1</v>
      </c>
      <c r="H47">
        <v>1</v>
      </c>
      <c r="I47">
        <v>11</v>
      </c>
      <c r="J47">
        <v>1</v>
      </c>
      <c r="K47">
        <v>5</v>
      </c>
      <c r="L47">
        <v>0</v>
      </c>
    </row>
    <row r="48" spans="1:12" x14ac:dyDescent="0.2">
      <c r="A48" t="s">
        <v>64</v>
      </c>
      <c r="B48" t="s">
        <v>34</v>
      </c>
      <c r="C48">
        <v>0</v>
      </c>
      <c r="D48">
        <v>2</v>
      </c>
      <c r="E48">
        <v>0</v>
      </c>
      <c r="F48">
        <v>1</v>
      </c>
      <c r="G48">
        <v>1</v>
      </c>
      <c r="H48">
        <v>3</v>
      </c>
      <c r="I48">
        <v>2</v>
      </c>
      <c r="J48">
        <v>3</v>
      </c>
      <c r="K48">
        <v>2</v>
      </c>
      <c r="L48">
        <v>0</v>
      </c>
    </row>
    <row r="49" spans="1:12" x14ac:dyDescent="0.2">
      <c r="A49" t="s">
        <v>65</v>
      </c>
      <c r="B49" t="s">
        <v>15</v>
      </c>
      <c r="C49">
        <v>0</v>
      </c>
      <c r="D49">
        <v>3</v>
      </c>
      <c r="E49">
        <v>0</v>
      </c>
      <c r="F49">
        <v>1</v>
      </c>
      <c r="G49">
        <v>1</v>
      </c>
      <c r="H49">
        <v>4</v>
      </c>
      <c r="I49">
        <v>19</v>
      </c>
      <c r="J49">
        <v>1</v>
      </c>
      <c r="K49">
        <v>4</v>
      </c>
      <c r="L49">
        <v>0</v>
      </c>
    </row>
    <row r="50" spans="1:12" x14ac:dyDescent="0.2">
      <c r="A50" t="s">
        <v>66</v>
      </c>
      <c r="B50" t="s">
        <v>15</v>
      </c>
      <c r="C50">
        <v>0</v>
      </c>
      <c r="D50">
        <v>1</v>
      </c>
      <c r="E50">
        <v>0</v>
      </c>
      <c r="F50">
        <v>1</v>
      </c>
      <c r="G50">
        <v>1</v>
      </c>
      <c r="H50">
        <v>3</v>
      </c>
      <c r="I50">
        <v>7</v>
      </c>
      <c r="J50">
        <v>1</v>
      </c>
      <c r="K50">
        <v>3</v>
      </c>
      <c r="L50">
        <v>0</v>
      </c>
    </row>
    <row r="51" spans="1:12" x14ac:dyDescent="0.2">
      <c r="A51" t="s">
        <v>67</v>
      </c>
      <c r="B51" t="s">
        <v>15</v>
      </c>
      <c r="C51">
        <v>0</v>
      </c>
      <c r="D51">
        <v>0</v>
      </c>
      <c r="E51">
        <v>26</v>
      </c>
      <c r="F51">
        <v>1</v>
      </c>
      <c r="G51">
        <v>0.33300000000000002</v>
      </c>
      <c r="H51">
        <v>2</v>
      </c>
      <c r="I51">
        <v>44</v>
      </c>
      <c r="J51">
        <v>1</v>
      </c>
      <c r="K51">
        <v>9</v>
      </c>
      <c r="L51">
        <v>0</v>
      </c>
    </row>
    <row r="52" spans="1:12" x14ac:dyDescent="0.2">
      <c r="A52" t="s">
        <v>68</v>
      </c>
      <c r="B52" t="s">
        <v>15</v>
      </c>
      <c r="C52">
        <v>0</v>
      </c>
      <c r="D52">
        <v>0</v>
      </c>
      <c r="E52">
        <v>0</v>
      </c>
      <c r="F52">
        <v>3</v>
      </c>
      <c r="G52">
        <v>1</v>
      </c>
      <c r="H52">
        <v>0</v>
      </c>
      <c r="I52">
        <v>3</v>
      </c>
      <c r="J52">
        <v>1</v>
      </c>
      <c r="K52">
        <v>2</v>
      </c>
      <c r="L52">
        <v>0</v>
      </c>
    </row>
    <row r="53" spans="1:12" x14ac:dyDescent="0.2">
      <c r="A53" t="s">
        <v>69</v>
      </c>
      <c r="B53" t="s">
        <v>13</v>
      </c>
      <c r="C53">
        <v>0</v>
      </c>
      <c r="D53">
        <v>30</v>
      </c>
      <c r="E53">
        <v>264</v>
      </c>
      <c r="F53">
        <v>1</v>
      </c>
      <c r="G53">
        <v>0.125</v>
      </c>
      <c r="H53">
        <v>18</v>
      </c>
      <c r="I53">
        <v>82</v>
      </c>
      <c r="J53">
        <v>2</v>
      </c>
      <c r="K53">
        <v>31</v>
      </c>
      <c r="L53">
        <v>0</v>
      </c>
    </row>
    <row r="54" spans="1:12" x14ac:dyDescent="0.2">
      <c r="A54" t="s">
        <v>70</v>
      </c>
      <c r="B54" t="s">
        <v>13</v>
      </c>
      <c r="C54">
        <v>0</v>
      </c>
      <c r="D54">
        <v>2</v>
      </c>
      <c r="E54">
        <v>3</v>
      </c>
      <c r="F54">
        <v>0</v>
      </c>
      <c r="G54">
        <v>1</v>
      </c>
      <c r="H54">
        <v>6</v>
      </c>
      <c r="I54">
        <v>16</v>
      </c>
      <c r="J54">
        <v>2</v>
      </c>
      <c r="K54">
        <v>3</v>
      </c>
      <c r="L54">
        <v>0</v>
      </c>
    </row>
    <row r="55" spans="1:12" x14ac:dyDescent="0.2">
      <c r="A55" t="s">
        <v>71</v>
      </c>
      <c r="B55" t="s">
        <v>13</v>
      </c>
      <c r="C55">
        <v>0</v>
      </c>
      <c r="D55">
        <v>1</v>
      </c>
      <c r="E55">
        <v>0</v>
      </c>
      <c r="F55">
        <v>0</v>
      </c>
      <c r="G55">
        <v>1</v>
      </c>
      <c r="H55">
        <v>3</v>
      </c>
      <c r="I55">
        <v>3</v>
      </c>
      <c r="J55">
        <v>0</v>
      </c>
      <c r="K55">
        <v>1</v>
      </c>
      <c r="L55">
        <v>0</v>
      </c>
    </row>
    <row r="56" spans="1:12" x14ac:dyDescent="0.2">
      <c r="A56" t="s">
        <v>72</v>
      </c>
      <c r="B56" t="s">
        <v>15</v>
      </c>
      <c r="C56">
        <v>0</v>
      </c>
      <c r="D56">
        <v>0</v>
      </c>
      <c r="E56">
        <v>53</v>
      </c>
      <c r="F56">
        <v>1</v>
      </c>
      <c r="G56">
        <v>0.111</v>
      </c>
      <c r="H56">
        <v>1</v>
      </c>
      <c r="I56">
        <v>20</v>
      </c>
      <c r="J56">
        <v>2</v>
      </c>
      <c r="K56">
        <v>11</v>
      </c>
      <c r="L56">
        <v>1</v>
      </c>
    </row>
    <row r="57" spans="1:12" x14ac:dyDescent="0.2">
      <c r="A57" t="s">
        <v>73</v>
      </c>
      <c r="B57" t="s">
        <v>15</v>
      </c>
      <c r="C57">
        <v>0</v>
      </c>
      <c r="D57">
        <v>0</v>
      </c>
      <c r="E57">
        <v>36</v>
      </c>
      <c r="F57">
        <v>0</v>
      </c>
      <c r="G57">
        <v>0.125</v>
      </c>
      <c r="H57">
        <v>9</v>
      </c>
      <c r="I57">
        <v>23</v>
      </c>
      <c r="J57">
        <v>9</v>
      </c>
      <c r="K57">
        <v>9</v>
      </c>
      <c r="L57">
        <v>0</v>
      </c>
    </row>
    <row r="58" spans="1:12" x14ac:dyDescent="0.2">
      <c r="A58" t="s">
        <v>74</v>
      </c>
      <c r="B58" t="s">
        <v>15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5</v>
      </c>
      <c r="J58">
        <v>1</v>
      </c>
      <c r="K58">
        <v>2</v>
      </c>
      <c r="L58">
        <v>0</v>
      </c>
    </row>
    <row r="59" spans="1:12" x14ac:dyDescent="0.2">
      <c r="A59" t="s">
        <v>75</v>
      </c>
      <c r="B59" t="s">
        <v>15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4</v>
      </c>
      <c r="J59">
        <v>1</v>
      </c>
      <c r="K59">
        <v>2</v>
      </c>
      <c r="L59">
        <v>0</v>
      </c>
    </row>
    <row r="60" spans="1:12" x14ac:dyDescent="0.2">
      <c r="A60" t="s">
        <v>76</v>
      </c>
      <c r="B60" t="s">
        <v>15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4</v>
      </c>
      <c r="J60">
        <v>1</v>
      </c>
      <c r="K60">
        <v>2</v>
      </c>
      <c r="L60">
        <v>0</v>
      </c>
    </row>
    <row r="61" spans="1:12" x14ac:dyDescent="0.2">
      <c r="A61" t="s">
        <v>77</v>
      </c>
      <c r="B61" t="s">
        <v>15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4</v>
      </c>
      <c r="J61">
        <v>1</v>
      </c>
      <c r="K61">
        <v>2</v>
      </c>
      <c r="L61">
        <v>0</v>
      </c>
    </row>
    <row r="62" spans="1:12" x14ac:dyDescent="0.2">
      <c r="A62" t="s">
        <v>78</v>
      </c>
      <c r="B62" t="s">
        <v>15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4</v>
      </c>
      <c r="J62">
        <v>1</v>
      </c>
      <c r="K62">
        <v>2</v>
      </c>
      <c r="L62">
        <v>0</v>
      </c>
    </row>
    <row r="63" spans="1:12" x14ac:dyDescent="0.2">
      <c r="A63" t="s">
        <v>79</v>
      </c>
      <c r="B63" t="s">
        <v>15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5</v>
      </c>
      <c r="J63">
        <v>1</v>
      </c>
      <c r="K63">
        <v>2</v>
      </c>
      <c r="L63">
        <v>0</v>
      </c>
    </row>
    <row r="64" spans="1:12" x14ac:dyDescent="0.2">
      <c r="A64" t="s">
        <v>80</v>
      </c>
      <c r="B64" t="s">
        <v>15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5</v>
      </c>
      <c r="J64">
        <v>1</v>
      </c>
      <c r="K64">
        <v>2</v>
      </c>
      <c r="L64">
        <v>0</v>
      </c>
    </row>
    <row r="65" spans="1:12" x14ac:dyDescent="0.2">
      <c r="A65" t="s">
        <v>81</v>
      </c>
      <c r="B65" t="s">
        <v>15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5</v>
      </c>
      <c r="J65">
        <v>1</v>
      </c>
      <c r="K65">
        <v>2</v>
      </c>
      <c r="L65">
        <v>0</v>
      </c>
    </row>
    <row r="66" spans="1:12" x14ac:dyDescent="0.2">
      <c r="A66" t="s">
        <v>82</v>
      </c>
      <c r="B66" t="s">
        <v>13</v>
      </c>
      <c r="C66">
        <v>0</v>
      </c>
      <c r="D66">
        <v>4</v>
      </c>
      <c r="E66">
        <v>0</v>
      </c>
      <c r="F66">
        <v>0</v>
      </c>
      <c r="G66">
        <v>1</v>
      </c>
      <c r="H66">
        <v>8</v>
      </c>
      <c r="I66">
        <v>15</v>
      </c>
      <c r="J66">
        <v>1</v>
      </c>
      <c r="K66">
        <v>5</v>
      </c>
      <c r="L66">
        <v>0</v>
      </c>
    </row>
    <row r="67" spans="1:12" x14ac:dyDescent="0.2">
      <c r="A67" t="s">
        <v>83</v>
      </c>
      <c r="B67" t="s">
        <v>15</v>
      </c>
      <c r="C67">
        <v>0</v>
      </c>
      <c r="D67">
        <v>5</v>
      </c>
      <c r="E67">
        <v>2</v>
      </c>
      <c r="F67">
        <v>3</v>
      </c>
      <c r="G67">
        <v>0.5</v>
      </c>
      <c r="H67">
        <v>0</v>
      </c>
      <c r="I67">
        <v>9</v>
      </c>
      <c r="J67">
        <v>1</v>
      </c>
      <c r="K67">
        <v>5</v>
      </c>
      <c r="L67">
        <v>0</v>
      </c>
    </row>
    <row r="68" spans="1:12" x14ac:dyDescent="0.2">
      <c r="A68" t="s">
        <v>84</v>
      </c>
      <c r="B68" t="s">
        <v>13</v>
      </c>
      <c r="C68">
        <v>0</v>
      </c>
      <c r="D68">
        <v>19</v>
      </c>
      <c r="E68">
        <v>63</v>
      </c>
      <c r="F68">
        <v>0</v>
      </c>
      <c r="G68">
        <v>0.33300000000000002</v>
      </c>
      <c r="H68">
        <v>13</v>
      </c>
      <c r="I68">
        <v>65</v>
      </c>
      <c r="J68">
        <v>2</v>
      </c>
      <c r="K68">
        <v>26</v>
      </c>
      <c r="L68">
        <v>0</v>
      </c>
    </row>
    <row r="69" spans="1:12" x14ac:dyDescent="0.2">
      <c r="A69" t="s">
        <v>85</v>
      </c>
      <c r="B69" t="s">
        <v>32</v>
      </c>
      <c r="C69">
        <v>0</v>
      </c>
      <c r="D69">
        <v>8</v>
      </c>
      <c r="E69">
        <v>34</v>
      </c>
      <c r="F69">
        <v>1</v>
      </c>
      <c r="G69">
        <v>0.16700000000000001</v>
      </c>
      <c r="H69">
        <v>6</v>
      </c>
      <c r="I69">
        <v>15</v>
      </c>
      <c r="J69">
        <v>9</v>
      </c>
      <c r="K69">
        <v>11</v>
      </c>
      <c r="L69">
        <v>1</v>
      </c>
    </row>
    <row r="70" spans="1:12" x14ac:dyDescent="0.2">
      <c r="A70" t="s">
        <v>86</v>
      </c>
      <c r="B70" t="s">
        <v>15</v>
      </c>
      <c r="C70">
        <v>0</v>
      </c>
      <c r="D70">
        <v>4</v>
      </c>
      <c r="E70">
        <v>10</v>
      </c>
      <c r="F70">
        <v>0</v>
      </c>
      <c r="G70">
        <v>0.25</v>
      </c>
      <c r="H70">
        <v>6</v>
      </c>
      <c r="I70">
        <v>9</v>
      </c>
      <c r="J70">
        <v>0</v>
      </c>
      <c r="K70">
        <v>5</v>
      </c>
      <c r="L70">
        <v>0</v>
      </c>
    </row>
    <row r="71" spans="1:12" x14ac:dyDescent="0.2">
      <c r="A71" t="s">
        <v>87</v>
      </c>
      <c r="B71" t="s">
        <v>13</v>
      </c>
      <c r="C71">
        <v>0</v>
      </c>
      <c r="D71">
        <v>1</v>
      </c>
      <c r="E71">
        <v>0</v>
      </c>
      <c r="F71">
        <v>0</v>
      </c>
      <c r="G71">
        <v>1</v>
      </c>
      <c r="H71">
        <v>3</v>
      </c>
      <c r="I71">
        <v>3</v>
      </c>
      <c r="J71">
        <v>0</v>
      </c>
      <c r="K71">
        <v>1</v>
      </c>
      <c r="L71">
        <v>0</v>
      </c>
    </row>
    <row r="72" spans="1:12" x14ac:dyDescent="0.2">
      <c r="A72" t="s">
        <v>88</v>
      </c>
      <c r="B72" t="s">
        <v>13</v>
      </c>
      <c r="C72">
        <v>0</v>
      </c>
      <c r="D72">
        <v>4</v>
      </c>
      <c r="E72">
        <v>6</v>
      </c>
      <c r="F72">
        <v>0</v>
      </c>
      <c r="G72">
        <v>0.33300000000000002</v>
      </c>
      <c r="H72">
        <v>8</v>
      </c>
      <c r="I72">
        <v>13</v>
      </c>
      <c r="J72">
        <v>0</v>
      </c>
      <c r="K72">
        <v>4</v>
      </c>
      <c r="L72">
        <v>0</v>
      </c>
    </row>
    <row r="73" spans="1:12" x14ac:dyDescent="0.2">
      <c r="A73" t="s">
        <v>89</v>
      </c>
      <c r="B73" t="s">
        <v>13</v>
      </c>
      <c r="C73">
        <v>0</v>
      </c>
      <c r="D73">
        <v>2</v>
      </c>
      <c r="E73">
        <v>1</v>
      </c>
      <c r="F73">
        <v>1</v>
      </c>
      <c r="G73">
        <v>1</v>
      </c>
      <c r="H73">
        <v>5</v>
      </c>
      <c r="I73">
        <v>11</v>
      </c>
      <c r="J73">
        <v>0</v>
      </c>
      <c r="K73">
        <v>2</v>
      </c>
      <c r="L73">
        <v>0</v>
      </c>
    </row>
    <row r="74" spans="1:12" x14ac:dyDescent="0.2">
      <c r="A74" t="s">
        <v>90</v>
      </c>
      <c r="B74" t="s">
        <v>13</v>
      </c>
      <c r="C74">
        <v>0</v>
      </c>
      <c r="D74">
        <v>7</v>
      </c>
      <c r="E74">
        <v>7</v>
      </c>
      <c r="F74">
        <v>0</v>
      </c>
      <c r="G74">
        <v>0.33300000000000002</v>
      </c>
      <c r="H74">
        <v>11</v>
      </c>
      <c r="I74">
        <v>46</v>
      </c>
      <c r="J74">
        <v>0</v>
      </c>
      <c r="K74">
        <v>7</v>
      </c>
      <c r="L74">
        <v>0</v>
      </c>
    </row>
    <row r="75" spans="1:12" x14ac:dyDescent="0.2">
      <c r="A75" t="s">
        <v>91</v>
      </c>
      <c r="B75" t="s">
        <v>13</v>
      </c>
      <c r="C75">
        <v>0</v>
      </c>
      <c r="D75">
        <v>3</v>
      </c>
      <c r="E75">
        <v>3</v>
      </c>
      <c r="F75">
        <v>1</v>
      </c>
      <c r="G75">
        <v>1</v>
      </c>
      <c r="H75">
        <v>1</v>
      </c>
      <c r="I75">
        <v>16</v>
      </c>
      <c r="J75">
        <v>0</v>
      </c>
      <c r="K75">
        <v>3</v>
      </c>
      <c r="L75">
        <v>0</v>
      </c>
    </row>
    <row r="76" spans="1:12" x14ac:dyDescent="0.2">
      <c r="A76" t="s">
        <v>92</v>
      </c>
      <c r="B76" t="s">
        <v>13</v>
      </c>
      <c r="C76">
        <v>0</v>
      </c>
      <c r="D76">
        <v>3</v>
      </c>
      <c r="E76">
        <v>3</v>
      </c>
      <c r="F76">
        <v>1</v>
      </c>
      <c r="G76">
        <v>1</v>
      </c>
      <c r="H76">
        <v>2</v>
      </c>
      <c r="I76">
        <v>17</v>
      </c>
      <c r="J76">
        <v>0</v>
      </c>
      <c r="K76">
        <v>3</v>
      </c>
      <c r="L7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2DF8-4415-4F42-8129-4E094FF7F908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93</v>
      </c>
      <c r="S4" s="7"/>
      <c r="T4" s="8" t="s">
        <v>94</v>
      </c>
      <c r="U4" s="8" t="s">
        <v>95</v>
      </c>
      <c r="V4" s="8" t="s">
        <v>96</v>
      </c>
      <c r="W4" s="8" t="s">
        <v>97</v>
      </c>
    </row>
    <row r="5" spans="2:23" x14ac:dyDescent="0.2">
      <c r="B5" s="1"/>
      <c r="C5" s="9" t="s">
        <v>48</v>
      </c>
      <c r="D5" s="9" t="s">
        <v>13</v>
      </c>
      <c r="E5" s="9" t="s">
        <v>32</v>
      </c>
      <c r="F5" s="9" t="s">
        <v>18</v>
      </c>
      <c r="G5" s="9" t="s">
        <v>15</v>
      </c>
      <c r="H5" s="9" t="s">
        <v>98</v>
      </c>
      <c r="J5" s="1"/>
      <c r="K5" s="9" t="s">
        <v>48</v>
      </c>
      <c r="L5" s="9" t="s">
        <v>13</v>
      </c>
      <c r="M5" s="9" t="s">
        <v>32</v>
      </c>
      <c r="N5" s="9" t="s">
        <v>18</v>
      </c>
      <c r="O5" s="9" t="s">
        <v>15</v>
      </c>
      <c r="P5" s="9" t="s">
        <v>98</v>
      </c>
      <c r="R5" s="10">
        <v>1</v>
      </c>
      <c r="S5" s="10" t="s">
        <v>2</v>
      </c>
      <c r="T5" s="10">
        <v>0</v>
      </c>
      <c r="U5" s="10" t="s">
        <v>99</v>
      </c>
      <c r="V5" s="10" t="s">
        <v>100</v>
      </c>
      <c r="W5" s="10" t="s">
        <v>101</v>
      </c>
    </row>
    <row r="6" spans="2:23" x14ac:dyDescent="0.2">
      <c r="B6" s="11" t="s">
        <v>94</v>
      </c>
      <c r="C6" s="12">
        <f>COUNTIFS(metricas!C2:C10000,"=0",metricas!B2:B10000,"LSCC")</f>
        <v>2</v>
      </c>
      <c r="D6" s="12">
        <f>COUNTIFS(metricas!C2:C10000,"=0",metricas!B2:B10000,"IN")</f>
        <v>24</v>
      </c>
      <c r="E6" s="12">
        <f>COUNTIFS(metricas!C2:C10000,"=0",metricas!B2:B10000,"OUT")</f>
        <v>6</v>
      </c>
      <c r="F6" s="12">
        <f>COUNTIFS(metricas!C2:C10000,"=0",metricas!B2:B10000,"TUBES")</f>
        <v>4</v>
      </c>
      <c r="G6" s="12">
        <f>COUNTIFS(metricas!C2:C10000,"=0",metricas!B2:B10000,"TENDRILS")</f>
        <v>20</v>
      </c>
      <c r="H6" s="12">
        <f>COUNTIFS(metricas!C2:C10000,"=0",metricas!B2:B10000,"DISCONNECTED")</f>
        <v>5</v>
      </c>
      <c r="J6" s="11" t="s">
        <v>94</v>
      </c>
      <c r="K6" s="13">
        <f>COUNTIFS(metricas!H2:H10000,"&lt;=7",metricas!B2:B10000,"LSCC")</f>
        <v>0</v>
      </c>
      <c r="L6" s="13">
        <f>COUNTIFS(metricas!H2:H10000,"&lt;=7",metricas!B2:B10000,"IN")</f>
        <v>16</v>
      </c>
      <c r="M6" s="13">
        <f>COUNTIFS(metricas!H2:H10000,"&lt;=7",metricas!B2:B10000,"OUT")</f>
        <v>12</v>
      </c>
      <c r="N6" s="13">
        <f>COUNTIFS(metricas!H2:H10000,"&lt;=7",metricas!B2:B10000,"TUBES")</f>
        <v>2</v>
      </c>
      <c r="O6" s="13">
        <f>COUNTIFS(metricas!H2:H10000,"&lt;=7",metricas!B2:B10000,"TENDRILS")</f>
        <v>22</v>
      </c>
      <c r="P6" s="13">
        <f>COUNTIFS(metricas!H2:H10000,"&lt;=7",metricas!B2:B10000,"DISCONNECTED")</f>
        <v>5</v>
      </c>
      <c r="R6" s="10">
        <v>2</v>
      </c>
      <c r="S6" s="10" t="s">
        <v>3</v>
      </c>
      <c r="T6" s="10" t="s">
        <v>102</v>
      </c>
      <c r="U6" s="10" t="s">
        <v>103</v>
      </c>
      <c r="V6" s="10" t="s">
        <v>104</v>
      </c>
      <c r="W6" s="10" t="s">
        <v>101</v>
      </c>
    </row>
    <row r="7" spans="2:23" ht="15" x14ac:dyDescent="0.25">
      <c r="B7" s="11" t="s">
        <v>95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1</v>
      </c>
      <c r="E7" s="11">
        <f>COUNTIFS(metricas!C2:C10000,"&gt;=1",metricas!C2:C10000,"&lt;=10",metricas!B2:B10000,"OUT")</f>
        <v>4</v>
      </c>
      <c r="F7" s="11">
        <f>COUNTIFS(metricas!C2:C10000,"&gt;=1",metricas!C2:C10000,"&lt;=10",metricas!B2:B10000,"TUBES")</f>
        <v>3</v>
      </c>
      <c r="G7" s="11">
        <f>COUNTIFS(metricas!C2:C10000,"&gt;=1",metricas!C2:C10000,"&lt;=10",metricas!B2:B10000,"TENDRILS")</f>
        <v>3</v>
      </c>
      <c r="H7" s="11">
        <f>COUNTIFS(metricas!C2:C10000,"&gt;=1",metricas!C2:C10000,"&lt;=10",metricas!B2:B10000,"DISCONNECTED")</f>
        <v>0</v>
      </c>
      <c r="J7" s="11" t="s">
        <v>95</v>
      </c>
      <c r="K7" s="15">
        <f>COUNTIFS(metricas!H2:H10000,"&gt;7",metricas!H2:H10000,"&lt;=14",metricas!B2:B10000,"LSCC")</f>
        <v>1</v>
      </c>
      <c r="L7" s="16">
        <f>COUNTIFS(metricas!H2:H10000,"&gt;7",metricas!H2:H10000,"&lt;=14",metricas!B2:B10000,"IN")</f>
        <v>6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2</v>
      </c>
      <c r="O7" s="16">
        <f>COUNTIFS(metricas!H2:H10000,"&gt;7",metricas!H2:H10000,"&lt;=14",metricas!B2:B10000,"TENDRILS")</f>
        <v>1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105</v>
      </c>
      <c r="V7" s="10" t="s">
        <v>106</v>
      </c>
      <c r="W7" s="10" t="s">
        <v>101</v>
      </c>
    </row>
    <row r="8" spans="2:23" x14ac:dyDescent="0.2">
      <c r="B8" s="11" t="s">
        <v>96</v>
      </c>
      <c r="C8" s="11">
        <f>COUNTIFS(metricas!C2:C10000,"&gt;10",metricas!B2:B10000,"LSCC")</f>
        <v>1</v>
      </c>
      <c r="D8" s="11">
        <f>COUNTIFS(metricas!C2:C10000,"&gt;10",metricas!B2:B10000,"IN")</f>
        <v>0</v>
      </c>
      <c r="E8" s="11">
        <f>COUNTIFS(metricas!C2:C10000,"&gt;10",metricas!B2:B10000,"OUT")</f>
        <v>2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0</v>
      </c>
      <c r="J8" s="11" t="s">
        <v>96</v>
      </c>
      <c r="K8" s="16">
        <f>COUNTIFS(metricas!H2:H10000,"&gt;14",metricas!B2:B10000,"LSCC")</f>
        <v>2</v>
      </c>
      <c r="L8" s="16">
        <f>COUNTIFS(metricas!H2:H10000,"&gt;14",metricas!B2:B10000,"IN")</f>
        <v>3</v>
      </c>
      <c r="M8" s="16">
        <f>COUNTIFS(metricas!H2:H10000,"&gt;14",metricas!B2:B10000,"OUT")</f>
        <v>0</v>
      </c>
      <c r="N8" s="16">
        <f>COUNTIFS(metricas!H2:H10000,"&gt;14",metricas!B2:B10000,"TUBES")</f>
        <v>3</v>
      </c>
      <c r="O8" s="16">
        <f>COUNTIFS(metricas!H2:H10000,"&gt;14",metricas!B2:B10000,"TENDRILS")</f>
        <v>0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107</v>
      </c>
      <c r="U8" s="10" t="s">
        <v>108</v>
      </c>
      <c r="V8" s="10" t="s">
        <v>109</v>
      </c>
      <c r="W8" s="10" t="s">
        <v>110</v>
      </c>
    </row>
    <row r="9" spans="2:23" ht="15" x14ac:dyDescent="0.25">
      <c r="B9" s="1"/>
      <c r="C9" s="17">
        <f>SUM(C6:H8)</f>
        <v>75</v>
      </c>
      <c r="D9" s="17"/>
      <c r="E9" s="17"/>
      <c r="F9" s="17"/>
      <c r="G9" s="17"/>
      <c r="H9" s="17"/>
      <c r="J9" s="1"/>
      <c r="K9" s="18">
        <f>SUM(K6:P8)</f>
        <v>75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111</v>
      </c>
      <c r="V9" s="10" t="s">
        <v>112</v>
      </c>
      <c r="W9" s="10" t="s">
        <v>113</v>
      </c>
    </row>
    <row r="10" spans="2:23" x14ac:dyDescent="0.2">
      <c r="R10" s="10">
        <v>6</v>
      </c>
      <c r="S10" s="10" t="s">
        <v>7</v>
      </c>
      <c r="T10" s="8" t="s">
        <v>114</v>
      </c>
      <c r="U10" s="10" t="s">
        <v>115</v>
      </c>
      <c r="V10" s="8" t="s">
        <v>116</v>
      </c>
      <c r="W10" s="8" t="s">
        <v>117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118</v>
      </c>
      <c r="U11" s="10" t="s">
        <v>119</v>
      </c>
      <c r="V11" s="8" t="s">
        <v>120</v>
      </c>
      <c r="W11" s="8" t="s">
        <v>117</v>
      </c>
    </row>
    <row r="12" spans="2:23" x14ac:dyDescent="0.2">
      <c r="B12" s="1"/>
      <c r="C12" s="9" t="s">
        <v>48</v>
      </c>
      <c r="D12" s="9" t="s">
        <v>13</v>
      </c>
      <c r="E12" s="9" t="s">
        <v>32</v>
      </c>
      <c r="F12" s="9" t="s">
        <v>18</v>
      </c>
      <c r="G12" s="9" t="s">
        <v>15</v>
      </c>
      <c r="H12" s="9" t="s">
        <v>98</v>
      </c>
      <c r="J12" s="1"/>
      <c r="K12" s="9" t="s">
        <v>48</v>
      </c>
      <c r="L12" s="9" t="s">
        <v>13</v>
      </c>
      <c r="M12" s="9" t="s">
        <v>32</v>
      </c>
      <c r="N12" s="9" t="s">
        <v>18</v>
      </c>
      <c r="O12" s="9" t="s">
        <v>15</v>
      </c>
      <c r="P12" s="9" t="s">
        <v>98</v>
      </c>
      <c r="R12" s="10">
        <v>8</v>
      </c>
      <c r="S12" s="10" t="s">
        <v>9</v>
      </c>
      <c r="T12" s="10" t="s">
        <v>114</v>
      </c>
      <c r="U12" s="10" t="s">
        <v>121</v>
      </c>
      <c r="V12" s="10" t="s">
        <v>122</v>
      </c>
      <c r="W12" s="10" t="s">
        <v>110</v>
      </c>
    </row>
    <row r="13" spans="2:23" x14ac:dyDescent="0.2">
      <c r="B13" s="11" t="s">
        <v>94</v>
      </c>
      <c r="C13" s="12">
        <f>COUNTIFS(metricas!D2:D10000,"&gt;=0",metricas!D2:D10000,"&lt;=10",metricas!B2:B10000,"LSCC")</f>
        <v>2</v>
      </c>
      <c r="D13" s="12">
        <f>COUNTIFS(metricas!D2:D10000,"&gt;=0",metricas!D2:D10000,"&lt;=10",metricas!B2:B10000,"IN")</f>
        <v>21</v>
      </c>
      <c r="E13" s="12">
        <f>COUNTIFS(metricas!D2:D10000,"&gt;=0",metricas!D2:D10000,"&lt;=10",metricas!B2:B10000,"OUT")</f>
        <v>11</v>
      </c>
      <c r="F13" s="12">
        <f>COUNTIFS(metricas!D2:D10000,"&gt;=0",metricas!D2:D10000,"&lt;=10",metricas!B2:B10000,"TUBES")</f>
        <v>3</v>
      </c>
      <c r="G13" s="12">
        <f>COUNTIFS(metricas!D2:D10000,"&gt;=0",metricas!D2:D10000,"&lt;=10",metricas!B2:B10000,"TENDRILS")</f>
        <v>22</v>
      </c>
      <c r="H13" s="12">
        <f>COUNTIFS(metricas!D2:D10000,"&gt;=0",metricas!D2:D10000,"&lt;=10",metricas!B2:B10000,"DISCONNECTED")</f>
        <v>5</v>
      </c>
      <c r="J13" s="11" t="s">
        <v>94</v>
      </c>
      <c r="K13" s="13">
        <f>COUNTIFS(metricas!I2:I10000,"&lt;=20",metricas!B2:B10000,"LSCC")</f>
        <v>0</v>
      </c>
      <c r="L13" s="13">
        <f>COUNTIFS(metricas!I2:I10000,"&lt;=20",metricas!B2:B10000,"IN")</f>
        <v>16</v>
      </c>
      <c r="M13" s="13">
        <f>COUNTIFS(metricas!I2:I10000,"&lt;=20",metricas!B2:B10000,"OUT")</f>
        <v>9</v>
      </c>
      <c r="N13" s="13">
        <f>COUNTIFS(metricas!I2:I10000,"&lt;=20",metricas!B2:B10000,"TUBES")</f>
        <v>2</v>
      </c>
      <c r="O13" s="13">
        <f>COUNTIFS(metricas!I2:I10000,"&lt;=20",metricas!B2:B10000,"TENDRILS")</f>
        <v>20</v>
      </c>
      <c r="P13" s="13">
        <f>COUNTIFS(metricas!I2:I10000,"&lt;=20",metricas!B2:B10000,"DISCONNECTED")</f>
        <v>5</v>
      </c>
      <c r="R13" s="10">
        <v>9</v>
      </c>
      <c r="S13" s="10" t="s">
        <v>10</v>
      </c>
      <c r="T13" s="10" t="s">
        <v>123</v>
      </c>
      <c r="U13" s="10" t="s">
        <v>124</v>
      </c>
      <c r="V13" s="10" t="s">
        <v>125</v>
      </c>
      <c r="W13" s="10" t="s">
        <v>110</v>
      </c>
    </row>
    <row r="14" spans="2:23" ht="15" x14ac:dyDescent="0.25">
      <c r="B14" s="11" t="s">
        <v>95</v>
      </c>
      <c r="C14" s="14">
        <f>COUNTIFS(metricas!D2:D10000,"&gt;=11",metricas!D2:D10000,"&lt;=40",metricas!B2:B10000,"LSCC")</f>
        <v>1</v>
      </c>
      <c r="D14" s="11">
        <f>COUNTIFS(metricas!D2:D10000,"&gt;=11",metricas!D2:D10000,"&lt;=40",metricas!B2:B10000,"IN")</f>
        <v>4</v>
      </c>
      <c r="E14" s="11">
        <f>COUNTIFS(metricas!D2:D10000,"&gt;=11",metricas!D2:D10000,"&lt;=40",metricas!B2:B10000,"OUT")</f>
        <v>1</v>
      </c>
      <c r="F14" s="11">
        <f>COUNTIFS(metricas!D2:D10000,"&gt;=11",metricas!D2:D10000,"&lt;=40",metricas!B2:B10000,"TUBES")</f>
        <v>4</v>
      </c>
      <c r="G14" s="11">
        <f>COUNTIFS(metricas!D2:D10000,"&gt;=11",metricas!D2:D10000,"&lt;=40",metricas!B2:B10000,"TENDRILS")</f>
        <v>1</v>
      </c>
      <c r="H14" s="11">
        <f>COUNTIFS(metricas!D2:D10000,"&gt;=11",metricas!D2:D10000,"&lt;=40",metricas!B2:B10000,"DISCONNECTED")</f>
        <v>0</v>
      </c>
      <c r="J14" s="11" t="s">
        <v>95</v>
      </c>
      <c r="K14" s="15">
        <f>COUNTIFS(metricas!I2:I10000,"&gt;20",metricas!I2:I10000,"&lt;=46",metricas!B2:B10000,"LSCC")</f>
        <v>1</v>
      </c>
      <c r="L14" s="16">
        <f>COUNTIFS(metricas!I2:I10000,"&gt;20",metricas!I2:I10000,"&lt;=46",metricas!B2:B10000,"IN")</f>
        <v>4</v>
      </c>
      <c r="M14" s="16">
        <f>COUNTIFS(metricas!I2:I10000,"&gt;20",metricas!I2:I10000,"&lt;=46",metricas!B2:B10000,"OUT")</f>
        <v>3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3</v>
      </c>
      <c r="P14" s="16">
        <f>COUNTIFS(metricas!I2:I10000,"&gt;20",metricas!I2:I10000,"&lt;=46",metricas!B2:B10000,"DISCONNECTED")</f>
        <v>0</v>
      </c>
      <c r="R14" s="10">
        <v>10</v>
      </c>
      <c r="S14" s="10" t="s">
        <v>11</v>
      </c>
      <c r="T14" s="10" t="s">
        <v>123</v>
      </c>
      <c r="U14" s="10" t="s">
        <v>126</v>
      </c>
      <c r="V14" s="10" t="s">
        <v>127</v>
      </c>
      <c r="W14" s="10" t="s">
        <v>110</v>
      </c>
    </row>
    <row r="15" spans="2:23" x14ac:dyDescent="0.2">
      <c r="B15" s="11" t="s">
        <v>96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96</v>
      </c>
      <c r="K15" s="16">
        <f>COUNTIFS(metricas!I2:I10000,"&gt;46",metricas!B2:B10000,"LSCC")</f>
        <v>2</v>
      </c>
      <c r="L15" s="16">
        <f>COUNTIFS(metricas!I2:I10000,"&gt;46",metricas!B2:B10000,"IN")</f>
        <v>5</v>
      </c>
      <c r="M15" s="16">
        <f>COUNTIFS(metricas!I2:I10000,"&gt;46",metricas!B2:B10000,"OUT")</f>
        <v>0</v>
      </c>
      <c r="N15" s="16">
        <f>COUNTIFS(metricas!I2:I10000,"&gt;46",metricas!B2:B10000,"TUBES")</f>
        <v>5</v>
      </c>
      <c r="O15" s="16">
        <f>COUNTIFS(metricas!I2:I10000,"&gt;46",metricas!B2:B10000,"TENDRILS")</f>
        <v>0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75</v>
      </c>
      <c r="D16" s="17"/>
      <c r="E16" s="17"/>
      <c r="F16" s="17"/>
      <c r="G16" s="17"/>
      <c r="H16" s="17"/>
      <c r="J16" s="1"/>
      <c r="K16" s="18">
        <f>SUM(K13:P15)</f>
        <v>75</v>
      </c>
      <c r="L16" s="19"/>
      <c r="M16" s="19"/>
      <c r="N16" s="19"/>
      <c r="O16" s="19"/>
      <c r="P16" s="20"/>
      <c r="S16" s="21" t="s">
        <v>128</v>
      </c>
      <c r="T16" s="22"/>
      <c r="U16" s="21" t="s">
        <v>129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48</v>
      </c>
      <c r="D19" s="9" t="s">
        <v>13</v>
      </c>
      <c r="E19" s="9" t="s">
        <v>32</v>
      </c>
      <c r="F19" s="9" t="s">
        <v>18</v>
      </c>
      <c r="G19" s="9" t="s">
        <v>15</v>
      </c>
      <c r="H19" s="9" t="s">
        <v>98</v>
      </c>
      <c r="J19" s="1"/>
      <c r="K19" s="9" t="s">
        <v>48</v>
      </c>
      <c r="L19" s="9" t="s">
        <v>13</v>
      </c>
      <c r="M19" s="9" t="s">
        <v>32</v>
      </c>
      <c r="N19" s="9" t="s">
        <v>18</v>
      </c>
      <c r="O19" s="9" t="s">
        <v>15</v>
      </c>
      <c r="P19" s="9" t="s">
        <v>98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94</v>
      </c>
      <c r="C20" s="12">
        <f>COUNTIFS(metricas!E2:E10000,"=0",metricas!B2:B10000,"LSCC")</f>
        <v>2</v>
      </c>
      <c r="D20" s="12">
        <f>COUNTIFS(metricas!E2:E10000,"=0",metricas!B2:B10000,"IN")</f>
        <v>8</v>
      </c>
      <c r="E20" s="12">
        <f>COUNTIFS(metricas!E2:E10000,"=0",metricas!B2:B10000,"OUT")</f>
        <v>6</v>
      </c>
      <c r="F20" s="12">
        <f>COUNTIFS(metricas!E2:E10000,"=0",metricas!B2:B10000,"TUBES")</f>
        <v>2</v>
      </c>
      <c r="G20" s="12">
        <f>COUNTIFS(metricas!E2:E10000,"=0",metricas!B2:B10000,"TENDRILS")</f>
        <v>15</v>
      </c>
      <c r="H20" s="12">
        <f>COUNTIFS(metricas!E2:E10000,"=0",metricas!B2:B10000,"DISCONNECTED")</f>
        <v>5</v>
      </c>
      <c r="J20" s="11" t="s">
        <v>94</v>
      </c>
      <c r="K20" s="12">
        <f>COUNTIFS(metricas!J2:J10000,"&lt;=7",metricas!B2:B10000,"LSCC")</f>
        <v>2</v>
      </c>
      <c r="L20" s="12">
        <f>COUNTIFS(metricas!J2:J10000,"&lt;=7",metricas!B2:B10000,"IN")</f>
        <v>24</v>
      </c>
      <c r="M20" s="12">
        <f>COUNTIFS(metricas!J2:J10000,"&lt;=7",metricas!B2:B10000,"OUT")</f>
        <v>11</v>
      </c>
      <c r="N20" s="12">
        <f>COUNTIFS(metricas!J2:J10000,"&lt;=7",metricas!B2:B10000,"TUBES")</f>
        <v>6</v>
      </c>
      <c r="O20" s="12">
        <f>COUNTIFS(metricas!J2:J10000,"&lt;=7",metricas!B2:B10000,"TENDRILS")</f>
        <v>22</v>
      </c>
      <c r="P20" s="12">
        <f>COUNTIFS(metricas!J2:J10000,"&lt;=7",metricas!B2:B10000,"DISCONNECTED")</f>
        <v>5</v>
      </c>
    </row>
    <row r="21" spans="2:22" ht="15" x14ac:dyDescent="0.25">
      <c r="B21" s="11" t="s">
        <v>95</v>
      </c>
      <c r="C21" s="14">
        <f>COUNTIFS(metricas!E2:E10000,"&gt;=1",metricas!E2:E10000,"&lt;=20",metricas!B2:B10000,"LSCC")</f>
        <v>0</v>
      </c>
      <c r="D21" s="11">
        <f>COUNTIFS(metricas!E2:E10000,"&gt;=1",metricas!E2:E10000,"&lt;=20",metricas!B2:B10000,"IN")</f>
        <v>13</v>
      </c>
      <c r="E21" s="11">
        <f>COUNTIFS(metricas!E2:E10000,"&gt;=1",metricas!E2:E10000,"&lt;=20",metricas!B2:B10000,"OUT")</f>
        <v>4</v>
      </c>
      <c r="F21" s="11">
        <f>COUNTIFS(metricas!E2:E10000,"&gt;=1",metricas!E2:E10000,"&lt;=20",metricas!B2:B10000,"TUBES")</f>
        <v>1</v>
      </c>
      <c r="G21" s="11">
        <f>COUNTIFS(metricas!E2:E10000,"&gt;=1",metricas!E2:E10000,"&lt;=20",metricas!B2:B10000,"TENDRILS")</f>
        <v>5</v>
      </c>
      <c r="H21" s="11">
        <f>COUNTIFS(metricas!E2:E10000,"&gt;=1",metricas!E2:E10000,"&lt;=20",metricas!B2:B10000,"DISCONNECTED")</f>
        <v>0</v>
      </c>
      <c r="J21" s="11" t="s">
        <v>95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1</v>
      </c>
      <c r="M21" s="11">
        <f>COUNTIFS(metricas!J2:J10000,"&gt;7",metricas!J2:J10000,"&lt;=39",metricas!B2:B10000,"OUT")</f>
        <v>1</v>
      </c>
      <c r="N21" s="11">
        <f>COUNTIFS(metricas!J2:J10000,"&gt;7",metricas!J2:J10000,"&lt;=39",metricas!B2:B10000,"TUBES")</f>
        <v>1</v>
      </c>
      <c r="O21" s="11">
        <f>COUNTIFS(metricas!J2:J10000,"&gt;7",metricas!J2:J10000,"&lt;=39",metricas!B2:B10000,"TENDRILS")</f>
        <v>1</v>
      </c>
      <c r="P21" s="11">
        <f>COUNTIFS(metricas!J2:J10000,"&gt;7",metricas!J2:J10000,"&lt;=39",metricas!B2:B10000,"DISCONNECTED")</f>
        <v>0</v>
      </c>
    </row>
    <row r="22" spans="2:22" x14ac:dyDescent="0.2">
      <c r="B22" s="11" t="s">
        <v>96</v>
      </c>
      <c r="C22" s="11">
        <f>COUNTIFS(metricas!E2:E10000,"&gt;20",metricas!B2:B10000,"LSCC")</f>
        <v>1</v>
      </c>
      <c r="D22" s="11">
        <f>COUNTIFS(metricas!E2:E10000,"&gt;20",metricas!B2:B10000,"IN")</f>
        <v>4</v>
      </c>
      <c r="E22" s="11">
        <f>COUNTIFS(metricas!E2:E10000,"&gt;20",metricas!B2:B10000,"OUT")</f>
        <v>2</v>
      </c>
      <c r="F22" s="11">
        <f>COUNTIFS(metricas!E2:E10000,"&gt;20",metricas!B2:B10000,"TUBES")</f>
        <v>4</v>
      </c>
      <c r="G22" s="11">
        <f>COUNTIFS(metricas!E2:E10000,"&gt;20",metricas!B2:B10000,"TENDRILS")</f>
        <v>3</v>
      </c>
      <c r="H22" s="11">
        <f>COUNTIFS(metricas!E2:E10000,"&gt;20",metricas!B2:B10000,"DISCONNECTED")</f>
        <v>0</v>
      </c>
      <c r="J22" s="11" t="s">
        <v>96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75</v>
      </c>
      <c r="D23" s="17"/>
      <c r="E23" s="17"/>
      <c r="F23" s="17"/>
      <c r="G23" s="17"/>
      <c r="H23" s="17"/>
      <c r="J23" s="1"/>
      <c r="K23" s="18">
        <f>SUM(K20:P22)</f>
        <v>75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48</v>
      </c>
      <c r="D26" s="9" t="s">
        <v>13</v>
      </c>
      <c r="E26" s="9" t="s">
        <v>32</v>
      </c>
      <c r="F26" s="9" t="s">
        <v>18</v>
      </c>
      <c r="G26" s="9" t="s">
        <v>15</v>
      </c>
      <c r="H26" s="9" t="s">
        <v>98</v>
      </c>
      <c r="J26" s="1"/>
      <c r="K26" s="9" t="s">
        <v>48</v>
      </c>
      <c r="L26" s="9" t="s">
        <v>13</v>
      </c>
      <c r="M26" s="9" t="s">
        <v>32</v>
      </c>
      <c r="N26" s="9" t="s">
        <v>18</v>
      </c>
      <c r="O26" s="9" t="s">
        <v>15</v>
      </c>
      <c r="P26" s="9" t="s">
        <v>98</v>
      </c>
    </row>
    <row r="27" spans="2:22" x14ac:dyDescent="0.2">
      <c r="B27" s="11" t="s">
        <v>94</v>
      </c>
      <c r="C27" s="12">
        <f>COUNTIFS(metricas!F2:F10000,"&lt;=2",metricas!B2:B10000,"LSCC")</f>
        <v>3</v>
      </c>
      <c r="D27" s="12">
        <f>COUNTIFS(metricas!F2:F10000,"&lt;=2",metricas!B2:B10000,"IN")</f>
        <v>25</v>
      </c>
      <c r="E27" s="12">
        <f>COUNTIFS(metricas!F2:F10000,"&lt;=2",metricas!B2:B10000,"OUT")</f>
        <v>11</v>
      </c>
      <c r="F27" s="12">
        <f>COUNTIFS(metricas!F2:F10000,"&lt;=2",metricas!B2:B10000,"TUBES")</f>
        <v>7</v>
      </c>
      <c r="G27" s="12">
        <f>COUNTIFS(metricas!F2:F10000,"&lt;=2",metricas!B2:B10000,"TENDRILS")</f>
        <v>21</v>
      </c>
      <c r="H27" s="12">
        <f>COUNTIFS(metricas!F2:F10000,"&lt;=2",metricas!B2:B10000,"DISCONNECTED")</f>
        <v>5</v>
      </c>
      <c r="J27" s="11" t="s">
        <v>94</v>
      </c>
      <c r="K27" s="12">
        <f>COUNTIFS(metricas!K2:K10000,"&lt;=11",metricas!B2:B10000,"LSCC")</f>
        <v>1</v>
      </c>
      <c r="L27" s="12">
        <f>COUNTIFS(metricas!K2:K10000,"&lt;=11",metricas!B2:B10000,"IN")</f>
        <v>21</v>
      </c>
      <c r="M27" s="12">
        <f>COUNTIFS(metricas!K2:K10000,"&lt;=11",metricas!B2:B10000,"OUT")</f>
        <v>10</v>
      </c>
      <c r="N27" s="12">
        <f>COUNTIFS(metricas!K2:K10000,"&lt;=11",metricas!B2:B10000,"TUBES")</f>
        <v>2</v>
      </c>
      <c r="O27" s="12">
        <f>COUNTIFS(metricas!K2:K10000,"&lt;=11",metricas!B2:B10000,"TENDRILS")</f>
        <v>23</v>
      </c>
      <c r="P27" s="12">
        <f>COUNTIFS(metricas!K2:K10000,"&lt;=11",metricas!B2:B10000,"DISCONNECTED")</f>
        <v>5</v>
      </c>
    </row>
    <row r="28" spans="2:22" ht="15" x14ac:dyDescent="0.25">
      <c r="B28" s="11" t="s">
        <v>95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1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2</v>
      </c>
      <c r="H28" s="11">
        <f>COUNTIFS(metricas!F2:F10000,"&gt;2",metricas!F2:F10000,"&lt;=4",metricas!B2:B10000,"DISCONNECTED")</f>
        <v>0</v>
      </c>
      <c r="J28" s="11" t="s">
        <v>95</v>
      </c>
      <c r="K28" s="14">
        <f>COUNTIFS(metricas!K2:K10000,"&gt;11",metricas!K2:K10000,"&lt;=34",metricas!B2:B10000,"LSCC")</f>
        <v>1</v>
      </c>
      <c r="L28" s="11">
        <f>COUNTIFS(metricas!K2:K10000,"&gt;11",metricas!K2:K10000,"&lt;=34",metricas!B2:B10000,"IN")</f>
        <v>4</v>
      </c>
      <c r="M28" s="11">
        <f>COUNTIFS(metricas!K2:K10000,"&gt;11",metricas!K2:K10000,"&lt;=34",metricas!B2:B10000,"OUT")</f>
        <v>2</v>
      </c>
      <c r="N28" s="11">
        <f>COUNTIFS(metricas!K2:K10000,"&gt;11",metricas!K2:K10000,"&lt;=34",metricas!B2:B10000,"TUBES")</f>
        <v>4</v>
      </c>
      <c r="O28" s="11">
        <f>COUNTIFS(metricas!K2:K10000,"&gt;11",metricas!K2:K10000,"&lt;=34",metricas!B2:B10000,"TENDRILS")</f>
        <v>0</v>
      </c>
      <c r="P28" s="11">
        <f>COUNTIFS(metricas!K2:K10000,"&gt;11",metricas!K2:K10000,"&lt;=34",metricas!B2:B10000,"DISCONNECTED")</f>
        <v>0</v>
      </c>
    </row>
    <row r="29" spans="2:22" x14ac:dyDescent="0.2">
      <c r="B29" s="11" t="s">
        <v>96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96</v>
      </c>
      <c r="K29" s="11">
        <f>COUNTIFS(metricas!K2:K10000,"&gt;34",metricas!B2:B10000,"LSCC")</f>
        <v>1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1</v>
      </c>
      <c r="O29" s="11">
        <f>COUNTIFS(metricas!K2:K10000,"&gt;34",metricas!B2:B10000,"TENDRILS")</f>
        <v>0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75</v>
      </c>
      <c r="D30" s="17"/>
      <c r="E30" s="17"/>
      <c r="F30" s="17"/>
      <c r="G30" s="17"/>
      <c r="H30" s="17"/>
      <c r="J30" s="1"/>
      <c r="K30" s="18">
        <f>SUM(K27:P29)</f>
        <v>75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48</v>
      </c>
      <c r="D33" s="9" t="s">
        <v>13</v>
      </c>
      <c r="E33" s="9" t="s">
        <v>32</v>
      </c>
      <c r="F33" s="9" t="s">
        <v>18</v>
      </c>
      <c r="G33" s="9" t="s">
        <v>15</v>
      </c>
      <c r="H33" s="9" t="s">
        <v>98</v>
      </c>
      <c r="J33" s="1"/>
      <c r="K33" s="9" t="s">
        <v>48</v>
      </c>
      <c r="L33" s="9" t="s">
        <v>13</v>
      </c>
      <c r="M33" s="9" t="s">
        <v>32</v>
      </c>
      <c r="N33" s="9" t="s">
        <v>18</v>
      </c>
      <c r="O33" s="9" t="s">
        <v>15</v>
      </c>
      <c r="P33" s="9" t="s">
        <v>98</v>
      </c>
    </row>
    <row r="34" spans="2:16" x14ac:dyDescent="0.2">
      <c r="B34" s="11" t="s">
        <v>94</v>
      </c>
      <c r="C34" s="12">
        <f>COUNTIFS(metricas!G2:G10000,"=1",metricas!B2:B10000,"LSCC")</f>
        <v>2</v>
      </c>
      <c r="D34" s="12">
        <f>COUNTIFS(metricas!G2:G10000,"=1",metricas!B2:B10000,"IN")</f>
        <v>14</v>
      </c>
      <c r="E34" s="12">
        <f>COUNTIFS(metricas!G2:G10000,"=1",metricas!B2:B10000,"OUT")</f>
        <v>7</v>
      </c>
      <c r="F34" s="12">
        <f>COUNTIFS(metricas!G2:G10000,"=1",metricas!B2:B10000,"TUBES")</f>
        <v>2</v>
      </c>
      <c r="G34" s="12">
        <f>COUNTIFS(metricas!G2:G10000,"=1",metricas!B2:B10000,"TENDRILS")</f>
        <v>17</v>
      </c>
      <c r="H34" s="12">
        <f>COUNTIFS(metricas!G2:G10000,"=1",metricas!B2:B10000,"DISCONNECTED")</f>
        <v>5</v>
      </c>
      <c r="J34" s="11" t="s">
        <v>94</v>
      </c>
      <c r="K34" s="12">
        <f>COUNTIFS(metricas!L2:L10000,"&lt;=11",metricas!B2:B10000,"LSCC")</f>
        <v>3</v>
      </c>
      <c r="L34" s="12">
        <f>COUNTIFS(metricas!L2:L10000,"&lt;=11",metricas!B2:B10000,"IN")</f>
        <v>25</v>
      </c>
      <c r="M34" s="12">
        <f>COUNTIFS(metricas!L2:L10000,"&lt;=11",metricas!B2:B10000,"OUT")</f>
        <v>12</v>
      </c>
      <c r="N34" s="12">
        <f>COUNTIFS(metricas!L2:L10000,"&lt;=11",metricas!B2:B10000,"TUBES")</f>
        <v>7</v>
      </c>
      <c r="O34" s="12">
        <f>COUNTIFS(metricas!L2:L10000,"&lt;=11",metricas!B2:B10000,"TENDRILS")</f>
        <v>23</v>
      </c>
      <c r="P34" s="12">
        <f>COUNTIFS(metricas!L2:L10000,"&lt;=11",metricas!B2:B10000,"DISCONNECTED")</f>
        <v>5</v>
      </c>
    </row>
    <row r="35" spans="2:16" ht="15" x14ac:dyDescent="0.25">
      <c r="B35" s="11" t="s">
        <v>95</v>
      </c>
      <c r="C35" s="14">
        <f>COUNTIFS(metricas!G2:G10000,"&gt;=0,2",metricas!G2:G10000,"&lt;=0,5",metricas!B2:B10000,"LSCC")</f>
        <v>0</v>
      </c>
      <c r="D35" s="11">
        <f>COUNTIFS(metricas!G2:G10000,"&gt;=0,2",metricas!G2:G10000,"&lt;=0,5",metricas!B2:B10000,"IN")</f>
        <v>9</v>
      </c>
      <c r="E35" s="11">
        <f>COUNTIFS(metricas!G2:G10000,"&gt;=0,2",metricas!G2:G10000,"&lt;=0,5",metricas!B2:B10000,"OUT")</f>
        <v>3</v>
      </c>
      <c r="F35" s="11">
        <f>COUNTIFS(metricas!G2:G10000,"&gt;=0,2",metricas!G2:G10000,"&lt;=0,5",metricas!B2:B10000,"TUBES")</f>
        <v>3</v>
      </c>
      <c r="G35" s="11">
        <f>COUNTIFS(metricas!G2:G10000,"&gt;=0,2",metricas!G2:G10000,"&lt;=0,5",metricas!B2:B10000,"TENDRILS")</f>
        <v>4</v>
      </c>
      <c r="H35" s="11">
        <f>COUNTIFS(metricas!G2:G10000,"&gt;=0,2",metricas!G2:G10000,"&lt;=0,5",metricas!B2:B10000,"DISCONNECTED")</f>
        <v>0</v>
      </c>
      <c r="J35" s="11" t="s">
        <v>95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96</v>
      </c>
      <c r="C36" s="11">
        <f>COUNTIFS(metricas!G2:G10000,"&lt;0,2",metricas!B2:B10000,"LSCC")</f>
        <v>1</v>
      </c>
      <c r="D36" s="11">
        <f>COUNTIFS(metricas!G2:G10000,"&lt;0,2",metricas!B2:B10000,"IN")</f>
        <v>2</v>
      </c>
      <c r="E36" s="11">
        <f>COUNTIFS(metricas!G2:G10000,"&lt;0,2",metricas!B2:B10000,"OUT")</f>
        <v>2</v>
      </c>
      <c r="F36" s="11">
        <f>COUNTIFS(metricas!G2:G10000,"&lt;0,2",metricas!B2:B10000,"TUBES")</f>
        <v>2</v>
      </c>
      <c r="G36" s="11">
        <f>COUNTIFS(metricas!G2:G10000,"&lt;0,2",metricas!B2:B10000,"TENDRILS")</f>
        <v>2</v>
      </c>
      <c r="H36" s="11">
        <f>COUNTIFS(metricas!G2:G10000,"&lt;0,2",metricas!B2:B10000,"DISCONNECTED")</f>
        <v>0</v>
      </c>
      <c r="J36" s="11" t="s">
        <v>96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75</v>
      </c>
      <c r="D37" s="19"/>
      <c r="E37" s="19"/>
      <c r="F37" s="19"/>
      <c r="G37" s="19"/>
      <c r="H37" s="20"/>
      <c r="J37" s="1"/>
      <c r="K37" s="17">
        <f>SUM(K34:P36)</f>
        <v>75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BBE9-46D4-4F64-819F-21EEDA97F56D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3" style="30" bestFit="1" customWidth="1"/>
    <col min="9" max="9" width="6.7109375" style="30" bestFit="1" customWidth="1"/>
    <col min="10" max="10" width="3" style="30" bestFit="1" customWidth="1"/>
    <col min="11" max="11" width="6.7109375" style="30" bestFit="1" customWidth="1"/>
    <col min="12" max="12" width="2" style="30" bestFit="1" customWidth="1"/>
    <col min="13" max="13" width="5.7109375" style="30" bestFit="1" customWidth="1"/>
    <col min="14" max="14" width="3" style="30" bestFit="1" customWidth="1"/>
    <col min="15" max="15" width="6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3" style="30" bestFit="1" customWidth="1"/>
    <col min="27" max="27" width="6.7109375" style="30" bestFit="1" customWidth="1"/>
    <col min="28" max="28" width="2" style="30" bestFit="1" customWidth="1"/>
    <col min="29" max="29" width="5.7109375" style="30" bestFit="1" customWidth="1"/>
    <col min="30" max="30" width="2" style="30" bestFit="1" customWidth="1"/>
    <col min="31" max="31" width="5.7109375" style="30" bestFit="1" customWidth="1"/>
    <col min="32" max="32" width="2" style="30" bestFit="1" customWidth="1"/>
    <col min="33" max="33" width="5.7109375" style="30" bestFit="1" customWidth="1"/>
    <col min="34" max="34" width="2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3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93</v>
      </c>
      <c r="B1" s="29" t="s">
        <v>48</v>
      </c>
      <c r="C1" s="29"/>
      <c r="D1" s="29"/>
      <c r="E1" s="29"/>
      <c r="F1" s="29"/>
      <c r="G1" s="29"/>
      <c r="H1" s="29" t="s">
        <v>13</v>
      </c>
      <c r="I1" s="29"/>
      <c r="J1" s="29"/>
      <c r="K1" s="29"/>
      <c r="L1" s="29"/>
      <c r="M1" s="29"/>
      <c r="N1" s="29" t="s">
        <v>32</v>
      </c>
      <c r="O1" s="29"/>
      <c r="P1" s="29"/>
      <c r="Q1" s="29"/>
      <c r="R1" s="29"/>
      <c r="S1" s="29"/>
      <c r="T1" s="29" t="s">
        <v>18</v>
      </c>
      <c r="U1" s="29"/>
      <c r="V1" s="29"/>
      <c r="W1" s="29"/>
      <c r="X1" s="29"/>
      <c r="Y1" s="29"/>
      <c r="Z1" s="29" t="s">
        <v>15</v>
      </c>
      <c r="AA1" s="29"/>
      <c r="AB1" s="29"/>
      <c r="AC1" s="29"/>
      <c r="AD1" s="29"/>
      <c r="AE1" s="29"/>
      <c r="AF1" s="29" t="s">
        <v>98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130</v>
      </c>
      <c r="C2" s="29"/>
      <c r="D2" s="32" t="s">
        <v>131</v>
      </c>
      <c r="E2" s="29"/>
      <c r="F2" s="32" t="s">
        <v>132</v>
      </c>
      <c r="G2" s="29"/>
      <c r="H2" s="32" t="s">
        <v>130</v>
      </c>
      <c r="I2" s="29"/>
      <c r="J2" s="32" t="s">
        <v>131</v>
      </c>
      <c r="K2" s="29"/>
      <c r="L2" s="32" t="s">
        <v>132</v>
      </c>
      <c r="M2" s="29"/>
      <c r="N2" s="32" t="s">
        <v>130</v>
      </c>
      <c r="O2" s="29"/>
      <c r="P2" s="32" t="s">
        <v>131</v>
      </c>
      <c r="Q2" s="29"/>
      <c r="R2" s="32" t="s">
        <v>132</v>
      </c>
      <c r="S2" s="29"/>
      <c r="T2" s="32" t="s">
        <v>130</v>
      </c>
      <c r="U2" s="29"/>
      <c r="V2" s="32" t="s">
        <v>131</v>
      </c>
      <c r="W2" s="29"/>
      <c r="X2" s="32" t="s">
        <v>132</v>
      </c>
      <c r="Y2" s="29"/>
      <c r="Z2" s="32" t="s">
        <v>130</v>
      </c>
      <c r="AA2" s="29"/>
      <c r="AB2" s="32" t="s">
        <v>131</v>
      </c>
      <c r="AC2" s="29"/>
      <c r="AD2" s="32" t="s">
        <v>132</v>
      </c>
      <c r="AE2" s="29"/>
      <c r="AF2" s="32" t="s">
        <v>130</v>
      </c>
      <c r="AG2" s="29"/>
      <c r="AH2" s="32" t="s">
        <v>131</v>
      </c>
      <c r="AI2" s="29"/>
      <c r="AJ2" s="32" t="s">
        <v>132</v>
      </c>
      <c r="AK2" s="29"/>
    </row>
    <row r="3" spans="1:39" x14ac:dyDescent="0.2">
      <c r="A3" s="33" t="s">
        <v>2</v>
      </c>
      <c r="B3" s="34">
        <f>distribuicao!C6</f>
        <v>2</v>
      </c>
      <c r="C3" s="35">
        <f>distribuicao!C6/distribuicao!C9</f>
        <v>2.6666666666666668E-2</v>
      </c>
      <c r="D3" s="34">
        <f>distribuicao!C7</f>
        <v>0</v>
      </c>
      <c r="E3" s="35">
        <f>distribuicao!C7/distribuicao!C9</f>
        <v>0</v>
      </c>
      <c r="F3" s="34">
        <f>distribuicao!C8</f>
        <v>1</v>
      </c>
      <c r="G3" s="35">
        <f>distribuicao!C8/distribuicao!C9</f>
        <v>1.3333333333333334E-2</v>
      </c>
      <c r="H3" s="34">
        <f>distribuicao!D6</f>
        <v>24</v>
      </c>
      <c r="I3" s="35">
        <f>distribuicao!D6/distribuicao!C9</f>
        <v>0.32</v>
      </c>
      <c r="J3" s="34">
        <f>distribuicao!D7</f>
        <v>1</v>
      </c>
      <c r="K3" s="35">
        <f>distribuicao!D7/distribuicao!C9</f>
        <v>1.3333333333333334E-2</v>
      </c>
      <c r="L3" s="34">
        <f>distribuicao!D8</f>
        <v>0</v>
      </c>
      <c r="M3" s="35">
        <f>distribuicao!D8/distribuicao!C9</f>
        <v>0</v>
      </c>
      <c r="N3" s="34">
        <f>distribuicao!E6</f>
        <v>6</v>
      </c>
      <c r="O3" s="35">
        <f>distribuicao!E6/distribuicao!C9</f>
        <v>0.08</v>
      </c>
      <c r="P3" s="34">
        <f>distribuicao!E7</f>
        <v>4</v>
      </c>
      <c r="Q3" s="35">
        <f>distribuicao!E7/distribuicao!C9</f>
        <v>5.3333333333333337E-2</v>
      </c>
      <c r="R3" s="34">
        <f>distribuicao!E8</f>
        <v>2</v>
      </c>
      <c r="S3" s="35">
        <f>distribuicao!E8/distribuicao!C9</f>
        <v>2.6666666666666668E-2</v>
      </c>
      <c r="T3" s="34">
        <f>distribuicao!F6</f>
        <v>4</v>
      </c>
      <c r="U3" s="35">
        <f>distribuicao!F6/distribuicao!C9</f>
        <v>5.3333333333333337E-2</v>
      </c>
      <c r="V3" s="34">
        <f>distribuicao!F7</f>
        <v>3</v>
      </c>
      <c r="W3" s="35">
        <f>distribuicao!F7/distribuicao!C9</f>
        <v>0.04</v>
      </c>
      <c r="X3" s="34">
        <f>distribuicao!F8</f>
        <v>0</v>
      </c>
      <c r="Y3" s="35">
        <f>distribuicao!F8/distribuicao!C9</f>
        <v>0</v>
      </c>
      <c r="Z3" s="34">
        <f>distribuicao!G6</f>
        <v>20</v>
      </c>
      <c r="AA3" s="35">
        <f>distribuicao!G6/distribuicao!C9</f>
        <v>0.26666666666666666</v>
      </c>
      <c r="AB3" s="34">
        <f>distribuicao!G7</f>
        <v>3</v>
      </c>
      <c r="AC3" s="35">
        <f>distribuicao!G7/distribuicao!C9</f>
        <v>0.04</v>
      </c>
      <c r="AD3" s="34">
        <f>distribuicao!G8</f>
        <v>0</v>
      </c>
      <c r="AE3" s="35">
        <f>distribuicao!G8/distribuicao!C9</f>
        <v>0</v>
      </c>
      <c r="AF3" s="34">
        <f>distribuicao!H6</f>
        <v>5</v>
      </c>
      <c r="AG3" s="35">
        <f>distribuicao!H6/distribuicao!C9</f>
        <v>6.6666666666666666E-2</v>
      </c>
      <c r="AH3" s="34">
        <f>distribuicao!H7</f>
        <v>0</v>
      </c>
      <c r="AI3" s="35">
        <f>distribuicao!H7/distribuicao!C9</f>
        <v>0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75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2</v>
      </c>
      <c r="C4" s="35">
        <f>distribuicao!C13/distribuicao!C9</f>
        <v>2.6666666666666668E-2</v>
      </c>
      <c r="D4" s="34">
        <f>distribuicao!C14</f>
        <v>1</v>
      </c>
      <c r="E4" s="35">
        <f>distribuicao!C14/distribuicao!C9</f>
        <v>1.3333333333333334E-2</v>
      </c>
      <c r="F4" s="34">
        <f>distribuicao!C15</f>
        <v>0</v>
      </c>
      <c r="G4" s="35">
        <f>distribuicao!C15/distribuicao!C9</f>
        <v>0</v>
      </c>
      <c r="H4" s="34">
        <f>distribuicao!D13</f>
        <v>21</v>
      </c>
      <c r="I4" s="35">
        <f>distribuicao!D13/distribuicao!C9</f>
        <v>0.28000000000000003</v>
      </c>
      <c r="J4" s="34">
        <f>distribuicao!D14</f>
        <v>4</v>
      </c>
      <c r="K4" s="35">
        <f>distribuicao!D14/distribuicao!C9</f>
        <v>5.3333333333333337E-2</v>
      </c>
      <c r="L4" s="25">
        <f>distribuicao!D15</f>
        <v>0</v>
      </c>
      <c r="M4" s="35">
        <f>distribuicao!D15/distribuicao!C9</f>
        <v>0</v>
      </c>
      <c r="N4" s="34">
        <f>distribuicao!E13</f>
        <v>11</v>
      </c>
      <c r="O4" s="35">
        <f>distribuicao!E13/distribuicao!C9</f>
        <v>0.14666666666666667</v>
      </c>
      <c r="P4" s="34">
        <f>distribuicao!E14</f>
        <v>1</v>
      </c>
      <c r="Q4" s="35">
        <f>distribuicao!E14/distribuicao!C9</f>
        <v>1.3333333333333334E-2</v>
      </c>
      <c r="R4" s="34">
        <f>distribuicao!E15</f>
        <v>0</v>
      </c>
      <c r="S4" s="35">
        <f>distribuicao!E15/distribuicao!C9</f>
        <v>0</v>
      </c>
      <c r="T4" s="34">
        <f>distribuicao!F13</f>
        <v>3</v>
      </c>
      <c r="U4" s="35">
        <f>distribuicao!F13/distribuicao!C9</f>
        <v>0.04</v>
      </c>
      <c r="V4" s="34">
        <f>distribuicao!F14</f>
        <v>4</v>
      </c>
      <c r="W4" s="35">
        <f>distribuicao!F14/distribuicao!C9</f>
        <v>5.3333333333333337E-2</v>
      </c>
      <c r="X4" s="34">
        <f>distribuicao!F15</f>
        <v>0</v>
      </c>
      <c r="Y4" s="35">
        <f>distribuicao!F15/distribuicao!C9</f>
        <v>0</v>
      </c>
      <c r="Z4" s="34">
        <f>distribuicao!G13</f>
        <v>22</v>
      </c>
      <c r="AA4" s="35">
        <f>distribuicao!G13/distribuicao!C9</f>
        <v>0.29333333333333333</v>
      </c>
      <c r="AB4" s="34">
        <f>distribuicao!G14</f>
        <v>1</v>
      </c>
      <c r="AC4" s="35">
        <f>distribuicao!G14/distribuicao!C9</f>
        <v>1.3333333333333334E-2</v>
      </c>
      <c r="AD4" s="34">
        <f>distribuicao!G15</f>
        <v>0</v>
      </c>
      <c r="AE4" s="35">
        <f>distribuicao!G15/distribuicao!C9</f>
        <v>0</v>
      </c>
      <c r="AF4" s="34">
        <f>distribuicao!H13</f>
        <v>5</v>
      </c>
      <c r="AG4" s="35">
        <f>distribuicao!H13/distribuicao!C9</f>
        <v>6.6666666666666666E-2</v>
      </c>
      <c r="AH4" s="34">
        <f>distribuicao!H14</f>
        <v>0</v>
      </c>
      <c r="AI4" s="35">
        <f>distribuicao!H14/distribuicao!C9</f>
        <v>0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75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2</v>
      </c>
      <c r="C5" s="35">
        <f>distribuicao!C20/distribuicao!C9</f>
        <v>2.6666666666666668E-2</v>
      </c>
      <c r="D5" s="34">
        <f>distribuicao!C21</f>
        <v>0</v>
      </c>
      <c r="E5" s="35">
        <f>distribuicao!C21/distribuicao!C9</f>
        <v>0</v>
      </c>
      <c r="F5" s="34">
        <f>distribuicao!C22</f>
        <v>1</v>
      </c>
      <c r="G5" s="35">
        <f>distribuicao!C22/distribuicao!C9</f>
        <v>1.3333333333333334E-2</v>
      </c>
      <c r="H5" s="34">
        <f>distribuicao!D20</f>
        <v>8</v>
      </c>
      <c r="I5" s="35">
        <f>distribuicao!D20/distribuicao!C9</f>
        <v>0.10666666666666667</v>
      </c>
      <c r="J5" s="34">
        <f>distribuicao!D21</f>
        <v>13</v>
      </c>
      <c r="K5" s="35">
        <f>distribuicao!D21/distribuicao!C9</f>
        <v>0.17333333333333334</v>
      </c>
      <c r="L5" s="34">
        <f>distribuicao!D22</f>
        <v>4</v>
      </c>
      <c r="M5" s="35">
        <f>distribuicao!D22/distribuicao!C9</f>
        <v>5.3333333333333337E-2</v>
      </c>
      <c r="N5" s="34">
        <f>distribuicao!E20</f>
        <v>6</v>
      </c>
      <c r="O5" s="35">
        <f>distribuicao!E20/distribuicao!C9</f>
        <v>0.08</v>
      </c>
      <c r="P5" s="34">
        <f>distribuicao!E21</f>
        <v>4</v>
      </c>
      <c r="Q5" s="35">
        <f>distribuicao!E21/distribuicao!C9</f>
        <v>5.3333333333333337E-2</v>
      </c>
      <c r="R5" s="34">
        <f>distribuicao!E22</f>
        <v>2</v>
      </c>
      <c r="S5" s="35">
        <f>distribuicao!E22/distribuicao!C9</f>
        <v>2.6666666666666668E-2</v>
      </c>
      <c r="T5" s="34">
        <f>distribuicao!F20</f>
        <v>2</v>
      </c>
      <c r="U5" s="35">
        <f>distribuicao!F20/distribuicao!C9</f>
        <v>2.6666666666666668E-2</v>
      </c>
      <c r="V5" s="34">
        <f>distribuicao!F21</f>
        <v>1</v>
      </c>
      <c r="W5" s="35">
        <f>distribuicao!F21/distribuicao!C9</f>
        <v>1.3333333333333334E-2</v>
      </c>
      <c r="X5" s="34">
        <f>distribuicao!F22</f>
        <v>4</v>
      </c>
      <c r="Y5" s="35">
        <f>distribuicao!F22/distribuicao!C9</f>
        <v>5.3333333333333337E-2</v>
      </c>
      <c r="Z5" s="34">
        <f>distribuicao!G20</f>
        <v>15</v>
      </c>
      <c r="AA5" s="35">
        <f>distribuicao!G20/distribuicao!C9</f>
        <v>0.2</v>
      </c>
      <c r="AB5" s="34">
        <f>distribuicao!G21</f>
        <v>5</v>
      </c>
      <c r="AC5" s="35">
        <f>distribuicao!G21/distribuicao!C9</f>
        <v>6.6666666666666666E-2</v>
      </c>
      <c r="AD5" s="34">
        <f>distribuicao!G22</f>
        <v>3</v>
      </c>
      <c r="AE5" s="35">
        <f>distribuicao!G22/distribuicao!C9</f>
        <v>0.04</v>
      </c>
      <c r="AF5" s="34">
        <f>distribuicao!H20</f>
        <v>5</v>
      </c>
      <c r="AG5" s="35">
        <f>distribuicao!H20/distribuicao!C9</f>
        <v>6.6666666666666666E-2</v>
      </c>
      <c r="AH5" s="34">
        <f>distribuicao!H21</f>
        <v>0</v>
      </c>
      <c r="AI5" s="35">
        <f>distribuicao!H21/distribuicao!C9</f>
        <v>0</v>
      </c>
      <c r="AJ5" s="34">
        <f>distribuicao!H22</f>
        <v>0</v>
      </c>
      <c r="AK5" s="35">
        <f>distribuicao!H22/distribuicao!C9</f>
        <v>0</v>
      </c>
      <c r="AL5" s="36">
        <f t="shared" ref="AL5:AL12" si="1">SUM(B5,D5,F5,H5,J5,L5,N5,P5,R5,T5,V5,X5,Z5,AB5,AD5,AF5,AH5,AJ5)</f>
        <v>75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3</v>
      </c>
      <c r="C6" s="39">
        <f>distribuicao!C27/distribuicao!C9</f>
        <v>0.04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25</v>
      </c>
      <c r="I6" s="39">
        <f>distribuicao!D27/distribuicao!C9</f>
        <v>0.33333333333333331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11</v>
      </c>
      <c r="O6" s="39">
        <f>distribuicao!E27/distribuicao!C9</f>
        <v>0.14666666666666667</v>
      </c>
      <c r="P6" s="38">
        <f>distribuicao!E28</f>
        <v>1</v>
      </c>
      <c r="Q6" s="39">
        <f>distribuicao!E28/distribuicao!C9</f>
        <v>1.3333333333333334E-2</v>
      </c>
      <c r="R6" s="38">
        <f>distribuicao!E29</f>
        <v>0</v>
      </c>
      <c r="S6" s="39">
        <f>distribuicao!E29/distribuicao!C9</f>
        <v>0</v>
      </c>
      <c r="T6" s="38">
        <f>distribuicao!F27</f>
        <v>7</v>
      </c>
      <c r="U6" s="39">
        <f>distribuicao!F27/distribuicao!C9</f>
        <v>9.3333333333333338E-2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21</v>
      </c>
      <c r="AA6" s="39">
        <f>distribuicao!G27/distribuicao!C9</f>
        <v>0.28000000000000003</v>
      </c>
      <c r="AB6" s="38">
        <f>distribuicao!G28</f>
        <v>2</v>
      </c>
      <c r="AC6" s="39">
        <f>distribuicao!G28/distribuicao!C9</f>
        <v>2.6666666666666668E-2</v>
      </c>
      <c r="AD6" s="38">
        <f>distribuicao!G29</f>
        <v>0</v>
      </c>
      <c r="AE6" s="39">
        <f>distribuicao!G29/distribuicao!C9</f>
        <v>0</v>
      </c>
      <c r="AF6" s="38">
        <f>distribuicao!H27</f>
        <v>5</v>
      </c>
      <c r="AG6" s="39">
        <f>distribuicao!H27/distribuicao!C9</f>
        <v>6.6666666666666666E-2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75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2</v>
      </c>
      <c r="C7" s="41">
        <f>distribuicao!C34/distribuicao!C9</f>
        <v>2.6666666666666668E-2</v>
      </c>
      <c r="D7" s="42">
        <f>distribuicao!C35</f>
        <v>0</v>
      </c>
      <c r="E7" s="41">
        <f>distribuicao!C35/distribuicao!C9</f>
        <v>0</v>
      </c>
      <c r="F7" s="42">
        <f>distribuicao!C36</f>
        <v>1</v>
      </c>
      <c r="G7" s="41">
        <f>distribuicao!C36/distribuicao!C9</f>
        <v>1.3333333333333334E-2</v>
      </c>
      <c r="H7" s="42">
        <f>distribuicao!D34</f>
        <v>14</v>
      </c>
      <c r="I7" s="41">
        <f>distribuicao!D34/distribuicao!C9</f>
        <v>0.18666666666666668</v>
      </c>
      <c r="J7" s="42">
        <f>distribuicao!D35</f>
        <v>9</v>
      </c>
      <c r="K7" s="41">
        <f>distribuicao!D35/distribuicao!C9</f>
        <v>0.12</v>
      </c>
      <c r="L7" s="42">
        <f>distribuicao!D36</f>
        <v>2</v>
      </c>
      <c r="M7" s="41">
        <f>distribuicao!D36/distribuicao!C9</f>
        <v>2.6666666666666668E-2</v>
      </c>
      <c r="N7" s="42">
        <f>distribuicao!E34</f>
        <v>7</v>
      </c>
      <c r="O7" s="41">
        <f>distribuicao!E34/distribuicao!C9</f>
        <v>9.3333333333333338E-2</v>
      </c>
      <c r="P7" s="42">
        <f>distribuicao!E35</f>
        <v>3</v>
      </c>
      <c r="Q7" s="41">
        <f>distribuicao!E35/distribuicao!C9</f>
        <v>0.04</v>
      </c>
      <c r="R7" s="42">
        <f>distribuicao!E36</f>
        <v>2</v>
      </c>
      <c r="S7" s="41">
        <f>distribuicao!E36/distribuicao!C9</f>
        <v>2.6666666666666668E-2</v>
      </c>
      <c r="T7" s="42">
        <f>distribuicao!F34</f>
        <v>2</v>
      </c>
      <c r="U7" s="41">
        <f>distribuicao!F34/distribuicao!C9</f>
        <v>2.6666666666666668E-2</v>
      </c>
      <c r="V7" s="42">
        <f>distribuicao!F35</f>
        <v>3</v>
      </c>
      <c r="W7" s="41">
        <f>distribuicao!F35/distribuicao!C9</f>
        <v>0.04</v>
      </c>
      <c r="X7" s="42">
        <f>distribuicao!F36</f>
        <v>2</v>
      </c>
      <c r="Y7" s="41">
        <f>distribuicao!F36/distribuicao!C9</f>
        <v>2.6666666666666668E-2</v>
      </c>
      <c r="Z7" s="42">
        <f>distribuicao!G34</f>
        <v>17</v>
      </c>
      <c r="AA7" s="41">
        <f>distribuicao!G34/distribuicao!C9</f>
        <v>0.22666666666666666</v>
      </c>
      <c r="AB7" s="42">
        <f>distribuicao!G35</f>
        <v>4</v>
      </c>
      <c r="AC7" s="41">
        <f>distribuicao!G35/distribuicao!C9</f>
        <v>5.3333333333333337E-2</v>
      </c>
      <c r="AD7" s="42">
        <f>distribuicao!G36</f>
        <v>2</v>
      </c>
      <c r="AE7" s="41">
        <f>distribuicao!G36/distribuicao!C9</f>
        <v>2.6666666666666668E-2</v>
      </c>
      <c r="AF7" s="42">
        <f>distribuicao!H34</f>
        <v>5</v>
      </c>
      <c r="AG7" s="41">
        <f>distribuicao!H34/distribuicao!C9</f>
        <v>6.6666666666666666E-2</v>
      </c>
      <c r="AH7" s="42">
        <f>distribuicao!H35</f>
        <v>0</v>
      </c>
      <c r="AI7" s="41">
        <f>distribuicao!H35/distribuicao!C9</f>
        <v>0</v>
      </c>
      <c r="AJ7" s="42">
        <f>distribuicao!H36</f>
        <v>0</v>
      </c>
      <c r="AK7" s="41">
        <f>distribuicao!H36/distribuicao!C9</f>
        <v>0</v>
      </c>
      <c r="AL7" s="36">
        <f t="shared" si="1"/>
        <v>75</v>
      </c>
      <c r="AM7" s="37">
        <f t="shared" si="0"/>
        <v>0.99999999999999989</v>
      </c>
    </row>
    <row r="8" spans="1:39" x14ac:dyDescent="0.2">
      <c r="A8" s="33" t="s">
        <v>7</v>
      </c>
      <c r="B8" s="34">
        <f>distribuicao!K6</f>
        <v>0</v>
      </c>
      <c r="C8" s="35">
        <f>distribuicao!K6/distribuicao!C9</f>
        <v>0</v>
      </c>
      <c r="D8" s="34">
        <f>distribuicao!K7</f>
        <v>1</v>
      </c>
      <c r="E8" s="35">
        <f>distribuicao!K7/distribuicao!C9</f>
        <v>1.3333333333333334E-2</v>
      </c>
      <c r="F8" s="34">
        <f>distribuicao!K8</f>
        <v>2</v>
      </c>
      <c r="G8" s="35">
        <f>distribuicao!K8/distribuicao!C9</f>
        <v>2.6666666666666668E-2</v>
      </c>
      <c r="H8" s="34">
        <f>distribuicao!L6</f>
        <v>16</v>
      </c>
      <c r="I8" s="35">
        <f>distribuicao!L6/distribuicao!C9</f>
        <v>0.21333333333333335</v>
      </c>
      <c r="J8" s="34">
        <f>distribuicao!L7</f>
        <v>6</v>
      </c>
      <c r="K8" s="35">
        <f>distribuicao!L7/distribuicao!C9</f>
        <v>0.08</v>
      </c>
      <c r="L8" s="34">
        <f>distribuicao!L8</f>
        <v>3</v>
      </c>
      <c r="M8" s="35">
        <f>distribuicao!L8/distribuicao!C9</f>
        <v>0.04</v>
      </c>
      <c r="N8" s="34">
        <f>distribuicao!M6</f>
        <v>12</v>
      </c>
      <c r="O8" s="35">
        <f>distribuicao!M6/distribuicao!C9</f>
        <v>0.16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2</v>
      </c>
      <c r="U8" s="35">
        <f>distribuicao!N6/distribuicao!C9</f>
        <v>2.6666666666666668E-2</v>
      </c>
      <c r="V8" s="34">
        <f>distribuicao!N7</f>
        <v>2</v>
      </c>
      <c r="W8" s="35">
        <f>distribuicao!N7/distribuicao!C9</f>
        <v>2.6666666666666668E-2</v>
      </c>
      <c r="X8" s="34">
        <f>distribuicao!N8</f>
        <v>3</v>
      </c>
      <c r="Y8" s="35">
        <f>distribuicao!N8/distribuicao!C9</f>
        <v>0.04</v>
      </c>
      <c r="Z8" s="34">
        <f>distribuicao!O6</f>
        <v>22</v>
      </c>
      <c r="AA8" s="35">
        <f>distribuicao!O6/distribuicao!C9</f>
        <v>0.29333333333333333</v>
      </c>
      <c r="AB8" s="34">
        <f>distribuicao!O7</f>
        <v>1</v>
      </c>
      <c r="AC8" s="35">
        <f>distribuicao!O7/distribuicao!C9</f>
        <v>1.3333333333333334E-2</v>
      </c>
      <c r="AD8" s="34">
        <f>distribuicao!O8</f>
        <v>0</v>
      </c>
      <c r="AE8" s="35">
        <f>distribuicao!O8/distribuicao!C9</f>
        <v>0</v>
      </c>
      <c r="AF8" s="34">
        <f>distribuicao!P6</f>
        <v>5</v>
      </c>
      <c r="AG8" s="35">
        <f>distribuicao!P6/distribuicao!C9</f>
        <v>6.6666666666666666E-2</v>
      </c>
      <c r="AH8" s="34">
        <f>distribuicao!P7</f>
        <v>0</v>
      </c>
      <c r="AI8" s="35">
        <f>distribuicao!P7/distribuicao!C9</f>
        <v>0</v>
      </c>
      <c r="AJ8" s="34">
        <f>distribuicao!P8</f>
        <v>0</v>
      </c>
      <c r="AK8" s="35">
        <f>distribuicao!P8/distribuicao!C9</f>
        <v>0</v>
      </c>
      <c r="AL8" s="36">
        <f t="shared" si="1"/>
        <v>75</v>
      </c>
      <c r="AM8" s="37">
        <f t="shared" si="0"/>
        <v>0.99999999999999989</v>
      </c>
    </row>
    <row r="9" spans="1:39" x14ac:dyDescent="0.2">
      <c r="A9" s="33" t="s">
        <v>8</v>
      </c>
      <c r="B9" s="42">
        <f>distribuicao!K13</f>
        <v>0</v>
      </c>
      <c r="C9" s="41">
        <f>distribuicao!K13/distribuicao!C9</f>
        <v>0</v>
      </c>
      <c r="D9" s="42">
        <f>distribuicao!K14</f>
        <v>1</v>
      </c>
      <c r="E9" s="41">
        <f>distribuicao!K14/distribuicao!C9</f>
        <v>1.3333333333333334E-2</v>
      </c>
      <c r="F9" s="42">
        <f>distribuicao!K15</f>
        <v>2</v>
      </c>
      <c r="G9" s="41">
        <f>distribuicao!K15/distribuicao!C9</f>
        <v>2.6666666666666668E-2</v>
      </c>
      <c r="H9" s="42">
        <f>distribuicao!L13</f>
        <v>16</v>
      </c>
      <c r="I9" s="41">
        <f>distribuicao!L13/distribuicao!C9</f>
        <v>0.21333333333333335</v>
      </c>
      <c r="J9" s="42">
        <f>distribuicao!L14</f>
        <v>4</v>
      </c>
      <c r="K9" s="41">
        <f>distribuicao!L14/distribuicao!C9</f>
        <v>5.3333333333333337E-2</v>
      </c>
      <c r="L9" s="42">
        <f>distribuicao!L15</f>
        <v>5</v>
      </c>
      <c r="M9" s="41">
        <f>distribuicao!L15/distribuicao!C9</f>
        <v>6.6666666666666666E-2</v>
      </c>
      <c r="N9" s="42">
        <f>distribuicao!M13</f>
        <v>9</v>
      </c>
      <c r="O9" s="41">
        <f>distribuicao!M13/distribuicao!C9</f>
        <v>0.12</v>
      </c>
      <c r="P9" s="42">
        <f>distribuicao!M14</f>
        <v>3</v>
      </c>
      <c r="Q9" s="41">
        <f>distribuicao!M14/distribuicao!C9</f>
        <v>0.04</v>
      </c>
      <c r="R9" s="42">
        <f>distribuicao!M15</f>
        <v>0</v>
      </c>
      <c r="S9" s="41">
        <f>distribuicao!M15/distribuicao!C9</f>
        <v>0</v>
      </c>
      <c r="T9" s="42">
        <f>distribuicao!N13</f>
        <v>2</v>
      </c>
      <c r="U9" s="41">
        <f>distribuicao!N13/distribuicao!C9</f>
        <v>2.6666666666666668E-2</v>
      </c>
      <c r="V9" s="42">
        <f>distribuicao!N14</f>
        <v>0</v>
      </c>
      <c r="W9" s="41">
        <f>distribuicao!N14/distribuicao!C9</f>
        <v>0</v>
      </c>
      <c r="X9" s="42">
        <f>distribuicao!N15</f>
        <v>5</v>
      </c>
      <c r="Y9" s="41">
        <f>distribuicao!N15/distribuicao!C9</f>
        <v>6.6666666666666666E-2</v>
      </c>
      <c r="Z9" s="42">
        <f>distribuicao!O13</f>
        <v>20</v>
      </c>
      <c r="AA9" s="41">
        <f>distribuicao!O13/distribuicao!C9</f>
        <v>0.26666666666666666</v>
      </c>
      <c r="AB9" s="42">
        <f>distribuicao!O14</f>
        <v>3</v>
      </c>
      <c r="AC9" s="41">
        <f>distribuicao!O14/distribuicao!C9</f>
        <v>0.04</v>
      </c>
      <c r="AD9" s="42">
        <f>distribuicao!O15</f>
        <v>0</v>
      </c>
      <c r="AE9" s="41">
        <f>distribuicao!O15/distribuicao!C9</f>
        <v>0</v>
      </c>
      <c r="AF9" s="42">
        <f>distribuicao!P13</f>
        <v>5</v>
      </c>
      <c r="AG9" s="41">
        <f>distribuicao!P13/distribuicao!C9</f>
        <v>6.6666666666666666E-2</v>
      </c>
      <c r="AH9" s="42">
        <f>distribuicao!P14</f>
        <v>0</v>
      </c>
      <c r="AI9" s="41">
        <f>distribuicao!P14/distribuicao!C9</f>
        <v>0</v>
      </c>
      <c r="AJ9" s="42">
        <f>distribuicao!P15</f>
        <v>0</v>
      </c>
      <c r="AK9" s="41">
        <f>distribuicao!P15/distribuicao!C9</f>
        <v>0</v>
      </c>
      <c r="AL9" s="36">
        <f t="shared" si="1"/>
        <v>75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2</v>
      </c>
      <c r="C10" s="41">
        <f>distribuicao!K20/distribuicao!C9</f>
        <v>2.6666666666666668E-2</v>
      </c>
      <c r="D10" s="42">
        <f>distribuicao!K21</f>
        <v>1</v>
      </c>
      <c r="E10" s="41">
        <f>distribuicao!K21/distribuicao!C9</f>
        <v>1.3333333333333334E-2</v>
      </c>
      <c r="F10" s="42">
        <f>distribuicao!K22</f>
        <v>0</v>
      </c>
      <c r="G10" s="41">
        <f>distribuicao!K22/distribuicao!C9</f>
        <v>0</v>
      </c>
      <c r="H10" s="42">
        <f>distribuicao!L20</f>
        <v>24</v>
      </c>
      <c r="I10" s="41">
        <f>distribuicao!L20/distribuicao!C9</f>
        <v>0.32</v>
      </c>
      <c r="J10" s="42">
        <f>distribuicao!L21</f>
        <v>1</v>
      </c>
      <c r="K10" s="41">
        <f>distribuicao!L21/distribuicao!C9</f>
        <v>1.3333333333333334E-2</v>
      </c>
      <c r="L10" s="42">
        <f>distribuicao!L22</f>
        <v>0</v>
      </c>
      <c r="M10" s="41">
        <f>distribuicao!L22/distribuicao!C9</f>
        <v>0</v>
      </c>
      <c r="N10" s="42">
        <f>distribuicao!M20</f>
        <v>11</v>
      </c>
      <c r="O10" s="41">
        <f>distribuicao!M20/distribuicao!C9</f>
        <v>0.14666666666666667</v>
      </c>
      <c r="P10" s="42">
        <f>distribuicao!M21</f>
        <v>1</v>
      </c>
      <c r="Q10" s="41">
        <f>distribuicao!M21/distribuicao!C9</f>
        <v>1.3333333333333334E-2</v>
      </c>
      <c r="R10" s="42">
        <f>distribuicao!M22</f>
        <v>0</v>
      </c>
      <c r="S10" s="41">
        <f>distribuicao!M22/distribuicao!C9</f>
        <v>0</v>
      </c>
      <c r="T10" s="42">
        <f>distribuicao!N20</f>
        <v>6</v>
      </c>
      <c r="U10" s="41">
        <f>distribuicao!N20/distribuicao!C9</f>
        <v>0.08</v>
      </c>
      <c r="V10" s="42">
        <f>distribuicao!N21</f>
        <v>1</v>
      </c>
      <c r="W10" s="41">
        <f>distribuicao!N21/distribuicao!C9</f>
        <v>1.3333333333333334E-2</v>
      </c>
      <c r="X10" s="42">
        <f>distribuicao!N22</f>
        <v>0</v>
      </c>
      <c r="Y10" s="41">
        <f>distribuicao!N22/distribuicao!C9</f>
        <v>0</v>
      </c>
      <c r="Z10" s="42">
        <f>distribuicao!O20</f>
        <v>22</v>
      </c>
      <c r="AA10" s="41">
        <f>distribuicao!O20/distribuicao!C9</f>
        <v>0.29333333333333333</v>
      </c>
      <c r="AB10" s="42">
        <f>distribuicao!O21</f>
        <v>1</v>
      </c>
      <c r="AC10" s="41">
        <f>distribuicao!O21/distribuicao!C9</f>
        <v>1.3333333333333334E-2</v>
      </c>
      <c r="AD10" s="42">
        <f>distribuicao!O22</f>
        <v>0</v>
      </c>
      <c r="AE10" s="41">
        <f>distribuicao!O22/distribuicao!C9</f>
        <v>0</v>
      </c>
      <c r="AF10" s="42">
        <f>distribuicao!P20</f>
        <v>5</v>
      </c>
      <c r="AG10" s="41">
        <f>distribuicao!P20/distribuicao!C9</f>
        <v>6.6666666666666666E-2</v>
      </c>
      <c r="AH10" s="42">
        <f>distribuicao!P21</f>
        <v>0</v>
      </c>
      <c r="AI10" s="41">
        <f>distribuicao!P21/distribuicao!C9</f>
        <v>0</v>
      </c>
      <c r="AJ10" s="42">
        <f>distribuicao!P22</f>
        <v>0</v>
      </c>
      <c r="AK10" s="41">
        <f>distribuicao!P22/distribuicao!C9</f>
        <v>0</v>
      </c>
      <c r="AL10" s="36">
        <f t="shared" si="1"/>
        <v>75</v>
      </c>
      <c r="AM10" s="37">
        <f t="shared" si="0"/>
        <v>0.99999999999999989</v>
      </c>
    </row>
    <row r="11" spans="1:39" x14ac:dyDescent="0.2">
      <c r="A11" s="33" t="s">
        <v>10</v>
      </c>
      <c r="B11" s="34">
        <f>distribuicao!K27</f>
        <v>1</v>
      </c>
      <c r="C11" s="35">
        <f>distribuicao!K27/distribuicao!C9</f>
        <v>1.3333333333333334E-2</v>
      </c>
      <c r="D11" s="34">
        <f>distribuicao!K28</f>
        <v>1</v>
      </c>
      <c r="E11" s="35">
        <f>distribuicao!K28/distribuicao!C9</f>
        <v>1.3333333333333334E-2</v>
      </c>
      <c r="F11" s="34">
        <f>distribuicao!K29</f>
        <v>1</v>
      </c>
      <c r="G11" s="35">
        <f>distribuicao!K29/distribuicao!C9</f>
        <v>1.3333333333333334E-2</v>
      </c>
      <c r="H11" s="34">
        <f>distribuicao!L27</f>
        <v>21</v>
      </c>
      <c r="I11" s="35">
        <f>distribuicao!L27/distribuicao!C9</f>
        <v>0.28000000000000003</v>
      </c>
      <c r="J11" s="34">
        <f>distribuicao!L28</f>
        <v>4</v>
      </c>
      <c r="K11" s="35">
        <f>distribuicao!L28/distribuicao!C9</f>
        <v>5.3333333333333337E-2</v>
      </c>
      <c r="L11" s="34">
        <f>distribuicao!L29</f>
        <v>0</v>
      </c>
      <c r="M11" s="35">
        <f>distribuicao!L29/distribuicao!C9</f>
        <v>0</v>
      </c>
      <c r="N11" s="34">
        <f>distribuicao!M27</f>
        <v>10</v>
      </c>
      <c r="O11" s="35">
        <f>distribuicao!M27/distribuicao!C9</f>
        <v>0.13333333333333333</v>
      </c>
      <c r="P11" s="34">
        <f>distribuicao!M28</f>
        <v>2</v>
      </c>
      <c r="Q11" s="35">
        <f>distribuicao!M28/distribuicao!C9</f>
        <v>2.6666666666666668E-2</v>
      </c>
      <c r="R11" s="34">
        <f>distribuicao!M29</f>
        <v>0</v>
      </c>
      <c r="S11" s="35">
        <f>distribuicao!M29/distribuicao!C9</f>
        <v>0</v>
      </c>
      <c r="T11" s="34">
        <f>distribuicao!N27</f>
        <v>2</v>
      </c>
      <c r="U11" s="35">
        <f>distribuicao!N27/distribuicao!C9</f>
        <v>2.6666666666666668E-2</v>
      </c>
      <c r="V11" s="34">
        <f>distribuicao!N28</f>
        <v>4</v>
      </c>
      <c r="W11" s="35">
        <f>distribuicao!N28/distribuicao!C9</f>
        <v>5.3333333333333337E-2</v>
      </c>
      <c r="X11" s="34">
        <f>distribuicao!N29</f>
        <v>1</v>
      </c>
      <c r="Y11" s="35">
        <f>distribuicao!N29/distribuicao!C9</f>
        <v>1.3333333333333334E-2</v>
      </c>
      <c r="Z11" s="34">
        <f>distribuicao!O27</f>
        <v>23</v>
      </c>
      <c r="AA11" s="35">
        <f>distribuicao!O27/distribuicao!C9</f>
        <v>0.30666666666666664</v>
      </c>
      <c r="AB11" s="34">
        <f>distribuicao!O28</f>
        <v>0</v>
      </c>
      <c r="AC11" s="35">
        <f>distribuicao!O28/distribuicao!C9</f>
        <v>0</v>
      </c>
      <c r="AD11" s="34">
        <f>distribuicao!O29</f>
        <v>0</v>
      </c>
      <c r="AE11" s="35">
        <f>distribuicao!O29/distribuicao!C9</f>
        <v>0</v>
      </c>
      <c r="AF11" s="34">
        <f>distribuicao!P27</f>
        <v>5</v>
      </c>
      <c r="AG11" s="35">
        <f>distribuicao!P27/distribuicao!C9</f>
        <v>6.6666666666666666E-2</v>
      </c>
      <c r="AH11" s="34">
        <f>distribuicao!P28</f>
        <v>0</v>
      </c>
      <c r="AI11" s="35">
        <f>distribuicao!P28/distribuicao!C9</f>
        <v>0</v>
      </c>
      <c r="AJ11" s="34">
        <f>distribuicao!P29</f>
        <v>0</v>
      </c>
      <c r="AK11" s="35">
        <f>distribuicao!P29/distribuicao!C9</f>
        <v>0</v>
      </c>
      <c r="AL11" s="36">
        <f t="shared" si="1"/>
        <v>75</v>
      </c>
      <c r="AM11" s="37">
        <f t="shared" si="0"/>
        <v>0.99999999999999989</v>
      </c>
    </row>
    <row r="12" spans="1:39" x14ac:dyDescent="0.2">
      <c r="A12" s="33" t="s">
        <v>11</v>
      </c>
      <c r="B12" s="42">
        <f>distribuicao!K34</f>
        <v>3</v>
      </c>
      <c r="C12" s="41">
        <f>distribuicao!K34/distribuicao!C9</f>
        <v>0.04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25</v>
      </c>
      <c r="I12" s="41">
        <f>distribuicao!L34/distribuicao!C9</f>
        <v>0.33333333333333331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12</v>
      </c>
      <c r="O12" s="41">
        <f>distribuicao!M34/distribuicao!C9</f>
        <v>0.16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7</v>
      </c>
      <c r="U12" s="41">
        <f>distribuicao!N34/distribuicao!C9</f>
        <v>9.3333333333333338E-2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23</v>
      </c>
      <c r="AA12" s="41">
        <f>distribuicao!O34/distribuicao!C9</f>
        <v>0.30666666666666664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5</v>
      </c>
      <c r="AG12" s="41">
        <f>distribuicao!P34/distribuicao!C9</f>
        <v>6.6666666666666666E-2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75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2019-04-10T00:45:33Z</dcterms:modified>
  <dc:language>pt-BR</dc:language>
</cp:coreProperties>
</file>