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customXml/itemProps1.xml" ContentType="application/vnd.openxmlformats-officedocument.customXmlProperti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2.xml" ContentType="application/vnd.openxmlformats-officedocument.spreadsheetml.pivotTable+xml"/>
  <Override PartName="/xl/tables/table1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charts/style2.xml" ContentType="application/vnd.ms-office.chartsty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threadedComments/threadedComment1.xml" ContentType="application/vnd.ms-excel.threaded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harts/colors2.xml" ContentType="application/vnd.ms-office.chartcolorstyle+xml"/>
  <Override PartName="/xl/worksheets/sheet17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4.xml" ContentType="application/vnd.openxmlformats-officedocument.customXmlProperties+xml"/>
  <Override PartName="/xl/charts/colors1.xml" ContentType="application/vnd.ms-office.chartcolorsty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tables/table3.xml" ContentType="application/vnd.openxmlformats-officedocument.spreadsheetml.table+xml"/>
  <Default Extension="png" ContentType="image/png"/>
  <Override PartName="/xl/tables/table15.xml" ContentType="application/vnd.openxmlformats-officedocument.spreadsheetml.table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tables/table11.xml" ContentType="application/vnd.openxmlformats-officedocument.spreadsheetml.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9435" yWindow="1350" windowWidth="20730" windowHeight="11760" firstSheet="8" activeTab="10"/>
  </bookViews>
  <sheets>
    <sheet name="Project Data" sheetId="26" r:id="rId1"/>
    <sheet name="Task Health Data" sheetId="30" r:id="rId2"/>
    <sheet name="Financials Data" sheetId="29" r:id="rId3"/>
    <sheet name="Feedback" sheetId="37" r:id="rId4"/>
    <sheet name="Icons" sheetId="28" r:id="rId5"/>
    <sheet name="DateDiffs" sheetId="27" r:id="rId6"/>
    <sheet name="Funnel" sheetId="33" r:id="rId7"/>
    <sheet name="Project Types" sheetId="32" r:id="rId8"/>
    <sheet name="PM Defined Status" sheetId="31" r:id="rId9"/>
    <sheet name="Gauges" sheetId="6" r:id="rId10"/>
    <sheet name="Total Risk" sheetId="12" r:id="rId11"/>
    <sheet name="Resources Risk" sheetId="36" r:id="rId12"/>
    <sheet name="Pace Risk" sheetId="34" r:id="rId13"/>
    <sheet name="Execution Risk" sheetId="35" r:id="rId14"/>
    <sheet name="Ext. Feedback" sheetId="5" r:id="rId15"/>
    <sheet name="Issues" sheetId="11" r:id="rId16"/>
    <sheet name="Project Status" sheetId="14" r:id="rId17"/>
  </sheets>
  <externalReferences>
    <externalReference r:id="rId18"/>
  </externalReferences>
  <definedNames>
    <definedName name="POWER_USER_EXCEL_CHART_4D43EE61_D2BC_42AB_AD78_79B2DE7C6FC8">#REF!</definedName>
  </definedNames>
  <calcPr calcId="124519"/>
  <pivotCaches>
    <pivotCache cacheId="6" r:id="rId19"/>
    <pivotCache cacheId="7" r:id="rId20"/>
    <pivotCache cacheId="8" r:id="rId21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/>
  <c r="C2"/>
  <c r="B2"/>
  <c r="H2" i="31" l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G14"/>
  <c r="G18"/>
  <c r="G19"/>
  <c r="O5"/>
  <c r="N5"/>
  <c r="M5"/>
  <c r="L5"/>
  <c r="P5" s="1"/>
  <c r="O4"/>
  <c r="N4"/>
  <c r="M4"/>
  <c r="L4"/>
  <c r="P4" s="1"/>
  <c r="O3"/>
  <c r="N3"/>
  <c r="M3"/>
  <c r="L3"/>
  <c r="P3" s="1"/>
  <c r="O2"/>
  <c r="N2"/>
  <c r="M2"/>
  <c r="L2"/>
  <c r="P2" s="1"/>
  <c r="E25" i="11"/>
  <c r="F25" s="1"/>
  <c r="E28" i="36"/>
  <c r="D25" i="12" s="1"/>
  <c r="E27" i="36"/>
  <c r="E26"/>
  <c r="D24" i="12" s="1"/>
  <c r="E25" i="36"/>
  <c r="D23" i="12" s="1"/>
  <c r="E24" i="36"/>
  <c r="D22" i="12" s="1"/>
  <c r="E23" i="36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32" i="35"/>
  <c r="E31"/>
  <c r="E30"/>
  <c r="E29"/>
  <c r="E28"/>
  <c r="E27"/>
  <c r="E26"/>
  <c r="E25"/>
  <c r="C25" i="12" s="1"/>
  <c r="E24" i="35"/>
  <c r="C24" i="12" s="1"/>
  <c r="E23" i="35"/>
  <c r="C23" i="12" s="1"/>
  <c r="E23" s="1"/>
  <c r="F23" s="1"/>
  <c r="E22" i="35"/>
  <c r="C22" i="12" s="1"/>
  <c r="E21" i="35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33" i="34"/>
  <c r="E32"/>
  <c r="B25" i="12" s="1"/>
  <c r="E25" s="1"/>
  <c r="F25" s="1"/>
  <c r="E31" i="34"/>
  <c r="B24" i="12" s="1"/>
  <c r="E24" s="1"/>
  <c r="F24" s="1"/>
  <c r="E30" i="34"/>
  <c r="B23" i="12" s="1"/>
  <c r="E29" i="34"/>
  <c r="E28"/>
  <c r="E27"/>
  <c r="E26"/>
  <c r="B22" i="12" s="1"/>
  <c r="E25" i="34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J22" i="26"/>
  <c r="J23"/>
  <c r="B6" i="32"/>
  <c r="B5"/>
  <c r="B4"/>
  <c r="B3"/>
  <c r="B2"/>
  <c r="A25" i="31"/>
  <c r="A24"/>
  <c r="A23"/>
  <c r="A22"/>
  <c r="A21"/>
  <c r="A20"/>
  <c r="B19"/>
  <c r="C19" s="1"/>
  <c r="A19"/>
  <c r="B18"/>
  <c r="C18" s="1"/>
  <c r="A18"/>
  <c r="A17"/>
  <c r="A16"/>
  <c r="A15"/>
  <c r="B14"/>
  <c r="C14" s="1"/>
  <c r="A14"/>
  <c r="A13"/>
  <c r="A12"/>
  <c r="A11"/>
  <c r="A10"/>
  <c r="A9"/>
  <c r="A8"/>
  <c r="A7"/>
  <c r="A6"/>
  <c r="A5"/>
  <c r="A4"/>
  <c r="A3"/>
  <c r="A2"/>
  <c r="G25" i="11" l="1"/>
  <c r="G73" i="30" l="1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L25" i="29"/>
  <c r="K25"/>
  <c r="J25"/>
  <c r="H25"/>
  <c r="E25" i="31" s="1"/>
  <c r="E25" i="29"/>
  <c r="C25"/>
  <c r="D25" s="1"/>
  <c r="A25"/>
  <c r="L24"/>
  <c r="M24" s="1"/>
  <c r="K24"/>
  <c r="J24"/>
  <c r="H24"/>
  <c r="E24" i="31" s="1"/>
  <c r="E24" i="29"/>
  <c r="C24"/>
  <c r="D24" s="1"/>
  <c r="A24"/>
  <c r="L23"/>
  <c r="K23"/>
  <c r="J23"/>
  <c r="H23"/>
  <c r="E23" i="31" s="1"/>
  <c r="E23" i="29"/>
  <c r="C23"/>
  <c r="D23" s="1"/>
  <c r="A23"/>
  <c r="L22"/>
  <c r="M22" s="1"/>
  <c r="N22" s="1"/>
  <c r="O22" s="1"/>
  <c r="P22" s="1"/>
  <c r="K22"/>
  <c r="J22"/>
  <c r="H22"/>
  <c r="E22" i="31" s="1"/>
  <c r="E22" i="29"/>
  <c r="C22"/>
  <c r="D22" s="1"/>
  <c r="A22"/>
  <c r="L21"/>
  <c r="M21" s="1"/>
  <c r="N21" s="1"/>
  <c r="V21" s="1"/>
  <c r="AB21" s="1"/>
  <c r="K21"/>
  <c r="J21"/>
  <c r="H21"/>
  <c r="E21" i="31" s="1"/>
  <c r="E21" i="29"/>
  <c r="C21"/>
  <c r="D21" s="1"/>
  <c r="A21"/>
  <c r="L20"/>
  <c r="K20"/>
  <c r="J20"/>
  <c r="H20"/>
  <c r="E20" i="31" s="1"/>
  <c r="E20" i="29"/>
  <c r="C20"/>
  <c r="D20" s="1"/>
  <c r="A20"/>
  <c r="AB19"/>
  <c r="L19"/>
  <c r="M19" s="1"/>
  <c r="N19" s="1"/>
  <c r="K19"/>
  <c r="J19"/>
  <c r="H19"/>
  <c r="E19" i="31" s="1"/>
  <c r="E19" i="29"/>
  <c r="C19"/>
  <c r="D19" s="1"/>
  <c r="A19"/>
  <c r="AB18"/>
  <c r="L18"/>
  <c r="M18" s="1"/>
  <c r="N18" s="1"/>
  <c r="K18"/>
  <c r="J18"/>
  <c r="H18"/>
  <c r="E18" i="31" s="1"/>
  <c r="E18" i="29"/>
  <c r="C18"/>
  <c r="D18" s="1"/>
  <c r="A18"/>
  <c r="L17"/>
  <c r="K17"/>
  <c r="J17"/>
  <c r="H17"/>
  <c r="E17" i="31" s="1"/>
  <c r="E17" i="29"/>
  <c r="C17"/>
  <c r="D17" s="1"/>
  <c r="A17"/>
  <c r="L16"/>
  <c r="M16" s="1"/>
  <c r="N16" s="1"/>
  <c r="K16"/>
  <c r="J16"/>
  <c r="H16"/>
  <c r="E16" i="31" s="1"/>
  <c r="E16" i="29"/>
  <c r="C16"/>
  <c r="D16" s="1"/>
  <c r="A16"/>
  <c r="L15"/>
  <c r="K15"/>
  <c r="J15"/>
  <c r="H15"/>
  <c r="E15" i="31" s="1"/>
  <c r="E15" i="29"/>
  <c r="C15"/>
  <c r="D15" s="1"/>
  <c r="A15"/>
  <c r="AB14"/>
  <c r="L14"/>
  <c r="K14"/>
  <c r="J14"/>
  <c r="H14"/>
  <c r="E14" i="31" s="1"/>
  <c r="E14" i="29"/>
  <c r="C14"/>
  <c r="D14" s="1"/>
  <c r="A14"/>
  <c r="L13"/>
  <c r="M13" s="1"/>
  <c r="N13" s="1"/>
  <c r="O13" s="1"/>
  <c r="P13" s="1"/>
  <c r="K13"/>
  <c r="J13"/>
  <c r="H13"/>
  <c r="E13" i="31" s="1"/>
  <c r="E13" i="29"/>
  <c r="C13"/>
  <c r="D13" s="1"/>
  <c r="A13"/>
  <c r="L12"/>
  <c r="K12"/>
  <c r="J12"/>
  <c r="H12"/>
  <c r="E12" i="31" s="1"/>
  <c r="E12" i="29"/>
  <c r="C12"/>
  <c r="D12" s="1"/>
  <c r="A12"/>
  <c r="L11"/>
  <c r="M11" s="1"/>
  <c r="K11"/>
  <c r="J11"/>
  <c r="H11"/>
  <c r="E11" i="31" s="1"/>
  <c r="E11" i="29"/>
  <c r="C11"/>
  <c r="D11" s="1"/>
  <c r="A11"/>
  <c r="L10"/>
  <c r="K10"/>
  <c r="J10"/>
  <c r="H10"/>
  <c r="E10" i="31" s="1"/>
  <c r="E10" i="29"/>
  <c r="C10"/>
  <c r="D10" s="1"/>
  <c r="A10"/>
  <c r="L9"/>
  <c r="K9"/>
  <c r="J9"/>
  <c r="H9"/>
  <c r="E9" i="31" s="1"/>
  <c r="E9" i="29"/>
  <c r="C9"/>
  <c r="D9" s="1"/>
  <c r="A9"/>
  <c r="L8"/>
  <c r="M8" s="1"/>
  <c r="N8" s="1"/>
  <c r="K8"/>
  <c r="J8"/>
  <c r="H8"/>
  <c r="E8" i="31" s="1"/>
  <c r="E8" i="29"/>
  <c r="C8"/>
  <c r="D8" s="1"/>
  <c r="A8"/>
  <c r="L7"/>
  <c r="K7"/>
  <c r="J7"/>
  <c r="H7"/>
  <c r="E7" i="31" s="1"/>
  <c r="E7" i="29"/>
  <c r="C7"/>
  <c r="D7" s="1"/>
  <c r="A7"/>
  <c r="L6"/>
  <c r="M6" s="1"/>
  <c r="N6" s="1"/>
  <c r="K6"/>
  <c r="J6"/>
  <c r="H6"/>
  <c r="E6" i="31" s="1"/>
  <c r="E6" i="29"/>
  <c r="C6"/>
  <c r="D6" s="1"/>
  <c r="A6"/>
  <c r="L5"/>
  <c r="M5" s="1"/>
  <c r="N5" s="1"/>
  <c r="K5"/>
  <c r="J5"/>
  <c r="H5"/>
  <c r="E5" i="31" s="1"/>
  <c r="E5" i="29"/>
  <c r="C5"/>
  <c r="D5" s="1"/>
  <c r="A5"/>
  <c r="L4"/>
  <c r="M4" s="1"/>
  <c r="N4" s="1"/>
  <c r="O4" s="1"/>
  <c r="P4" s="1"/>
  <c r="Q4" s="1"/>
  <c r="R4" s="1"/>
  <c r="S4" s="1"/>
  <c r="K4"/>
  <c r="J4"/>
  <c r="H4"/>
  <c r="E4" i="31" s="1"/>
  <c r="E4" i="29"/>
  <c r="C4"/>
  <c r="D4" s="1"/>
  <c r="A4"/>
  <c r="L3"/>
  <c r="K3"/>
  <c r="J3"/>
  <c r="H3"/>
  <c r="E3" i="31" s="1"/>
  <c r="E3" i="29"/>
  <c r="C3"/>
  <c r="D3" s="1"/>
  <c r="A3"/>
  <c r="L2"/>
  <c r="M2" s="1"/>
  <c r="O2" s="1"/>
  <c r="K2"/>
  <c r="J2"/>
  <c r="H2"/>
  <c r="E2" i="31" s="1"/>
  <c r="E2" i="29"/>
  <c r="C2"/>
  <c r="D2" s="1"/>
  <c r="A2"/>
  <c r="B3" i="27"/>
  <c r="D3" i="31" s="1"/>
  <c r="B4" i="27"/>
  <c r="D4" i="31" s="1"/>
  <c r="B5" i="27"/>
  <c r="D5" i="31" s="1"/>
  <c r="B6" i="27"/>
  <c r="D6" i="31" s="1"/>
  <c r="B7" i="27"/>
  <c r="D7" i="31" s="1"/>
  <c r="B8" i="27"/>
  <c r="D8" i="31" s="1"/>
  <c r="B9" i="27"/>
  <c r="D9" i="31" s="1"/>
  <c r="B10" i="27"/>
  <c r="D10" i="31" s="1"/>
  <c r="B11" i="27"/>
  <c r="D11" i="31" s="1"/>
  <c r="B12" i="27"/>
  <c r="D12" i="31" s="1"/>
  <c r="B13" i="27"/>
  <c r="D13" i="31" s="1"/>
  <c r="B14" i="27"/>
  <c r="D14" i="31" s="1"/>
  <c r="B15" i="27"/>
  <c r="D15" i="31" s="1"/>
  <c r="B16" i="27"/>
  <c r="D16" i="31" s="1"/>
  <c r="B17" i="27"/>
  <c r="D17" i="31" s="1"/>
  <c r="B18" i="27"/>
  <c r="D18" i="31" s="1"/>
  <c r="B19" i="27"/>
  <c r="D19" i="31" s="1"/>
  <c r="B20" i="27"/>
  <c r="D20" i="31" s="1"/>
  <c r="B21" i="27"/>
  <c r="D21" i="31" s="1"/>
  <c r="B22" i="27"/>
  <c r="D22" i="31" s="1"/>
  <c r="B23" i="27"/>
  <c r="D23" i="31" s="1"/>
  <c r="B24" i="27"/>
  <c r="D24" i="31" s="1"/>
  <c r="B25" i="27"/>
  <c r="D25" i="31" s="1"/>
  <c r="B2" i="27"/>
  <c r="D2" i="31" s="1"/>
  <c r="A3" i="27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"/>
  <c r="B21" i="31" l="1"/>
  <c r="C21" s="1"/>
  <c r="F21" s="1"/>
  <c r="G21"/>
  <c r="F18"/>
  <c r="F19"/>
  <c r="F14"/>
  <c r="F7" i="29"/>
  <c r="I7" s="1"/>
  <c r="F21"/>
  <c r="I21" s="1"/>
  <c r="F11"/>
  <c r="I11" s="1"/>
  <c r="F16"/>
  <c r="I16" s="1"/>
  <c r="F18"/>
  <c r="I18" s="1"/>
  <c r="F8"/>
  <c r="I8" s="1"/>
  <c r="F23"/>
  <c r="I23" s="1"/>
  <c r="N2"/>
  <c r="AC2" s="1"/>
  <c r="F14"/>
  <c r="I14" s="1"/>
  <c r="F3"/>
  <c r="I3" s="1"/>
  <c r="F22"/>
  <c r="I22" s="1"/>
  <c r="F13"/>
  <c r="I13" s="1"/>
  <c r="F19"/>
  <c r="I19" s="1"/>
  <c r="F25"/>
  <c r="I25" s="1"/>
  <c r="F9"/>
  <c r="I9" s="1"/>
  <c r="F4"/>
  <c r="I4" s="1"/>
  <c r="F20"/>
  <c r="I20" s="1"/>
  <c r="F10"/>
  <c r="I10" s="1"/>
  <c r="F2"/>
  <c r="I2" s="1"/>
  <c r="F6"/>
  <c r="I6" s="1"/>
  <c r="F12"/>
  <c r="I12" s="1"/>
  <c r="F15"/>
  <c r="I15" s="1"/>
  <c r="F24"/>
  <c r="I24" s="1"/>
  <c r="F5"/>
  <c r="I5" s="1"/>
  <c r="F17"/>
  <c r="I17" s="1"/>
  <c r="O18"/>
  <c r="P18" s="1"/>
  <c r="Q18" s="1"/>
  <c r="R18" s="1"/>
  <c r="AC21"/>
  <c r="O5"/>
  <c r="P5" s="1"/>
  <c r="Q5" s="1"/>
  <c r="O8"/>
  <c r="P8" s="1"/>
  <c r="Q8" s="1"/>
  <c r="O16"/>
  <c r="P16" s="1"/>
  <c r="O6"/>
  <c r="P6" s="1"/>
  <c r="M9"/>
  <c r="N9" s="1"/>
  <c r="O9" s="1"/>
  <c r="P9" s="1"/>
  <c r="Q9" s="1"/>
  <c r="R9" s="1"/>
  <c r="N11"/>
  <c r="O11" s="1"/>
  <c r="P11" s="1"/>
  <c r="Q11" s="1"/>
  <c r="O19"/>
  <c r="AC19" s="1"/>
  <c r="N24"/>
  <c r="O24" s="1"/>
  <c r="V13"/>
  <c r="AB13" s="1"/>
  <c r="M17"/>
  <c r="N17" s="1"/>
  <c r="M20"/>
  <c r="N20" s="1"/>
  <c r="O20" s="1"/>
  <c r="P20" s="1"/>
  <c r="V22"/>
  <c r="AB22" s="1"/>
  <c r="M3"/>
  <c r="N3" s="1"/>
  <c r="O3" s="1"/>
  <c r="P3" s="1"/>
  <c r="Q3" s="1"/>
  <c r="M14"/>
  <c r="N14" s="1"/>
  <c r="O14" s="1"/>
  <c r="M23"/>
  <c r="V4"/>
  <c r="AB4" s="1"/>
  <c r="M7"/>
  <c r="N7" s="1"/>
  <c r="AC13"/>
  <c r="AC22"/>
  <c r="M25"/>
  <c r="N25" s="1"/>
  <c r="O25" s="1"/>
  <c r="P25" s="1"/>
  <c r="Q25" s="1"/>
  <c r="AC4"/>
  <c r="M12"/>
  <c r="M15"/>
  <c r="N15" s="1"/>
  <c r="M10"/>
  <c r="B22" i="31" l="1"/>
  <c r="C22" s="1"/>
  <c r="F22" s="1"/>
  <c r="G22"/>
  <c r="B13"/>
  <c r="C13" s="1"/>
  <c r="F13" s="1"/>
  <c r="G13"/>
  <c r="B4"/>
  <c r="C4" s="1"/>
  <c r="F4" s="1"/>
  <c r="G4"/>
  <c r="AC17" i="29"/>
  <c r="V15"/>
  <c r="AB15" s="1"/>
  <c r="V16"/>
  <c r="AB16" s="1"/>
  <c r="AC5"/>
  <c r="V2"/>
  <c r="AB2" s="1"/>
  <c r="V9"/>
  <c r="AB9" s="1"/>
  <c r="V3"/>
  <c r="AB3" s="1"/>
  <c r="AC6"/>
  <c r="AC8"/>
  <c r="V8"/>
  <c r="AB8" s="1"/>
  <c r="AC14"/>
  <c r="AC9"/>
  <c r="AC3"/>
  <c r="N10"/>
  <c r="V20"/>
  <c r="AB20" s="1"/>
  <c r="V24"/>
  <c r="AB24" s="1"/>
  <c r="V5"/>
  <c r="AB5" s="1"/>
  <c r="AC24"/>
  <c r="V17"/>
  <c r="AB17" s="1"/>
  <c r="N23"/>
  <c r="AC20"/>
  <c r="N12"/>
  <c r="O12" s="1"/>
  <c r="AC16"/>
  <c r="AC7"/>
  <c r="V7"/>
  <c r="AB7" s="1"/>
  <c r="AC11"/>
  <c r="AC18"/>
  <c r="V25"/>
  <c r="AB25" s="1"/>
  <c r="V6"/>
  <c r="AB6" s="1"/>
  <c r="AC25"/>
  <c r="AC15"/>
  <c r="V11"/>
  <c r="AB11" s="1"/>
  <c r="B19" i="12"/>
  <c r="B18"/>
  <c r="B14"/>
  <c r="C13"/>
  <c r="B13"/>
  <c r="B12"/>
  <c r="C9"/>
  <c r="D5"/>
  <c r="D3"/>
  <c r="C2"/>
  <c r="O16" i="14"/>
  <c r="O15"/>
  <c r="E24" i="11"/>
  <c r="G24" s="1"/>
  <c r="E23"/>
  <c r="F23" s="1"/>
  <c r="G22"/>
  <c r="F22"/>
  <c r="E21"/>
  <c r="G21" s="1"/>
  <c r="E20"/>
  <c r="F20" s="1"/>
  <c r="E19"/>
  <c r="G19" s="1"/>
  <c r="E18"/>
  <c r="F18" s="1"/>
  <c r="E17"/>
  <c r="G17" s="1"/>
  <c r="E16"/>
  <c r="F16" s="1"/>
  <c r="E15"/>
  <c r="G15" s="1"/>
  <c r="E14"/>
  <c r="F14" s="1"/>
  <c r="E13"/>
  <c r="G13" s="1"/>
  <c r="E12"/>
  <c r="F12" s="1"/>
  <c r="E11"/>
  <c r="G11" s="1"/>
  <c r="E10"/>
  <c r="F10" s="1"/>
  <c r="E9"/>
  <c r="G9" s="1"/>
  <c r="E8"/>
  <c r="F8" s="1"/>
  <c r="E7"/>
  <c r="F7" s="1"/>
  <c r="E6"/>
  <c r="F6" s="1"/>
  <c r="E5"/>
  <c r="G5" s="1"/>
  <c r="E4"/>
  <c r="F4" s="1"/>
  <c r="E3"/>
  <c r="F3" s="1"/>
  <c r="E2"/>
  <c r="F2" s="1"/>
  <c r="B6" i="5"/>
  <c r="B7"/>
  <c r="B5"/>
  <c r="B17" i="31" l="1"/>
  <c r="C17" s="1"/>
  <c r="F17" s="1"/>
  <c r="G17"/>
  <c r="B20"/>
  <c r="C20" s="1"/>
  <c r="F20" s="1"/>
  <c r="G20"/>
  <c r="B3"/>
  <c r="C3" s="1"/>
  <c r="F3" s="1"/>
  <c r="G3"/>
  <c r="B16"/>
  <c r="C16" s="1"/>
  <c r="F16" s="1"/>
  <c r="G16"/>
  <c r="B11"/>
  <c r="C11" s="1"/>
  <c r="F11" s="1"/>
  <c r="G11"/>
  <c r="B25"/>
  <c r="C25" s="1"/>
  <c r="F25" s="1"/>
  <c r="G25"/>
  <c r="B24"/>
  <c r="C24" s="1"/>
  <c r="F24" s="1"/>
  <c r="G24"/>
  <c r="B6"/>
  <c r="C6" s="1"/>
  <c r="F6" s="1"/>
  <c r="G6"/>
  <c r="B7"/>
  <c r="C7" s="1"/>
  <c r="F7" s="1"/>
  <c r="G7"/>
  <c r="B5"/>
  <c r="C5" s="1"/>
  <c r="F5" s="1"/>
  <c r="G5"/>
  <c r="B2"/>
  <c r="C2" s="1"/>
  <c r="F2" s="1"/>
  <c r="G2"/>
  <c r="B8"/>
  <c r="C8" s="1"/>
  <c r="F8" s="1"/>
  <c r="G8"/>
  <c r="B9"/>
  <c r="C9" s="1"/>
  <c r="F9" s="1"/>
  <c r="G9"/>
  <c r="B15"/>
  <c r="C15" s="1"/>
  <c r="F15" s="1"/>
  <c r="G15"/>
  <c r="G7" i="11"/>
  <c r="F11"/>
  <c r="C19" i="12"/>
  <c r="AC12" i="29"/>
  <c r="V12"/>
  <c r="AB12" s="1"/>
  <c r="O23"/>
  <c r="P23" s="1"/>
  <c r="Q23" s="1"/>
  <c r="R23" s="1"/>
  <c r="S23" s="1"/>
  <c r="T23" s="1"/>
  <c r="AC23" s="1"/>
  <c r="O10"/>
  <c r="AC10" s="1"/>
  <c r="C15" i="12"/>
  <c r="D12"/>
  <c r="D20"/>
  <c r="F17" i="11"/>
  <c r="C4" i="12"/>
  <c r="G12" i="11"/>
  <c r="D13" i="12"/>
  <c r="F13" i="11"/>
  <c r="G20"/>
  <c r="D2" i="12"/>
  <c r="D16"/>
  <c r="D21"/>
  <c r="F21" i="11"/>
  <c r="D18" i="12"/>
  <c r="F15" i="11"/>
  <c r="D9" i="12"/>
  <c r="G2" i="11"/>
  <c r="B10" i="12"/>
  <c r="G10" i="11"/>
  <c r="D11" i="12"/>
  <c r="C20"/>
  <c r="G3" i="11"/>
  <c r="G16"/>
  <c r="G23"/>
  <c r="G4"/>
  <c r="G18"/>
  <c r="C18" i="12"/>
  <c r="G8" i="11"/>
  <c r="F19"/>
  <c r="G14"/>
  <c r="F9"/>
  <c r="D4" i="12"/>
  <c r="F5" i="11"/>
  <c r="C6" i="12"/>
  <c r="G6" i="11"/>
  <c r="D6" i="12"/>
  <c r="B17"/>
  <c r="D17"/>
  <c r="E5" i="5"/>
  <c r="D5"/>
  <c r="E6"/>
  <c r="D6"/>
  <c r="E7"/>
  <c r="D7"/>
  <c r="C12" i="12"/>
  <c r="F24" i="11"/>
  <c r="B9" i="12"/>
  <c r="D8"/>
  <c r="B21"/>
  <c r="B4"/>
  <c r="B8"/>
  <c r="B16"/>
  <c r="B3"/>
  <c r="B7"/>
  <c r="B15"/>
  <c r="B20"/>
  <c r="C11"/>
  <c r="C16"/>
  <c r="C7"/>
  <c r="C21"/>
  <c r="C17"/>
  <c r="C10"/>
  <c r="C8"/>
  <c r="C5"/>
  <c r="D7"/>
  <c r="D10"/>
  <c r="D14"/>
  <c r="D19"/>
  <c r="D15"/>
  <c r="C3"/>
  <c r="C14"/>
  <c r="B2"/>
  <c r="B5"/>
  <c r="B6"/>
  <c r="B11"/>
  <c r="B12" i="31" l="1"/>
  <c r="C12" s="1"/>
  <c r="F12" s="1"/>
  <c r="G12"/>
  <c r="E4" i="12"/>
  <c r="F4" s="1"/>
  <c r="V10" i="29"/>
  <c r="AB10" s="1"/>
  <c r="V23"/>
  <c r="AB23" s="1"/>
  <c r="E13" i="12"/>
  <c r="F13" s="1"/>
  <c r="E21"/>
  <c r="F21" s="1"/>
  <c r="E12"/>
  <c r="F12" s="1"/>
  <c r="F7" i="5"/>
  <c r="E18" i="12"/>
  <c r="F18" s="1"/>
  <c r="E9"/>
  <c r="F9" s="1"/>
  <c r="E17"/>
  <c r="F17" s="1"/>
  <c r="E6"/>
  <c r="F6" s="1"/>
  <c r="E5" i="14"/>
  <c r="E20" i="12"/>
  <c r="F20" s="1"/>
  <c r="E3"/>
  <c r="F3" s="1"/>
  <c r="F4" i="14"/>
  <c r="F6" i="5"/>
  <c r="E16" i="12"/>
  <c r="F16" s="1"/>
  <c r="E5"/>
  <c r="F5" s="1"/>
  <c r="H5" i="14"/>
  <c r="G5"/>
  <c r="F5"/>
  <c r="F5" i="5"/>
  <c r="E4" i="14"/>
  <c r="H4"/>
  <c r="G4"/>
  <c r="E6"/>
  <c r="H6"/>
  <c r="G6"/>
  <c r="F6"/>
  <c r="E11" i="12"/>
  <c r="F11" s="1"/>
  <c r="E7"/>
  <c r="F7" s="1"/>
  <c r="E10"/>
  <c r="F10" s="1"/>
  <c r="O3"/>
  <c r="E15"/>
  <c r="F15" s="1"/>
  <c r="N3"/>
  <c r="E2"/>
  <c r="F2" s="1"/>
  <c r="E14"/>
  <c r="F14" s="1"/>
  <c r="M3"/>
  <c r="E19"/>
  <c r="F19" s="1"/>
  <c r="E8"/>
  <c r="F8" s="1"/>
  <c r="B23" i="31" l="1"/>
  <c r="C23" s="1"/>
  <c r="F23" s="1"/>
  <c r="E2" i="6" s="1"/>
  <c r="G23" i="31"/>
  <c r="B10"/>
  <c r="C10" s="1"/>
  <c r="F10" s="1"/>
  <c r="G10"/>
  <c r="H3" i="14"/>
  <c r="F3"/>
  <c r="E3"/>
  <c r="G3"/>
  <c r="I5"/>
  <c r="I4"/>
  <c r="I6"/>
  <c r="E22" i="12"/>
  <c r="F22" s="1"/>
  <c r="I3" i="14" l="1"/>
</calcChain>
</file>

<file path=xl/connections.xml><?xml version="1.0" encoding="utf-8"?>
<connections xmlns="http://schemas.openxmlformats.org/spreadsheetml/2006/main">
  <connection id="1" keepAlive="1" name="Query - mockup_data" description="Connection to the 'mockup_data' query in the workbook." type="5" refreshedVersion="8" background="1" saveData="1">
    <dbPr connection="Provider=Microsoft.Mashup.OleDb.1;Data Source=$Workbook$;Location=mockup_data;Extended Properties=&quot;&quot;" command="SELECT * FROM [mockup_data]"/>
  </connection>
</connections>
</file>

<file path=xl/sharedStrings.xml><?xml version="1.0" encoding="utf-8"?>
<sst xmlns="http://schemas.openxmlformats.org/spreadsheetml/2006/main" count="1305" uniqueCount="473">
  <si>
    <t>RISK ICONS</t>
  </si>
  <si>
    <t xml:space="preserve">     ▮ </t>
  </si>
  <si>
    <t>▯</t>
  </si>
  <si>
    <t>▯▯▯▯▯</t>
  </si>
  <si>
    <t>▮▯▯▯▯</t>
  </si>
  <si>
    <t>▮▮▯▯▯</t>
  </si>
  <si>
    <t>▮▮▮▯▯</t>
  </si>
  <si>
    <t>▮▮▮▮▯</t>
  </si>
  <si>
    <t>▮▮▮▮▮</t>
  </si>
  <si>
    <t>Emoji based Icon sets == Win + .    OR    Win + ;</t>
  </si>
  <si>
    <t>Milestone1</t>
  </si>
  <si>
    <t>Milestone2</t>
  </si>
  <si>
    <t>Milestone3</t>
  </si>
  <si>
    <t>Milestone4</t>
  </si>
  <si>
    <t>Milestone5</t>
  </si>
  <si>
    <t>Milestone6</t>
  </si>
  <si>
    <t>Milestone7</t>
  </si>
  <si>
    <t>Milestone8</t>
  </si>
  <si>
    <t>Milestone9</t>
  </si>
  <si>
    <t>Milestone10</t>
  </si>
  <si>
    <t>Total Completed</t>
  </si>
  <si>
    <t>Q1</t>
  </si>
  <si>
    <t>Q2</t>
  </si>
  <si>
    <t>Q3</t>
  </si>
  <si>
    <t>Q4</t>
  </si>
  <si>
    <t>Total Possible</t>
  </si>
  <si>
    <t>% Completed</t>
  </si>
  <si>
    <t>Bin</t>
  </si>
  <si>
    <t>Budget</t>
  </si>
  <si>
    <t>https://www.posterpresentations.com/alt-code-cheatsheet.html</t>
  </si>
  <si>
    <t>PM Defined Status ICONS</t>
  </si>
  <si>
    <t>⦿</t>
  </si>
  <si>
    <t>✓</t>
  </si>
  <si>
    <t>●</t>
  </si>
  <si>
    <t>✖</t>
  </si>
  <si>
    <t>Issue Icons</t>
  </si>
  <si>
    <t>‼</t>
  </si>
  <si>
    <t>Low</t>
  </si>
  <si>
    <t xml:space="preserve">↘ </t>
  </si>
  <si>
    <t>Down</t>
  </si>
  <si>
    <t>Med</t>
  </si>
  <si>
    <t>→</t>
  </si>
  <si>
    <t>High</t>
  </si>
  <si>
    <t>↗</t>
  </si>
  <si>
    <t>Up</t>
  </si>
  <si>
    <t>↘️</t>
  </si>
  <si>
    <t>Critical</t>
  </si>
  <si>
    <t>⚠️</t>
  </si>
  <si>
    <t>Stop</t>
  </si>
  <si>
    <t>Scope</t>
  </si>
  <si>
    <t>Schedule</t>
  </si>
  <si>
    <t>OVERALL</t>
  </si>
  <si>
    <t>RISK</t>
  </si>
  <si>
    <t>Due Date</t>
  </si>
  <si>
    <t>Status</t>
  </si>
  <si>
    <t>Project ID</t>
  </si>
  <si>
    <t>Hours Used</t>
  </si>
  <si>
    <t>Institution Name</t>
  </si>
  <si>
    <t>Feedback Date</t>
  </si>
  <si>
    <t>Feedback Type</t>
  </si>
  <si>
    <t>Feedback Categories</t>
  </si>
  <si>
    <t>Feedback Score</t>
  </si>
  <si>
    <t>Qualitative Feedback</t>
  </si>
  <si>
    <t>Completed</t>
  </si>
  <si>
    <t>Data Generation</t>
  </si>
  <si>
    <t>Institution 68</t>
  </si>
  <si>
    <t>Interview</t>
  </si>
  <si>
    <t>Cooperation</t>
  </si>
  <si>
    <t>Feedback comment 68</t>
  </si>
  <si>
    <t>Institution 47</t>
  </si>
  <si>
    <t>Feedback comment 47</t>
  </si>
  <si>
    <t>Resources</t>
  </si>
  <si>
    <t>Institution 62</t>
  </si>
  <si>
    <t>Service Quality</t>
  </si>
  <si>
    <t>Feedback comment 62</t>
  </si>
  <si>
    <t>Institution 90</t>
  </si>
  <si>
    <t>Survey</t>
  </si>
  <si>
    <t>Communication</t>
  </si>
  <si>
    <t>Feedback comment 90</t>
  </si>
  <si>
    <t>Grant</t>
  </si>
  <si>
    <t>Institution 80</t>
  </si>
  <si>
    <t>Feedback comment 80</t>
  </si>
  <si>
    <t>Institution 11</t>
  </si>
  <si>
    <t>Feedback comment 11</t>
  </si>
  <si>
    <t>Initiatives</t>
  </si>
  <si>
    <t>Institution 60</t>
  </si>
  <si>
    <t>Feedback comment 60</t>
  </si>
  <si>
    <t>Institution 56</t>
  </si>
  <si>
    <t>Feedback comment 56</t>
  </si>
  <si>
    <t>Institution 6</t>
  </si>
  <si>
    <t>Feedback comment 6</t>
  </si>
  <si>
    <t>Institution 61</t>
  </si>
  <si>
    <t>Feedback comment 61</t>
  </si>
  <si>
    <t>Institution 16</t>
  </si>
  <si>
    <t>Feedback comment 16</t>
  </si>
  <si>
    <t>Institution 86</t>
  </si>
  <si>
    <t>Feedback comment 86</t>
  </si>
  <si>
    <t>Institution 88</t>
  </si>
  <si>
    <t>Feedback comment 88</t>
  </si>
  <si>
    <t>Institution 77</t>
  </si>
  <si>
    <t>Feedback comment 77</t>
  </si>
  <si>
    <t>Institution 19</t>
  </si>
  <si>
    <t>Feedback comment 19</t>
  </si>
  <si>
    <t>Institution 7</t>
  </si>
  <si>
    <t>Feedback comment 7</t>
  </si>
  <si>
    <t>Institution 93</t>
  </si>
  <si>
    <t>Feedback comment 93</t>
  </si>
  <si>
    <t>Institution 96</t>
  </si>
  <si>
    <t>Feedback comment 96</t>
  </si>
  <si>
    <t>Institution 74</t>
  </si>
  <si>
    <t>Feedback comment 74</t>
  </si>
  <si>
    <t>Institution 87</t>
  </si>
  <si>
    <t>Feedback comment 87</t>
  </si>
  <si>
    <t>Institution 31</t>
  </si>
  <si>
    <t>Feedback comment 31</t>
  </si>
  <si>
    <t>Institution 36</t>
  </si>
  <si>
    <t>Feedback comment 36</t>
  </si>
  <si>
    <t>Institution 38</t>
  </si>
  <si>
    <t>Feedback comment 38</t>
  </si>
  <si>
    <t>Institution 97</t>
  </si>
  <si>
    <t>Feedback comment 97</t>
  </si>
  <si>
    <t>Institution 35</t>
  </si>
  <si>
    <t>Feedback comment 35</t>
  </si>
  <si>
    <t>Institution 22</t>
  </si>
  <si>
    <t>Feedback comment 22</t>
  </si>
  <si>
    <t>Institution 75</t>
  </si>
  <si>
    <t>Feedback comment 75</t>
  </si>
  <si>
    <t>Institution 51</t>
  </si>
  <si>
    <t>Feedback comment 51</t>
  </si>
  <si>
    <t>Institution 49</t>
  </si>
  <si>
    <t>Feedback comment 49</t>
  </si>
  <si>
    <t>Institution 34</t>
  </si>
  <si>
    <t>Feedback comment 34</t>
  </si>
  <si>
    <t>Institution 84</t>
  </si>
  <si>
    <t>Feedback comment 84</t>
  </si>
  <si>
    <t>Institution 57</t>
  </si>
  <si>
    <t>Feedback comment 57</t>
  </si>
  <si>
    <t>Institution 72</t>
  </si>
  <si>
    <t>Feedback comment 72</t>
  </si>
  <si>
    <t>Institution 29</t>
  </si>
  <si>
    <t>Feedback comment 29</t>
  </si>
  <si>
    <t>Institution 4</t>
  </si>
  <si>
    <t>Feedback comment 4</t>
  </si>
  <si>
    <t>Institution 33</t>
  </si>
  <si>
    <t>Feedback comment 33</t>
  </si>
  <si>
    <t>Institution 10</t>
  </si>
  <si>
    <t>Feedback comment 10</t>
  </si>
  <si>
    <t>Institution 5</t>
  </si>
  <si>
    <t>Feedback comment 5</t>
  </si>
  <si>
    <t>Institution 25</t>
  </si>
  <si>
    <t>Feedback comment 25</t>
  </si>
  <si>
    <t>Institution 83</t>
  </si>
  <si>
    <t>Feedback comment 83</t>
  </si>
  <si>
    <t>Institution 58</t>
  </si>
  <si>
    <t>Feedback comment 58</t>
  </si>
  <si>
    <t>Institution 91</t>
  </si>
  <si>
    <t>Feedback comment 91</t>
  </si>
  <si>
    <t>Institution 71</t>
  </si>
  <si>
    <t>Feedback comment 71</t>
  </si>
  <si>
    <t>Institution 78</t>
  </si>
  <si>
    <t>Feedback comment 78</t>
  </si>
  <si>
    <t>Institution 70</t>
  </si>
  <si>
    <t>Feedback comment 70</t>
  </si>
  <si>
    <t>Institution 54</t>
  </si>
  <si>
    <t>Feedback comment 54</t>
  </si>
  <si>
    <t>Institution 13</t>
  </si>
  <si>
    <t>Feedback comment 13</t>
  </si>
  <si>
    <t>Institution 26</t>
  </si>
  <si>
    <t>Feedback comment 26</t>
  </si>
  <si>
    <t>Institution 95</t>
  </si>
  <si>
    <t>Feedback comment 95</t>
  </si>
  <si>
    <t>Institution 67</t>
  </si>
  <si>
    <t>Feedback comment 67</t>
  </si>
  <si>
    <t>Institution 3</t>
  </si>
  <si>
    <t>Feedback comment 3</t>
  </si>
  <si>
    <t>Institution 64</t>
  </si>
  <si>
    <t>Feedback comment 64</t>
  </si>
  <si>
    <t>Institution 21</t>
  </si>
  <si>
    <t>Feedback comment 21</t>
  </si>
  <si>
    <t>Institution 44</t>
  </si>
  <si>
    <t>Feedback comment 44</t>
  </si>
  <si>
    <t>Institution 43</t>
  </si>
  <si>
    <t>Feedback comment 43</t>
  </si>
  <si>
    <t>Institution 15</t>
  </si>
  <si>
    <t>Feedback comment 15</t>
  </si>
  <si>
    <t>Institution 46</t>
  </si>
  <si>
    <t>Feedback comment 46</t>
  </si>
  <si>
    <t>Institution 27</t>
  </si>
  <si>
    <t>Feedback comment 27</t>
  </si>
  <si>
    <t>Institution 82</t>
  </si>
  <si>
    <t>Feedback comment 82</t>
  </si>
  <si>
    <t>Institution 17</t>
  </si>
  <si>
    <t>Feedback comment 17</t>
  </si>
  <si>
    <t>Institution 28</t>
  </si>
  <si>
    <t>Feedback comment 28</t>
  </si>
  <si>
    <t>Institution 42</t>
  </si>
  <si>
    <t>Feedback comment 42</t>
  </si>
  <si>
    <t>Institution 8</t>
  </si>
  <si>
    <t>Feedback comment 8</t>
  </si>
  <si>
    <t>Institution 59</t>
  </si>
  <si>
    <t>Feedback comment 59</t>
  </si>
  <si>
    <t>Institution 40</t>
  </si>
  <si>
    <t>Feedback comment 40</t>
  </si>
  <si>
    <t>Institution 14</t>
  </si>
  <si>
    <t>Feedback comment 14</t>
  </si>
  <si>
    <t>Institution 48</t>
  </si>
  <si>
    <t>Feedback comment 48</t>
  </si>
  <si>
    <t>Institution 63</t>
  </si>
  <si>
    <t>Feedback comment 63</t>
  </si>
  <si>
    <t>Institution 85</t>
  </si>
  <si>
    <t>Feedback comment 85</t>
  </si>
  <si>
    <t>Institution 30</t>
  </si>
  <si>
    <t>Feedback comment 30</t>
  </si>
  <si>
    <t>Institution 73</t>
  </si>
  <si>
    <t>Feedback comment 73</t>
  </si>
  <si>
    <t>Institution 79</t>
  </si>
  <si>
    <t>Feedback comment 79</t>
  </si>
  <si>
    <t>Institution 81</t>
  </si>
  <si>
    <t>Feedback comment 81</t>
  </si>
  <si>
    <t>Institution 89</t>
  </si>
  <si>
    <t>Feedback comment 89</t>
  </si>
  <si>
    <t>Institution 1</t>
  </si>
  <si>
    <t>Feedback comment 1</t>
  </si>
  <si>
    <t>Institution 92</t>
  </si>
  <si>
    <t>Feedback comment 92</t>
  </si>
  <si>
    <t>Institution 50</t>
  </si>
  <si>
    <t>Feedback comment 50</t>
  </si>
  <si>
    <t>Institution 32</t>
  </si>
  <si>
    <t>Feedback comment 32</t>
  </si>
  <si>
    <t>Institution 2</t>
  </si>
  <si>
    <t>Feedback comment 2</t>
  </si>
  <si>
    <t>Institution 24</t>
  </si>
  <si>
    <t>Feedback comment 24</t>
  </si>
  <si>
    <t>Institution 52</t>
  </si>
  <si>
    <t>Feedback comment 52</t>
  </si>
  <si>
    <t>Institution 41</t>
  </si>
  <si>
    <t>Feedback comment 41</t>
  </si>
  <si>
    <t>Institution 69</t>
  </si>
  <si>
    <t>Feedback comment 69</t>
  </si>
  <si>
    <t>Institution 45</t>
  </si>
  <si>
    <t>Feedback comment 45</t>
  </si>
  <si>
    <t>Institution 94</t>
  </si>
  <si>
    <t>Feedback comment 94</t>
  </si>
  <si>
    <t>Institution 53</t>
  </si>
  <si>
    <t>Feedback comment 53</t>
  </si>
  <si>
    <t>Institution 20</t>
  </si>
  <si>
    <t>Feedback comment 20</t>
  </si>
  <si>
    <t>Institution 9</t>
  </si>
  <si>
    <t>Feedback comment 9</t>
  </si>
  <si>
    <t>Institution 100</t>
  </si>
  <si>
    <t>Feedback comment 100</t>
  </si>
  <si>
    <t>Institution 66</t>
  </si>
  <si>
    <t>Feedback comment 66</t>
  </si>
  <si>
    <t>Institution 98</t>
  </si>
  <si>
    <t>Feedback comment 98</t>
  </si>
  <si>
    <t>Institution 12</t>
  </si>
  <si>
    <t>Feedback comment 12</t>
  </si>
  <si>
    <t>Institution 65</t>
  </si>
  <si>
    <t>Feedback comment 65</t>
  </si>
  <si>
    <t>Institution 39</t>
  </si>
  <si>
    <t>Feedback comment 39</t>
  </si>
  <si>
    <t>Institution 23</t>
  </si>
  <si>
    <t>Feedback comment 23</t>
  </si>
  <si>
    <t>Institution 76</t>
  </si>
  <si>
    <t>Feedback comment 76</t>
  </si>
  <si>
    <t>Institution 37</t>
  </si>
  <si>
    <t>Feedback comment 37</t>
  </si>
  <si>
    <t>Institution 55</t>
  </si>
  <si>
    <t>Feedback comment 55</t>
  </si>
  <si>
    <t>Institution 99</t>
  </si>
  <si>
    <t>Feedback comment 99</t>
  </si>
  <si>
    <t>Institution 18</t>
  </si>
  <si>
    <t>Feedback comment 18</t>
  </si>
  <si>
    <t>Row Labels</t>
  </si>
  <si>
    <t>Average of Feedback Score</t>
  </si>
  <si>
    <t>Grand Total</t>
  </si>
  <si>
    <t>Count</t>
  </si>
  <si>
    <t>Project Status</t>
  </si>
  <si>
    <t>Conversions</t>
  </si>
  <si>
    <t>Health Equity</t>
  </si>
  <si>
    <t>L1</t>
  </si>
  <si>
    <t>L2</t>
  </si>
  <si>
    <t>L3</t>
  </si>
  <si>
    <t>Launch</t>
  </si>
  <si>
    <t>Type</t>
  </si>
  <si>
    <t>Due</t>
  </si>
  <si>
    <t>Overall</t>
  </si>
  <si>
    <t>Pace</t>
  </si>
  <si>
    <t>Execute</t>
  </si>
  <si>
    <t>Duration (mo)</t>
  </si>
  <si>
    <t>Accrual Unit</t>
  </si>
  <si>
    <t>Accrual #</t>
  </si>
  <si>
    <t>Accrual to Date</t>
  </si>
  <si>
    <t>Cash Out</t>
  </si>
  <si>
    <t>Start Date</t>
  </si>
  <si>
    <t>MostRecentDate</t>
  </si>
  <si>
    <t>Risk Score</t>
  </si>
  <si>
    <t>Hours Estimated</t>
  </si>
  <si>
    <t>Math for graphics</t>
  </si>
  <si>
    <t>Service Qualtiy</t>
  </si>
  <si>
    <t>Look into making half circle donuts for gauges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</si>
  <si>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</si>
  <si>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Donut</t>
  </si>
  <si>
    <t>Severity</t>
  </si>
  <si>
    <t>Issue Description</t>
  </si>
  <si>
    <t>Score</t>
  </si>
  <si>
    <t>Lookup</t>
  </si>
  <si>
    <t>Vendor submitted data late</t>
  </si>
  <si>
    <t>Weight</t>
  </si>
  <si>
    <t>Deadline Miss</t>
  </si>
  <si>
    <t>Sum of Score</t>
  </si>
  <si>
    <t>Sum of Count</t>
  </si>
  <si>
    <t>Resource Shortage</t>
  </si>
  <si>
    <t>Fraudulent Data</t>
  </si>
  <si>
    <t>Technical Challenges</t>
  </si>
  <si>
    <t>Quality Issues</t>
  </si>
  <si>
    <t>Software Bugs</t>
  </si>
  <si>
    <t>Severity Score</t>
  </si>
  <si>
    <t>Vendor Delay</t>
  </si>
  <si>
    <t>Range (low)</t>
  </si>
  <si>
    <t>Range (high)</t>
  </si>
  <si>
    <t>Legal Issues</t>
  </si>
  <si>
    <t>-</t>
  </si>
  <si>
    <t>Communication Breakdown</t>
  </si>
  <si>
    <t>L</t>
  </si>
  <si>
    <t>M</t>
  </si>
  <si>
    <t>Leadership Turnover</t>
  </si>
  <si>
    <t>H</t>
  </si>
  <si>
    <t>Data Loss</t>
  </si>
  <si>
    <t>C</t>
  </si>
  <si>
    <t>Team Conflict</t>
  </si>
  <si>
    <t>Planning Errors</t>
  </si>
  <si>
    <t>Weather Delay</t>
  </si>
  <si>
    <t>hardware Failures</t>
  </si>
  <si>
    <t>Stakeeholder Disengagement</t>
  </si>
  <si>
    <t>Scope Creep</t>
  </si>
  <si>
    <t>=MATCH([@Score],$S$18:$S$22,1)</t>
  </si>
  <si>
    <t>Change Resistance</t>
  </si>
  <si>
    <t>Misaligned Objectives</t>
  </si>
  <si>
    <t>Not Started</t>
  </si>
  <si>
    <t xml:space="preserve">     ▮ Not Started</t>
  </si>
  <si>
    <t>Total project count</t>
  </si>
  <si>
    <t>In Progress</t>
  </si>
  <si>
    <t xml:space="preserve">     ▮ In Progress</t>
  </si>
  <si>
    <t>Projects Overdue</t>
  </si>
  <si>
    <t>On Hold</t>
  </si>
  <si>
    <t xml:space="preserve">     ▮ On Hold</t>
  </si>
  <si>
    <t>At Risk</t>
  </si>
  <si>
    <t xml:space="preserve">     ▮ At Risk</t>
  </si>
  <si>
    <t xml:space="preserve">     ▮ Completed</t>
  </si>
  <si>
    <t>Overdue</t>
  </si>
  <si>
    <t xml:space="preserve">     ▮ Overdue</t>
  </si>
  <si>
    <t>Cancelled</t>
  </si>
  <si>
    <t xml:space="preserve">     ▮ Cancelled</t>
  </si>
  <si>
    <t>Projects by PM Defined Status</t>
  </si>
  <si>
    <t>Segments</t>
  </si>
  <si>
    <t>Red</t>
  </si>
  <si>
    <t>Yellow</t>
  </si>
  <si>
    <t>Green</t>
  </si>
  <si>
    <t>Gray</t>
  </si>
  <si>
    <t>Total</t>
  </si>
  <si>
    <t>Total Risk Sum</t>
  </si>
  <si>
    <t>Execution</t>
  </si>
  <si>
    <t>Resouces</t>
  </si>
  <si>
    <t>Boxes</t>
  </si>
  <si>
    <t>Categories</t>
  </si>
  <si>
    <t>Resource</t>
  </si>
  <si>
    <t>Risk Description</t>
  </si>
  <si>
    <t>Probability</t>
  </si>
  <si>
    <t>Impact</t>
  </si>
  <si>
    <t>Unforeseen Regulatory Changes</t>
  </si>
  <si>
    <t>Technical Failures</t>
  </si>
  <si>
    <t>Budget Overruns</t>
  </si>
  <si>
    <t>Dependency Delays</t>
  </si>
  <si>
    <t>Fluctuating Exchange Rates</t>
  </si>
  <si>
    <t>Permitting Issues</t>
  </si>
  <si>
    <t>Quality Control Failures</t>
  </si>
  <si>
    <t>Inflationary Pressures</t>
  </si>
  <si>
    <t>Resource Allocation Delays</t>
  </si>
  <si>
    <t>Team Turnover</t>
  </si>
  <si>
    <t>Funding Interruption</t>
  </si>
  <si>
    <t>Vendor Delivery Issues</t>
  </si>
  <si>
    <t>Inadequate Team Skills</t>
  </si>
  <si>
    <t>Material Shortages</t>
  </si>
  <si>
    <t>Education Project</t>
  </si>
  <si>
    <t>unique identifier</t>
  </si>
  <si>
    <t>LT_Budget</t>
  </si>
  <si>
    <t>Issue Type</t>
  </si>
  <si>
    <t>Epic</t>
  </si>
  <si>
    <t>CCC-1</t>
  </si>
  <si>
    <t>Study 1</t>
  </si>
  <si>
    <t>To Do</t>
  </si>
  <si>
    <t>CCC-14</t>
  </si>
  <si>
    <t>Grant 1</t>
  </si>
  <si>
    <t>CCC-12</t>
  </si>
  <si>
    <t>Workshop 1</t>
  </si>
  <si>
    <t>CCC-21</t>
  </si>
  <si>
    <t>Advisory Council</t>
  </si>
  <si>
    <t>CCC-13</t>
  </si>
  <si>
    <t>Mentorship Pilot</t>
  </si>
  <si>
    <t>CCC-11</t>
  </si>
  <si>
    <t>RWE Study 1</t>
  </si>
  <si>
    <t>CCC-5</t>
  </si>
  <si>
    <t>Biopsy Study</t>
  </si>
  <si>
    <t>CCC-4</t>
  </si>
  <si>
    <t>Diagnostic Study</t>
  </si>
  <si>
    <t>CCC-6</t>
  </si>
  <si>
    <t>Collaborative Study 1</t>
  </si>
  <si>
    <t>CCC-15</t>
  </si>
  <si>
    <t>Investigator Study 1</t>
  </si>
  <si>
    <t>CCC-10</t>
  </si>
  <si>
    <t>RWE Study 2</t>
  </si>
  <si>
    <t>CCC-3</t>
  </si>
  <si>
    <t>Collaborative Study 2</t>
  </si>
  <si>
    <t>CCC-7</t>
  </si>
  <si>
    <t>RWE Study 3</t>
  </si>
  <si>
    <t>CCC-2</t>
  </si>
  <si>
    <t>Investigator Study 2</t>
  </si>
  <si>
    <t>CCC-95</t>
  </si>
  <si>
    <t>Collaborative Study 3</t>
  </si>
  <si>
    <t>CCC-16</t>
  </si>
  <si>
    <t>Investigator Study 3</t>
  </si>
  <si>
    <t>CCC-9</t>
  </si>
  <si>
    <t>Investigator Study 4</t>
  </si>
  <si>
    <t>CCC-160</t>
  </si>
  <si>
    <t>Education Campaign</t>
  </si>
  <si>
    <t>Done</t>
  </si>
  <si>
    <t>CCC-156</t>
  </si>
  <si>
    <t>Patient Journey 1</t>
  </si>
  <si>
    <t>CCC-131</t>
  </si>
  <si>
    <t>Internal_Operations</t>
  </si>
  <si>
    <t>CCC-121</t>
  </si>
  <si>
    <t>Collaborative Study 4</t>
  </si>
  <si>
    <t>CCC-109</t>
  </si>
  <si>
    <t>Completed_Projects</t>
  </si>
  <si>
    <t>CCC-94</t>
  </si>
  <si>
    <t>Collaborative Study 5</t>
  </si>
  <si>
    <t>CCC-89</t>
  </si>
  <si>
    <t>Study 2</t>
  </si>
  <si>
    <t>Max Budget</t>
  </si>
  <si>
    <t>Task</t>
  </si>
  <si>
    <t>Start</t>
  </si>
  <si>
    <t>Past Due</t>
  </si>
  <si>
    <t>QC Check</t>
  </si>
  <si>
    <t>Total Budget Used %</t>
  </si>
  <si>
    <t>Follow ups</t>
  </si>
  <si>
    <t>Identify and Revaluate</t>
  </si>
  <si>
    <t>Kick-Off</t>
  </si>
  <si>
    <t>April Recorded</t>
  </si>
  <si>
    <t>Build</t>
  </si>
  <si>
    <t>Validation</t>
  </si>
  <si>
    <t>Configure</t>
  </si>
  <si>
    <t>Training</t>
  </si>
  <si>
    <t>Implement Procedure</t>
  </si>
  <si>
    <t>Core Resources</t>
  </si>
  <si>
    <t>2/31/2024</t>
  </si>
  <si>
    <t>2/31/2025</t>
  </si>
  <si>
    <t>2/31/2026</t>
  </si>
  <si>
    <t>Started</t>
  </si>
  <si>
    <t>Late Start</t>
  </si>
  <si>
    <t>Issue Key</t>
  </si>
  <si>
    <t>Issue Id</t>
  </si>
  <si>
    <t>LT_Budget - Cashout</t>
  </si>
  <si>
    <t>Cashout - Accrual</t>
  </si>
  <si>
    <t>Days from Today</t>
  </si>
  <si>
    <t>Scope Bin</t>
  </si>
  <si>
    <t>Bar chart type</t>
  </si>
  <si>
    <t>Count of Projects</t>
  </si>
  <si>
    <t>Total Budget</t>
  </si>
  <si>
    <t>Current Spend</t>
  </si>
  <si>
    <t>Total Status</t>
  </si>
  <si>
    <t>Current Status</t>
  </si>
  <si>
    <t>RWE Study 4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</si>
</sst>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0.0"/>
    <numFmt numFmtId="166" formatCode="_(&quot;$&quot;* #,##0_);_(&quot;$&quot;* \(#,##0\);_(&quot;$&quot;* &quot;-&quot;??_);_(@_)"/>
    <numFmt numFmtId="167" formatCode="_(&quot;$&quot;* #,##0_);_(&quot;$&quot;* \(#,##0\);_(&quot;$&quot;* &quot;-&quot;??\);\(@\)"/>
  </numFmts>
  <fonts count="27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D0D0D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sz val="10"/>
      <color theme="9" tint="-0.249977111117893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0"/>
      <color theme="5"/>
      <name val="Aptos Narrow"/>
      <family val="2"/>
      <scheme val="minor"/>
    </font>
    <font>
      <sz val="11"/>
      <color theme="9"/>
      <name val="Calibri"/>
      <family val="2"/>
    </font>
    <font>
      <sz val="11"/>
      <color theme="0" tint="-0.34998626667073579"/>
      <name val="Calibri"/>
      <family val="2"/>
    </font>
    <font>
      <sz val="11"/>
      <color rgb="FFFF0000"/>
      <name val="Calibri"/>
      <family val="2"/>
    </font>
    <font>
      <sz val="11"/>
      <color rgb="FFF4EE00"/>
      <name val="Calibri"/>
      <family val="2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Consolas"/>
      <family val="2"/>
    </font>
    <font>
      <sz val="11"/>
      <color rgb="FFFF0000"/>
      <name val="Aptos Narrow"/>
      <family val="2"/>
      <scheme val="minor"/>
    </font>
    <font>
      <sz val="9.6"/>
      <color theme="1"/>
      <name val="Arial"/>
      <family val="2"/>
    </font>
    <font>
      <sz val="11"/>
      <color theme="7"/>
      <name val="Calibri"/>
      <family val="2"/>
    </font>
    <font>
      <sz val="11"/>
      <color theme="5"/>
      <name val="Calibri"/>
      <family val="2"/>
    </font>
    <font>
      <sz val="11"/>
      <color theme="8" tint="0.39997558519241921"/>
      <name val="Calibri"/>
      <family val="2"/>
    </font>
    <font>
      <sz val="11"/>
      <color theme="0" tint="-0.499984740745262"/>
      <name val="Calibri"/>
      <family val="2"/>
    </font>
    <font>
      <sz val="11"/>
      <color theme="9"/>
      <name val="Aptos Narrow"/>
      <family val="2"/>
      <scheme val="minor"/>
    </font>
    <font>
      <sz val="11"/>
      <color theme="1"/>
      <name val="Calibri"/>
      <family val="2"/>
    </font>
    <font>
      <sz val="14"/>
      <color theme="1"/>
      <name val="Aptos Narrow"/>
      <family val="2"/>
      <scheme val="minor"/>
    </font>
    <font>
      <sz val="14"/>
      <color rgb="FF002855"/>
      <name val="Arial"/>
      <family val="2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/>
    <xf numFmtId="164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" fontId="0" fillId="0" borderId="0" xfId="1" applyNumberFormat="1" applyFont="1"/>
    <xf numFmtId="1" fontId="0" fillId="0" borderId="0" xfId="0" applyNumberFormat="1"/>
    <xf numFmtId="0" fontId="13" fillId="0" borderId="0" xfId="0" applyFont="1"/>
    <xf numFmtId="0" fontId="14" fillId="0" borderId="0" xfId="3"/>
    <xf numFmtId="0" fontId="0" fillId="0" borderId="0" xfId="0" applyAlignment="1">
      <alignment horizontal="center"/>
    </xf>
    <xf numFmtId="0" fontId="0" fillId="2" borderId="0" xfId="0" applyFill="1"/>
    <xf numFmtId="0" fontId="13" fillId="0" borderId="0" xfId="0" applyFont="1" applyAlignment="1">
      <alignment horizontal="center"/>
    </xf>
    <xf numFmtId="0" fontId="15" fillId="0" borderId="0" xfId="0" applyFont="1"/>
    <xf numFmtId="0" fontId="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9" fontId="17" fillId="0" borderId="0" xfId="2" applyFont="1"/>
    <xf numFmtId="0" fontId="16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1" xfId="0" applyBorder="1"/>
    <xf numFmtId="0" fontId="0" fillId="3" borderId="1" xfId="0" applyFill="1" applyBorder="1"/>
    <xf numFmtId="3" fontId="0" fillId="0" borderId="0" xfId="0" applyNumberFormat="1"/>
    <xf numFmtId="3" fontId="0" fillId="0" borderId="0" xfId="1" applyNumberFormat="1" applyFont="1"/>
    <xf numFmtId="167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 applyAlignment="1">
      <alignment horizontal="right"/>
    </xf>
    <xf numFmtId="0" fontId="26" fillId="4" borderId="1" xfId="0" applyFont="1" applyFill="1" applyBorder="1"/>
    <xf numFmtId="0" fontId="26" fillId="4" borderId="2" xfId="0" applyFont="1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3" borderId="1" xfId="0" applyFont="1" applyFill="1" applyBorder="1"/>
    <xf numFmtId="0" fontId="1" fillId="0" borderId="1" xfId="0" applyFont="1" applyBorder="1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wrapText="1"/>
    </xf>
    <xf numFmtId="0" fontId="26" fillId="4" borderId="3" xfId="0" applyFont="1" applyFill="1" applyBorder="1"/>
    <xf numFmtId="166" fontId="0" fillId="0" borderId="0" xfId="1" applyNumberFormat="1" applyFont="1"/>
    <xf numFmtId="166" fontId="17" fillId="0" borderId="0" xfId="1" applyNumberFormat="1" applyFont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2" fontId="0" fillId="0" borderId="0" xfId="1" applyNumberFormat="1" applyFont="1"/>
    <xf numFmtId="0" fontId="1" fillId="3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7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FF0000"/>
      </font>
    </dxf>
    <dxf>
      <font>
        <color theme="5"/>
      </font>
    </dxf>
    <dxf>
      <font>
        <color theme="9"/>
      </font>
    </dxf>
    <dxf>
      <font>
        <color theme="0" tint="-0.499984740745262"/>
      </font>
    </dxf>
    <dxf>
      <font>
        <color rgb="FFFF0000"/>
      </font>
    </dxf>
    <dxf>
      <font>
        <color theme="5"/>
      </font>
    </dxf>
    <dxf>
      <font>
        <color theme="9"/>
      </font>
    </dxf>
    <dxf>
      <font>
        <color theme="0" tint="-0.499984740745262"/>
      </font>
    </dxf>
    <dxf>
      <font>
        <color rgb="FFFF0000"/>
      </font>
    </dxf>
    <dxf>
      <font>
        <color theme="5"/>
      </font>
    </dxf>
    <dxf>
      <font>
        <color theme="9"/>
      </font>
    </dxf>
    <dxf>
      <font>
        <color theme="0" tint="-0.499984740745262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numFmt numFmtId="0" formatCode="General"/>
    </dxf>
    <dxf>
      <numFmt numFmtId="168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68" formatCode="m/d/yyyy"/>
    </dxf>
    <dxf>
      <numFmt numFmtId="168" formatCode="m/d/yyyy"/>
    </dxf>
    <dxf>
      <numFmt numFmtId="168" formatCode="m/d/yyyy"/>
    </dxf>
    <dxf>
      <numFmt numFmtId="168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Arial"/>
        <scheme val="none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Arial"/>
        <scheme val="none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" formatCode="0"/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_(&quot;$&quot;* #,##0_);_(&quot;$&quot;* \(#,##0\);_(&quot;$&quot;* &quot;-&quot;??_);_(@_)"/>
    </dxf>
    <dxf>
      <numFmt numFmtId="168" formatCode="m/d/yyyy"/>
    </dxf>
    <dxf>
      <numFmt numFmtId="168" formatCode="m/d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168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168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A8A8"/>
      <color rgb="FFFFCCCC"/>
      <color rgb="FFFF5D5D"/>
      <color rgb="FFF4EE00"/>
      <color rgb="FFCC99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Cashout</a:t>
            </a:r>
            <a:r>
              <a:rPr lang="en-US" baseline="0"/>
              <a:t> Last Month</a:t>
            </a:r>
          </a:p>
        </c:rich>
      </c:tx>
      <c:spPr>
        <a:noFill/>
        <a:ln>
          <a:noFill/>
        </a:ln>
        <a:effectLst/>
      </c:spPr>
    </c:title>
    <c:plotArea>
      <c:layout/>
      <c:doughnutChart>
        <c:varyColors val="1"/>
        <c:dLbls/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bar"/>
        <c:grouping val="percentStacked"/>
        <c:ser>
          <c:idx val="0"/>
          <c:order val="0"/>
          <c:tx>
            <c:strRef>
              <c:f>'Project Status'!$E$2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651-4B2F-AA39-A60FDC87556C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651-4B2F-AA39-A60FDC87556C}"/>
              </c:ext>
            </c:extLst>
          </c:dPt>
          <c:dPt>
            <c:idx val="2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651-4B2F-AA39-A60FDC87556C}"/>
              </c:ext>
            </c:extLst>
          </c:dPt>
          <c:dPt>
            <c:idx val="3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651-4B2F-AA39-A60FDC8755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Status'!$D$3:$D$6</c:f>
              <c:strCache>
                <c:ptCount val="4"/>
                <c:pt idx="0">
                  <c:v>Overall</c:v>
                </c:pt>
                <c:pt idx="1">
                  <c:v>Scope</c:v>
                </c:pt>
                <c:pt idx="2">
                  <c:v>Schedule</c:v>
                </c:pt>
                <c:pt idx="3">
                  <c:v>Budget</c:v>
                </c:pt>
              </c:strCache>
            </c:strRef>
          </c:cat>
          <c:val>
            <c:numRef>
              <c:f>'Project Status'!$E$3:$E$6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651-4B2F-AA39-A60FDC87556C}"/>
            </c:ext>
          </c:extLst>
        </c:ser>
        <c:ser>
          <c:idx val="1"/>
          <c:order val="1"/>
          <c:tx>
            <c:strRef>
              <c:f>'Project Status'!$F$2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Status'!$D$3:$D$6</c:f>
              <c:strCache>
                <c:ptCount val="4"/>
                <c:pt idx="0">
                  <c:v>Overall</c:v>
                </c:pt>
                <c:pt idx="1">
                  <c:v>Scope</c:v>
                </c:pt>
                <c:pt idx="2">
                  <c:v>Schedule</c:v>
                </c:pt>
                <c:pt idx="3">
                  <c:v>Budget</c:v>
                </c:pt>
              </c:strCache>
            </c:strRef>
          </c:cat>
          <c:val>
            <c:numRef>
              <c:f>'Project Status'!$F$3:$F$6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651-4B2F-AA39-A60FDC87556C}"/>
            </c:ext>
          </c:extLst>
        </c:ser>
        <c:ser>
          <c:idx val="2"/>
          <c:order val="2"/>
          <c:tx>
            <c:strRef>
              <c:f>'Project Status'!$G$2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Status'!$D$3:$D$6</c:f>
              <c:strCache>
                <c:ptCount val="4"/>
                <c:pt idx="0">
                  <c:v>Overall</c:v>
                </c:pt>
                <c:pt idx="1">
                  <c:v>Scope</c:v>
                </c:pt>
                <c:pt idx="2">
                  <c:v>Schedule</c:v>
                </c:pt>
                <c:pt idx="3">
                  <c:v>Budget</c:v>
                </c:pt>
              </c:strCache>
            </c:strRef>
          </c:cat>
          <c:val>
            <c:numRef>
              <c:f>'Project Status'!$G$3:$G$6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651-4B2F-AA39-A60FDC87556C}"/>
            </c:ext>
          </c:extLst>
        </c:ser>
        <c:ser>
          <c:idx val="3"/>
          <c:order val="3"/>
          <c:tx>
            <c:strRef>
              <c:f>'Project Status'!$H$2</c:f>
              <c:strCache>
                <c:ptCount val="1"/>
                <c:pt idx="0">
                  <c:v>Gray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'Project Status'!$D$3:$D$6</c:f>
              <c:strCache>
                <c:ptCount val="4"/>
                <c:pt idx="0">
                  <c:v>Overall</c:v>
                </c:pt>
                <c:pt idx="1">
                  <c:v>Scope</c:v>
                </c:pt>
                <c:pt idx="2">
                  <c:v>Schedule</c:v>
                </c:pt>
                <c:pt idx="3">
                  <c:v>Budget</c:v>
                </c:pt>
              </c:strCache>
            </c:strRef>
          </c:cat>
          <c:val>
            <c:numRef>
              <c:f>'Project Status'!$H$3:$H$6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651-4B2F-AA39-A60FDC87556C}"/>
            </c:ext>
          </c:extLst>
        </c:ser>
        <c:dLbls/>
        <c:overlap val="100"/>
        <c:axId val="120806400"/>
        <c:axId val="120824576"/>
      </c:barChart>
      <c:catAx>
        <c:axId val="120806400"/>
        <c:scaling>
          <c:orientation val="minMax"/>
        </c:scaling>
        <c:axPos val="l"/>
        <c:numFmt formatCode="General" sourceLinked="1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4576"/>
        <c:crosses val="autoZero"/>
        <c:auto val="1"/>
        <c:lblAlgn val="ctr"/>
        <c:lblOffset val="100"/>
      </c:catAx>
      <c:valAx>
        <c:axId val="120824576"/>
        <c:scaling>
          <c:orientation val="minMax"/>
        </c:scaling>
        <c:delete val="1"/>
        <c:axPos val="b"/>
        <c:numFmt formatCode="0%" sourceLinked="1"/>
        <c:majorTickMark val="none"/>
        <c:tickLblPos val="nextTo"/>
        <c:crossAx val="12080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12</xdr:col>
      <xdr:colOff>516030</xdr:colOff>
      <xdr:row>19</xdr:row>
      <xdr:rowOff>82363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2080AB5-7205-4AA4-A903-87551271D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57600" y="1143000"/>
          <a:ext cx="4173630" cy="2558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16</xdr:row>
      <xdr:rowOff>19050</xdr:rowOff>
    </xdr:from>
    <xdr:to>
      <xdr:col>24</xdr:col>
      <xdr:colOff>238125</xdr:colOff>
      <xdr:row>30</xdr:row>
      <xdr:rowOff>109537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6DBFCDC3-AA34-4D9A-969C-256643567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22</xdr:row>
      <xdr:rowOff>142875</xdr:rowOff>
    </xdr:from>
    <xdr:to>
      <xdr:col>9</xdr:col>
      <xdr:colOff>161925</xdr:colOff>
      <xdr:row>37</xdr:row>
      <xdr:rowOff>28575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xmlns="" id="{C5017582-5136-4AE8-832F-F31D16968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pxai-my.sharepoint.com/personal/manas_shalgar_bpx_ai/Documents/Microsoft%20Teams%20Chat%20Files/Mockup_Dashboard_2024-05-30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jectData Test"/>
      <sheetName val="Project Data"/>
      <sheetName val="Project Status"/>
      <sheetName val="Data"/>
      <sheetName val="pivotTable_test"/>
      <sheetName val="Pivot Tables"/>
      <sheetName val="Example"/>
      <sheetName val="Home page metrics"/>
      <sheetName val="Funnel"/>
      <sheetName val="Project Dashboard"/>
      <sheetName val="Main Dashboard"/>
      <sheetName val="Portfolio Overview"/>
      <sheetName val="Project Activity"/>
      <sheetName val="Financial Forecast"/>
      <sheetName val="% Burn"/>
      <sheetName val="Ext. Feedback"/>
      <sheetName val="Revenue Gauges"/>
      <sheetName val="Issues"/>
      <sheetName val="risk_test"/>
      <sheetName val="Risk"/>
      <sheetName val="Accruals"/>
      <sheetName val="Color Palette"/>
      <sheetName val="Mockup_Dashboard_2024-05-30 (1)"/>
    </sheetNames>
    <sheetDataSet>
      <sheetData sheetId="0"/>
      <sheetData sheetId="1">
        <row r="7">
          <cell r="AA7" t="str">
            <v>✓</v>
          </cell>
        </row>
        <row r="8">
          <cell r="AA8" t="str">
            <v>●</v>
          </cell>
        </row>
        <row r="9">
          <cell r="AA9" t="str">
            <v>✖</v>
          </cell>
        </row>
        <row r="10">
          <cell r="Z10" t="str">
            <v>⦿</v>
          </cell>
        </row>
        <row r="30">
          <cell r="P30">
            <v>2</v>
          </cell>
        </row>
        <row r="31">
          <cell r="P31">
            <v>2</v>
          </cell>
        </row>
        <row r="32">
          <cell r="P32">
            <v>1</v>
          </cell>
        </row>
        <row r="33">
          <cell r="P33">
            <v>2</v>
          </cell>
        </row>
        <row r="34">
          <cell r="P34">
            <v>2</v>
          </cell>
        </row>
        <row r="35">
          <cell r="P35">
            <v>3</v>
          </cell>
        </row>
        <row r="36">
          <cell r="P36">
            <v>2</v>
          </cell>
        </row>
        <row r="37">
          <cell r="P37">
            <v>1</v>
          </cell>
        </row>
        <row r="38">
          <cell r="P38">
            <v>3</v>
          </cell>
        </row>
        <row r="39">
          <cell r="P39">
            <v>2</v>
          </cell>
        </row>
        <row r="40">
          <cell r="P40">
            <v>2</v>
          </cell>
        </row>
        <row r="41">
          <cell r="P41">
            <v>1</v>
          </cell>
        </row>
        <row r="42">
          <cell r="P42">
            <v>2</v>
          </cell>
        </row>
        <row r="43">
          <cell r="P43">
            <v>2</v>
          </cell>
        </row>
        <row r="44">
          <cell r="P44">
            <v>2</v>
          </cell>
        </row>
        <row r="45">
          <cell r="P45">
            <v>3</v>
          </cell>
        </row>
        <row r="46">
          <cell r="P46">
            <v>3</v>
          </cell>
        </row>
        <row r="47">
          <cell r="P47">
            <v>2</v>
          </cell>
        </row>
        <row r="48">
          <cell r="P48">
            <v>2</v>
          </cell>
        </row>
        <row r="49">
          <cell r="P49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34">
          <cell r="M34">
            <v>0</v>
          </cell>
          <cell r="N34" t="str">
            <v>✓</v>
          </cell>
          <cell r="O34" t="str">
            <v>✖</v>
          </cell>
        </row>
        <row r="35">
          <cell r="M35" t="str">
            <v>✓</v>
          </cell>
          <cell r="N35" t="str">
            <v>●</v>
          </cell>
          <cell r="O35" t="str">
            <v>●</v>
          </cell>
        </row>
        <row r="36">
          <cell r="M36" t="str">
            <v>✓</v>
          </cell>
          <cell r="N36" t="str">
            <v>✓</v>
          </cell>
          <cell r="O36" t="str">
            <v>●</v>
          </cell>
        </row>
        <row r="37">
          <cell r="M37" t="str">
            <v>✓</v>
          </cell>
          <cell r="N37" t="str">
            <v>✓</v>
          </cell>
          <cell r="O37" t="str">
            <v>✖</v>
          </cell>
        </row>
        <row r="38">
          <cell r="M38" t="str">
            <v>✓</v>
          </cell>
          <cell r="N38" t="str">
            <v>✓</v>
          </cell>
          <cell r="O38" t="str">
            <v>✖</v>
          </cell>
        </row>
        <row r="39">
          <cell r="M39" t="str">
            <v>✖</v>
          </cell>
          <cell r="N39" t="str">
            <v>✖</v>
          </cell>
          <cell r="O39" t="str">
            <v>✖</v>
          </cell>
        </row>
        <row r="40">
          <cell r="M40" t="str">
            <v>✓</v>
          </cell>
          <cell r="N40" t="str">
            <v>✓</v>
          </cell>
          <cell r="O40" t="str">
            <v>✖</v>
          </cell>
        </row>
        <row r="41">
          <cell r="M41" t="str">
            <v>✓</v>
          </cell>
          <cell r="N41" t="str">
            <v>✓</v>
          </cell>
          <cell r="O41" t="str">
            <v>●</v>
          </cell>
        </row>
        <row r="42">
          <cell r="M42" t="str">
            <v>✖</v>
          </cell>
          <cell r="N42" t="str">
            <v>✖</v>
          </cell>
          <cell r="O42" t="str">
            <v>✖</v>
          </cell>
        </row>
        <row r="43">
          <cell r="M43" t="str">
            <v>●</v>
          </cell>
          <cell r="N43" t="str">
            <v>✓</v>
          </cell>
          <cell r="O43" t="str">
            <v>✖</v>
          </cell>
        </row>
        <row r="44">
          <cell r="M44" t="str">
            <v>✓</v>
          </cell>
          <cell r="N44" t="str">
            <v>✖</v>
          </cell>
          <cell r="O44" t="str">
            <v>✖</v>
          </cell>
        </row>
        <row r="45">
          <cell r="M45" t="str">
            <v>✓</v>
          </cell>
          <cell r="N45" t="str">
            <v>✓</v>
          </cell>
          <cell r="O45" t="str">
            <v>●</v>
          </cell>
        </row>
        <row r="46">
          <cell r="M46" t="str">
            <v>✖</v>
          </cell>
          <cell r="N46" t="str">
            <v>✓</v>
          </cell>
          <cell r="O46" t="str">
            <v>✓</v>
          </cell>
        </row>
        <row r="47">
          <cell r="M47" t="str">
            <v>✖</v>
          </cell>
          <cell r="N47" t="str">
            <v>✖</v>
          </cell>
          <cell r="O47" t="str">
            <v>✓</v>
          </cell>
        </row>
        <row r="48">
          <cell r="M48" t="str">
            <v>✖</v>
          </cell>
          <cell r="N48" t="str">
            <v>✖</v>
          </cell>
          <cell r="O48" t="str">
            <v>✓</v>
          </cell>
        </row>
        <row r="49">
          <cell r="M49" t="str">
            <v>✖</v>
          </cell>
          <cell r="N49" t="str">
            <v>●</v>
          </cell>
          <cell r="O49" t="str">
            <v>✖</v>
          </cell>
        </row>
        <row r="50">
          <cell r="M50" t="str">
            <v>✖</v>
          </cell>
          <cell r="N50" t="str">
            <v>●</v>
          </cell>
          <cell r="O50" t="str">
            <v>✖</v>
          </cell>
        </row>
        <row r="51">
          <cell r="M51" t="str">
            <v>✖</v>
          </cell>
          <cell r="N51" t="str">
            <v>●</v>
          </cell>
          <cell r="O51" t="str">
            <v>✓</v>
          </cell>
        </row>
        <row r="52">
          <cell r="M52" t="str">
            <v>●</v>
          </cell>
          <cell r="N52" t="str">
            <v>●</v>
          </cell>
          <cell r="O52" t="str">
            <v>✖</v>
          </cell>
        </row>
        <row r="53">
          <cell r="M53" t="str">
            <v>✓</v>
          </cell>
          <cell r="N53" t="str">
            <v>✓</v>
          </cell>
          <cell r="O53" t="str">
            <v>✓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m Wang" id="{1D7E6886-1721-124D-859F-22B83F64E3A0}" userId="S::sam.wang@bpx.ai::f4f3b51e-d88f-4ec4-9523-cbfa4f2224a5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 Wang" refreshedDate="45476.511662847224" createdVersion="8" refreshedVersion="8" minRefreshableVersion="3" recordCount="24">
  <cacheSource type="worksheet">
    <worksheetSource name="Projects"/>
  </cacheSource>
  <cacheFields count="8">
    <cacheField name="Issue Type" numFmtId="0">
      <sharedItems/>
    </cacheField>
    <cacheField name="Issue Key" numFmtId="0">
      <sharedItems/>
    </cacheField>
    <cacheField name="Issue Id" numFmtId="0">
      <sharedItems containsSemiMixedTypes="0" containsString="0" containsNumber="1" containsInteger="1" minValue="11048" maxValue="11365"/>
    </cacheField>
    <cacheField name="Projects" numFmtId="0">
      <sharedItems/>
    </cacheField>
    <cacheField name="Status" numFmtId="0">
      <sharedItems count="2">
        <s v="To Do"/>
        <s v="Done"/>
      </sharedItems>
    </cacheField>
    <cacheField name="Start Date" numFmtId="14">
      <sharedItems containsSemiMixedTypes="0" containsNonDate="0" containsDate="1" containsString="0" minDate="2022-11-30T00:00:00" maxDate="2025-01-02T00:00:00"/>
    </cacheField>
    <cacheField name="Due Date" numFmtId="14">
      <sharedItems containsSemiMixedTypes="0" containsNonDate="0" containsDate="1" containsString="0" minDate="2024-12-18T00:00:00" maxDate="2027-01-01T00:00:00"/>
    </cacheField>
    <cacheField name="Type" numFmtId="0">
      <sharedItems count="5">
        <s v="Data Generation"/>
        <s v="Grant"/>
        <s v="Health Equity"/>
        <s v="Education Project"/>
        <s v="Initiativ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m Wang" refreshedDate="45476.59075949074" createdVersion="8" refreshedVersion="8" minRefreshableVersion="3" recordCount="24">
  <cacheSource type="worksheet">
    <worksheetSource name="Issues"/>
  </cacheSource>
  <cacheFields count="7">
    <cacheField name="Project ID" numFmtId="0">
      <sharedItems count="24">
        <s v="Study 1"/>
        <s v="Grant 1"/>
        <s v="Workshop 1"/>
        <s v="Advisory Council"/>
        <s v="Mentorship Pilot"/>
        <s v="RWE Study 1"/>
        <s v="Biopsy Study"/>
        <s v="Diagnostic Study"/>
        <s v="Collaborative Study 1"/>
        <s v="Investigator Study 1"/>
        <s v="RWE Study 2"/>
        <s v="Collaborative Study 2"/>
        <s v="RWE Study 3"/>
        <s v="Investigator Study 2"/>
        <s v="Collaborative Study 3"/>
        <s v="Investigator Study 3"/>
        <s v="Investigator Study 4"/>
        <s v="Education Campaign"/>
        <s v="Patient Journey 1"/>
        <s v="Internal_Operations"/>
        <s v="Collaborative Study 4"/>
        <s v="Completed_Projects"/>
        <s v="Collaborative Study 5"/>
        <s v="Study 2"/>
      </sharedItems>
    </cacheField>
    <cacheField name="Issue Description" numFmtId="0">
      <sharedItems/>
    </cacheField>
    <cacheField name="Severity" numFmtId="0">
      <sharedItems/>
    </cacheField>
    <cacheField name="Count" numFmtId="0">
      <sharedItems containsSemiMixedTypes="0" containsString="0" containsNumber="1" containsInteger="1" minValue="1" maxValue="4"/>
    </cacheField>
    <cacheField name="Score" numFmtId="0">
      <sharedItems containsSemiMixedTypes="0" containsString="0" containsNumber="1" containsInteger="1" minValue="1" maxValue="20"/>
    </cacheField>
    <cacheField name="Bin" numFmtId="0">
      <sharedItems/>
    </cacheField>
    <cacheField name="Look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am Wang" refreshedDate="45476.618229282409" createdVersion="8" refreshedVersion="8" minRefreshableVersion="3" recordCount="100">
  <cacheSource type="worksheet">
    <worksheetSource ref="A1:F101" sheet="Feedback"/>
  </cacheSource>
  <cacheFields count="6">
    <cacheField name="Institution Name" numFmtId="0">
      <sharedItems/>
    </cacheField>
    <cacheField name="Feedback Date" numFmtId="14">
      <sharedItems containsSemiMixedTypes="0" containsNonDate="0" containsDate="1" containsString="0" minDate="2023-04-20T00:00:00" maxDate="2024-04-20T00:00:00"/>
    </cacheField>
    <cacheField name="Feedback Type" numFmtId="0">
      <sharedItems count="2">
        <s v="Interview"/>
        <s v="Survey"/>
      </sharedItems>
    </cacheField>
    <cacheField name="Feedback Categories" numFmtId="0">
      <sharedItems count="3">
        <s v="Cooperation"/>
        <s v="Service Quality"/>
        <s v="Communication"/>
      </sharedItems>
    </cacheField>
    <cacheField name="Feedback Score" numFmtId="0">
      <sharedItems containsSemiMixedTypes="0" containsString="0" containsNumber="1" containsInteger="1" minValue="1" maxValue="5"/>
    </cacheField>
    <cacheField name="Qualitative Feedbac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Epic"/>
    <s v="CCC-1"/>
    <n v="11048"/>
    <s v="Study 1"/>
    <x v="0"/>
    <d v="2023-06-06T00:00:00"/>
    <d v="2024-12-18T00:00:00"/>
    <x v="0"/>
  </r>
  <r>
    <s v="Epic"/>
    <s v="CCC-14"/>
    <n v="11061"/>
    <s v="Grant 1"/>
    <x v="0"/>
    <d v="2024-05-14T00:00:00"/>
    <d v="2024-12-27T00:00:00"/>
    <x v="1"/>
  </r>
  <r>
    <s v="Epic"/>
    <s v="CCC-12"/>
    <n v="11059"/>
    <s v="Workshop 1"/>
    <x v="0"/>
    <d v="2024-07-03T00:00:00"/>
    <d v="2024-12-28T00:00:00"/>
    <x v="2"/>
  </r>
  <r>
    <s v="Epic"/>
    <s v="CCC-21"/>
    <n v="11068"/>
    <s v="Advisory Council"/>
    <x v="0"/>
    <d v="2024-01-01T00:00:00"/>
    <d v="2024-12-31T00:00:00"/>
    <x v="3"/>
  </r>
  <r>
    <s v="Epic"/>
    <s v="CCC-13"/>
    <n v="11060"/>
    <s v="Mentorship Pilot"/>
    <x v="0"/>
    <d v="2024-07-01T00:00:00"/>
    <d v="2024-12-31T00:00:00"/>
    <x v="4"/>
  </r>
  <r>
    <s v="Epic"/>
    <s v="CCC-11"/>
    <n v="11058"/>
    <s v="RWE Study 1"/>
    <x v="0"/>
    <d v="2024-07-03T00:00:00"/>
    <d v="2024-12-31T00:00:00"/>
    <x v="4"/>
  </r>
  <r>
    <s v="Epic"/>
    <s v="CCC-5"/>
    <n v="11052"/>
    <s v="Biopsy Study"/>
    <x v="0"/>
    <d v="2023-08-03T00:00:00"/>
    <d v="2024-12-31T00:00:00"/>
    <x v="1"/>
  </r>
  <r>
    <s v="Epic"/>
    <s v="CCC-4"/>
    <n v="11051"/>
    <s v="Diagnostic Study"/>
    <x v="0"/>
    <d v="2024-07-31T00:00:00"/>
    <d v="2025-01-31T00:00:00"/>
    <x v="0"/>
  </r>
  <r>
    <s v="Epic"/>
    <s v="CCC-6"/>
    <n v="11053"/>
    <s v="Collaborative Study 1"/>
    <x v="0"/>
    <d v="2024-04-01T00:00:00"/>
    <d v="2025-02-16T00:00:00"/>
    <x v="3"/>
  </r>
  <r>
    <s v="Epic"/>
    <s v="CCC-15"/>
    <n v="11062"/>
    <s v="Investigator Study 1"/>
    <x v="0"/>
    <d v="2024-05-23T00:00:00"/>
    <d v="2025-03-31T00:00:00"/>
    <x v="2"/>
  </r>
  <r>
    <s v="Epic"/>
    <s v="CCC-10"/>
    <n v="11057"/>
    <s v="RWE Study 2"/>
    <x v="0"/>
    <d v="2024-07-01T00:00:00"/>
    <d v="2025-03-31T00:00:00"/>
    <x v="0"/>
  </r>
  <r>
    <s v="Epic"/>
    <s v="CCC-3"/>
    <n v="11050"/>
    <s v="Collaborative Study 2"/>
    <x v="0"/>
    <d v="2022-11-30T00:00:00"/>
    <d v="2025-03-31T00:00:00"/>
    <x v="2"/>
  </r>
  <r>
    <s v="Epic"/>
    <s v="CCC-7"/>
    <n v="11054"/>
    <s v="RWE Study 3"/>
    <x v="0"/>
    <d v="2024-07-03T00:00:00"/>
    <d v="2025-12-31T00:00:00"/>
    <x v="1"/>
  </r>
  <r>
    <s v="Epic"/>
    <s v="CCC-2"/>
    <n v="11049"/>
    <s v="Investigator Study 2"/>
    <x v="0"/>
    <d v="2024-01-01T00:00:00"/>
    <d v="2025-12-31T00:00:00"/>
    <x v="1"/>
  </r>
  <r>
    <s v="Epic"/>
    <s v="CCC-95"/>
    <n v="11221"/>
    <s v="Collaborative Study 3"/>
    <x v="0"/>
    <d v="2024-08-01T00:00:00"/>
    <d v="2026-04-04T00:00:00"/>
    <x v="3"/>
  </r>
  <r>
    <s v="Epic"/>
    <s v="CCC-16"/>
    <n v="11063"/>
    <s v="Investigator Study 3"/>
    <x v="0"/>
    <d v="2024-08-01T00:00:00"/>
    <d v="2026-08-31T00:00:00"/>
    <x v="3"/>
  </r>
  <r>
    <s v="Epic"/>
    <s v="CCC-9"/>
    <n v="11056"/>
    <s v="Investigator Study 4"/>
    <x v="0"/>
    <d v="2025-01-01T00:00:00"/>
    <d v="2026-12-31T00:00:00"/>
    <x v="0"/>
  </r>
  <r>
    <s v="Epic"/>
    <s v="CCC-160"/>
    <n v="11365"/>
    <s v="Education Campaign"/>
    <x v="1"/>
    <d v="2024-07-03T00:00:00"/>
    <d v="2025-12-31T00:00:00"/>
    <x v="1"/>
  </r>
  <r>
    <s v="Epic"/>
    <s v="CCC-156"/>
    <n v="11361"/>
    <s v="Patient Journey 1"/>
    <x v="1"/>
    <d v="2024-01-01T00:00:00"/>
    <d v="2025-12-31T00:00:00"/>
    <x v="4"/>
  </r>
  <r>
    <s v="Epic"/>
    <s v="CCC-131"/>
    <n v="11281"/>
    <s v="Internal_Operations"/>
    <x v="0"/>
    <d v="2024-08-01T00:00:00"/>
    <d v="2026-04-04T00:00:00"/>
    <x v="0"/>
  </r>
  <r>
    <s v="Epic"/>
    <s v="CCC-121"/>
    <n v="11269"/>
    <s v="Collaborative Study 4"/>
    <x v="1"/>
    <d v="2024-08-01T00:00:00"/>
    <d v="2026-08-31T00:00:00"/>
    <x v="0"/>
  </r>
  <r>
    <s v="Epic"/>
    <s v="CCC-109"/>
    <n v="11250"/>
    <s v="Completed_Projects"/>
    <x v="0"/>
    <d v="2025-01-01T00:00:00"/>
    <d v="2026-12-31T00:00:00"/>
    <x v="2"/>
  </r>
  <r>
    <s v="Epic"/>
    <s v="CCC-94"/>
    <n v="11220"/>
    <s v="Collaborative Study 5"/>
    <x v="0"/>
    <d v="2024-12-15T00:00:00"/>
    <d v="2026-12-31T00:00:00"/>
    <x v="1"/>
  </r>
  <r>
    <s v="Epic"/>
    <s v="CCC-89"/>
    <n v="11166"/>
    <s v="Study 2"/>
    <x v="0"/>
    <d v="2024-08-01T00:00:00"/>
    <d v="2026-08-31T00:00: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Vendor submitted data late"/>
    <s v="Low"/>
    <n v="2"/>
    <n v="2"/>
    <s v="L"/>
    <s v="L"/>
  </r>
  <r>
    <x v="1"/>
    <s v="Deadline Miss"/>
    <s v="Med"/>
    <n v="1"/>
    <n v="2"/>
    <s v="L"/>
    <s v="L"/>
  </r>
  <r>
    <x v="2"/>
    <s v="Resource Shortage"/>
    <s v="High"/>
    <n v="3"/>
    <n v="12"/>
    <s v="H"/>
    <s v="M"/>
  </r>
  <r>
    <x v="3"/>
    <s v="Fraudulent Data"/>
    <s v="Critical"/>
    <n v="1"/>
    <n v="10"/>
    <s v="H"/>
    <s v="M"/>
  </r>
  <r>
    <x v="4"/>
    <s v="Technical Challenges"/>
    <s v="Med"/>
    <n v="1"/>
    <n v="2"/>
    <s v="L"/>
    <s v="L"/>
  </r>
  <r>
    <x v="5"/>
    <s v="Quality Issues"/>
    <s v="High"/>
    <n v="3"/>
    <n v="12"/>
    <s v="H"/>
    <s v="M"/>
  </r>
  <r>
    <x v="6"/>
    <s v="Software Bugs"/>
    <s v="Low"/>
    <n v="2"/>
    <n v="2"/>
    <s v="L"/>
    <s v="L"/>
  </r>
  <r>
    <x v="7"/>
    <s v="Vendor Delay"/>
    <s v="Low"/>
    <n v="1"/>
    <n v="1"/>
    <s v="L"/>
    <s v="-"/>
  </r>
  <r>
    <x v="8"/>
    <s v="Legal Issues"/>
    <s v="Critical"/>
    <n v="1"/>
    <n v="10"/>
    <s v="H"/>
    <s v="M"/>
  </r>
  <r>
    <x v="9"/>
    <s v="Communication Breakdown"/>
    <s v="Low"/>
    <n v="1"/>
    <n v="1"/>
    <s v="L"/>
    <s v="-"/>
  </r>
  <r>
    <x v="10"/>
    <s v="Software Bugs"/>
    <s v="Med"/>
    <n v="2"/>
    <n v="4"/>
    <s v="M"/>
    <s v="L"/>
  </r>
  <r>
    <x v="11"/>
    <s v="Leadership Turnover"/>
    <s v="High"/>
    <n v="1"/>
    <n v="4"/>
    <s v="M"/>
    <s v="L"/>
  </r>
  <r>
    <x v="12"/>
    <s v="Data Loss"/>
    <s v="High"/>
    <n v="2"/>
    <n v="8"/>
    <s v="M"/>
    <s v="M"/>
  </r>
  <r>
    <x v="13"/>
    <s v="Team Conflict"/>
    <s v="Low"/>
    <n v="4"/>
    <n v="4"/>
    <s v="M"/>
    <s v="L"/>
  </r>
  <r>
    <x v="14"/>
    <s v="Planning Errors"/>
    <s v="Critical"/>
    <n v="1"/>
    <n v="10"/>
    <s v="H"/>
    <s v="M"/>
  </r>
  <r>
    <x v="15"/>
    <s v="Weather Delay"/>
    <s v="Med"/>
    <n v="1"/>
    <n v="2"/>
    <s v="L"/>
    <s v="L"/>
  </r>
  <r>
    <x v="16"/>
    <s v="hardware Failures"/>
    <s v="Med"/>
    <n v="2"/>
    <n v="4"/>
    <s v="M"/>
    <s v="L"/>
  </r>
  <r>
    <x v="17"/>
    <s v="Stakeeholder Disengagement"/>
    <s v="Low"/>
    <n v="1"/>
    <n v="1"/>
    <s v="L"/>
    <s v="-"/>
  </r>
  <r>
    <x v="18"/>
    <s v="Scope Creep"/>
    <s v="High"/>
    <n v="4"/>
    <n v="16"/>
    <s v="C"/>
    <s v="H"/>
  </r>
  <r>
    <x v="19"/>
    <s v="Deadline Miss"/>
    <s v="Critical"/>
    <n v="2"/>
    <n v="20"/>
    <s v="C"/>
    <s v="H"/>
  </r>
  <r>
    <x v="20"/>
    <s v="Change Resistance"/>
    <s v="Low"/>
    <n v="1"/>
    <n v="1"/>
    <s v="L"/>
    <s v="-"/>
  </r>
  <r>
    <x v="21"/>
    <s v="Misaligned Objectives"/>
    <s v="High"/>
    <n v="2"/>
    <n v="8"/>
    <s v="M"/>
    <s v="M"/>
  </r>
  <r>
    <x v="22"/>
    <s v="Software Bugs"/>
    <s v="Med"/>
    <n v="1"/>
    <n v="2"/>
    <s v="L"/>
    <s v="L"/>
  </r>
  <r>
    <x v="23"/>
    <s v="Scope Creep"/>
    <s v="Med"/>
    <n v="2"/>
    <n v="4"/>
    <s v="M"/>
    <s v="L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Institution 68"/>
    <d v="2024-03-11T00:00:00"/>
    <x v="0"/>
    <x v="0"/>
    <n v="3"/>
    <s v="Feedback comment 68"/>
  </r>
  <r>
    <s v="Institution 47"/>
    <d v="2023-08-02T00:00:00"/>
    <x v="0"/>
    <x v="0"/>
    <n v="2"/>
    <s v="Feedback comment 47"/>
  </r>
  <r>
    <s v="Institution 62"/>
    <d v="2023-05-22T00:00:00"/>
    <x v="0"/>
    <x v="1"/>
    <n v="2"/>
    <s v="Feedback comment 62"/>
  </r>
  <r>
    <s v="Institution 90"/>
    <d v="2023-08-09T00:00:00"/>
    <x v="1"/>
    <x v="2"/>
    <n v="2"/>
    <s v="Feedback comment 90"/>
  </r>
  <r>
    <s v="Institution 80"/>
    <d v="2024-04-16T00:00:00"/>
    <x v="0"/>
    <x v="2"/>
    <n v="3"/>
    <s v="Feedback comment 80"/>
  </r>
  <r>
    <s v="Institution 11"/>
    <d v="2023-08-01T00:00:00"/>
    <x v="1"/>
    <x v="2"/>
    <n v="3"/>
    <s v="Feedback comment 11"/>
  </r>
  <r>
    <s v="Institution 60"/>
    <d v="2023-11-02T00:00:00"/>
    <x v="1"/>
    <x v="0"/>
    <n v="1"/>
    <s v="Feedback comment 60"/>
  </r>
  <r>
    <s v="Institution 56"/>
    <d v="2024-03-10T00:00:00"/>
    <x v="1"/>
    <x v="2"/>
    <n v="2"/>
    <s v="Feedback comment 56"/>
  </r>
  <r>
    <s v="Institution 6"/>
    <d v="2023-06-21T00:00:00"/>
    <x v="0"/>
    <x v="0"/>
    <n v="3"/>
    <s v="Feedback comment 6"/>
  </r>
  <r>
    <s v="Institution 61"/>
    <d v="2023-11-06T00:00:00"/>
    <x v="0"/>
    <x v="2"/>
    <n v="1"/>
    <s v="Feedback comment 61"/>
  </r>
  <r>
    <s v="Institution 16"/>
    <d v="2023-06-23T00:00:00"/>
    <x v="0"/>
    <x v="0"/>
    <n v="2"/>
    <s v="Feedback comment 16"/>
  </r>
  <r>
    <s v="Institution 86"/>
    <d v="2024-03-12T00:00:00"/>
    <x v="1"/>
    <x v="2"/>
    <n v="1"/>
    <s v="Feedback comment 86"/>
  </r>
  <r>
    <s v="Institution 88"/>
    <d v="2023-11-16T00:00:00"/>
    <x v="1"/>
    <x v="2"/>
    <n v="1"/>
    <s v="Feedback comment 88"/>
  </r>
  <r>
    <s v="Institution 77"/>
    <d v="2024-02-21T00:00:00"/>
    <x v="1"/>
    <x v="0"/>
    <n v="2"/>
    <s v="Feedback comment 77"/>
  </r>
  <r>
    <s v="Institution 19"/>
    <d v="2024-03-24T00:00:00"/>
    <x v="1"/>
    <x v="0"/>
    <n v="5"/>
    <s v="Feedback comment 19"/>
  </r>
  <r>
    <s v="Institution 7"/>
    <d v="2024-03-06T00:00:00"/>
    <x v="0"/>
    <x v="1"/>
    <n v="5"/>
    <s v="Feedback comment 7"/>
  </r>
  <r>
    <s v="Institution 93"/>
    <d v="2023-09-26T00:00:00"/>
    <x v="0"/>
    <x v="0"/>
    <n v="3"/>
    <s v="Feedback comment 93"/>
  </r>
  <r>
    <s v="Institution 96"/>
    <d v="2023-05-11T00:00:00"/>
    <x v="1"/>
    <x v="0"/>
    <n v="1"/>
    <s v="Feedback comment 96"/>
  </r>
  <r>
    <s v="Institution 74"/>
    <d v="2024-01-21T00:00:00"/>
    <x v="0"/>
    <x v="0"/>
    <n v="2"/>
    <s v="Feedback comment 74"/>
  </r>
  <r>
    <s v="Institution 87"/>
    <d v="2023-10-11T00:00:00"/>
    <x v="1"/>
    <x v="1"/>
    <n v="1"/>
    <s v="Feedback comment 87"/>
  </r>
  <r>
    <s v="Institution 31"/>
    <d v="2023-08-08T00:00:00"/>
    <x v="1"/>
    <x v="1"/>
    <n v="4"/>
    <s v="Feedback comment 31"/>
  </r>
  <r>
    <s v="Institution 36"/>
    <d v="2024-01-07T00:00:00"/>
    <x v="0"/>
    <x v="0"/>
    <n v="5"/>
    <s v="Feedback comment 36"/>
  </r>
  <r>
    <s v="Institution 38"/>
    <d v="2024-02-02T00:00:00"/>
    <x v="1"/>
    <x v="1"/>
    <n v="1"/>
    <s v="Feedback comment 38"/>
  </r>
  <r>
    <s v="Institution 97"/>
    <d v="2023-04-21T00:00:00"/>
    <x v="0"/>
    <x v="2"/>
    <n v="3"/>
    <s v="Feedback comment 97"/>
  </r>
  <r>
    <s v="Institution 35"/>
    <d v="2024-03-22T00:00:00"/>
    <x v="0"/>
    <x v="0"/>
    <n v="3"/>
    <s v="Feedback comment 35"/>
  </r>
  <r>
    <s v="Institution 22"/>
    <d v="2023-12-19T00:00:00"/>
    <x v="1"/>
    <x v="0"/>
    <n v="3"/>
    <s v="Feedback comment 22"/>
  </r>
  <r>
    <s v="Institution 75"/>
    <d v="2023-05-02T00:00:00"/>
    <x v="0"/>
    <x v="1"/>
    <n v="5"/>
    <s v="Feedback comment 75"/>
  </r>
  <r>
    <s v="Institution 51"/>
    <d v="2023-11-24T00:00:00"/>
    <x v="1"/>
    <x v="2"/>
    <n v="3"/>
    <s v="Feedback comment 51"/>
  </r>
  <r>
    <s v="Institution 49"/>
    <d v="2023-11-06T00:00:00"/>
    <x v="1"/>
    <x v="0"/>
    <n v="5"/>
    <s v="Feedback comment 49"/>
  </r>
  <r>
    <s v="Institution 34"/>
    <d v="2024-04-19T00:00:00"/>
    <x v="1"/>
    <x v="2"/>
    <n v="2"/>
    <s v="Feedback comment 34"/>
  </r>
  <r>
    <s v="Institution 84"/>
    <d v="2024-04-10T00:00:00"/>
    <x v="0"/>
    <x v="0"/>
    <n v="4"/>
    <s v="Feedback comment 84"/>
  </r>
  <r>
    <s v="Institution 57"/>
    <d v="2024-01-20T00:00:00"/>
    <x v="0"/>
    <x v="2"/>
    <n v="2"/>
    <s v="Feedback comment 57"/>
  </r>
  <r>
    <s v="Institution 72"/>
    <d v="2023-11-10T00:00:00"/>
    <x v="0"/>
    <x v="2"/>
    <n v="2"/>
    <s v="Feedback comment 72"/>
  </r>
  <r>
    <s v="Institution 29"/>
    <d v="2023-06-09T00:00:00"/>
    <x v="0"/>
    <x v="0"/>
    <n v="3"/>
    <s v="Feedback comment 29"/>
  </r>
  <r>
    <s v="Institution 4"/>
    <d v="2023-06-21T00:00:00"/>
    <x v="0"/>
    <x v="2"/>
    <n v="1"/>
    <s v="Feedback comment 4"/>
  </r>
  <r>
    <s v="Institution 33"/>
    <d v="2024-03-03T00:00:00"/>
    <x v="0"/>
    <x v="1"/>
    <n v="4"/>
    <s v="Feedback comment 33"/>
  </r>
  <r>
    <s v="Institution 10"/>
    <d v="2023-08-09T00:00:00"/>
    <x v="1"/>
    <x v="0"/>
    <n v="3"/>
    <s v="Feedback comment 10"/>
  </r>
  <r>
    <s v="Institution 5"/>
    <d v="2023-08-01T00:00:00"/>
    <x v="0"/>
    <x v="1"/>
    <n v="4"/>
    <s v="Feedback comment 5"/>
  </r>
  <r>
    <s v="Institution 25"/>
    <d v="2023-08-13T00:00:00"/>
    <x v="0"/>
    <x v="1"/>
    <n v="5"/>
    <s v="Feedback comment 25"/>
  </r>
  <r>
    <s v="Institution 83"/>
    <d v="2024-01-28T00:00:00"/>
    <x v="0"/>
    <x v="2"/>
    <n v="1"/>
    <s v="Feedback comment 83"/>
  </r>
  <r>
    <s v="Institution 58"/>
    <d v="2023-09-27T00:00:00"/>
    <x v="1"/>
    <x v="1"/>
    <n v="1"/>
    <s v="Feedback comment 58"/>
  </r>
  <r>
    <s v="Institution 91"/>
    <d v="2023-11-24T00:00:00"/>
    <x v="1"/>
    <x v="1"/>
    <n v="4"/>
    <s v="Feedback comment 91"/>
  </r>
  <r>
    <s v="Institution 71"/>
    <d v="2024-03-16T00:00:00"/>
    <x v="0"/>
    <x v="1"/>
    <n v="1"/>
    <s v="Feedback comment 71"/>
  </r>
  <r>
    <s v="Institution 78"/>
    <d v="2023-10-16T00:00:00"/>
    <x v="1"/>
    <x v="2"/>
    <n v="3"/>
    <s v="Feedback comment 78"/>
  </r>
  <r>
    <s v="Institution 70"/>
    <d v="2023-04-30T00:00:00"/>
    <x v="1"/>
    <x v="0"/>
    <n v="5"/>
    <s v="Feedback comment 70"/>
  </r>
  <r>
    <s v="Institution 54"/>
    <d v="2023-08-23T00:00:00"/>
    <x v="0"/>
    <x v="2"/>
    <n v="1"/>
    <s v="Feedback comment 54"/>
  </r>
  <r>
    <s v="Institution 13"/>
    <d v="2023-04-20T00:00:00"/>
    <x v="1"/>
    <x v="2"/>
    <n v="2"/>
    <s v="Feedback comment 13"/>
  </r>
  <r>
    <s v="Institution 26"/>
    <d v="2023-09-16T00:00:00"/>
    <x v="1"/>
    <x v="2"/>
    <n v="2"/>
    <s v="Feedback comment 26"/>
  </r>
  <r>
    <s v="Institution 95"/>
    <d v="2023-05-29T00:00:00"/>
    <x v="0"/>
    <x v="2"/>
    <n v="1"/>
    <s v="Feedback comment 95"/>
  </r>
  <r>
    <s v="Institution 67"/>
    <d v="2023-06-11T00:00:00"/>
    <x v="0"/>
    <x v="2"/>
    <n v="1"/>
    <s v="Feedback comment 67"/>
  </r>
  <r>
    <s v="Institution 3"/>
    <d v="2023-09-27T00:00:00"/>
    <x v="0"/>
    <x v="0"/>
    <n v="4"/>
    <s v="Feedback comment 3"/>
  </r>
  <r>
    <s v="Institution 64"/>
    <d v="2023-07-20T00:00:00"/>
    <x v="0"/>
    <x v="2"/>
    <n v="1"/>
    <s v="Feedback comment 64"/>
  </r>
  <r>
    <s v="Institution 21"/>
    <d v="2023-09-09T00:00:00"/>
    <x v="1"/>
    <x v="2"/>
    <n v="2"/>
    <s v="Feedback comment 21"/>
  </r>
  <r>
    <s v="Institution 44"/>
    <d v="2024-02-10T00:00:00"/>
    <x v="1"/>
    <x v="2"/>
    <n v="3"/>
    <s v="Feedback comment 44"/>
  </r>
  <r>
    <s v="Institution 43"/>
    <d v="2023-06-03T00:00:00"/>
    <x v="1"/>
    <x v="2"/>
    <n v="3"/>
    <s v="Feedback comment 43"/>
  </r>
  <r>
    <s v="Institution 15"/>
    <d v="2023-10-24T00:00:00"/>
    <x v="0"/>
    <x v="0"/>
    <n v="1"/>
    <s v="Feedback comment 15"/>
  </r>
  <r>
    <s v="Institution 46"/>
    <d v="2024-01-11T00:00:00"/>
    <x v="0"/>
    <x v="2"/>
    <n v="2"/>
    <s v="Feedback comment 46"/>
  </r>
  <r>
    <s v="Institution 27"/>
    <d v="2024-03-22T00:00:00"/>
    <x v="0"/>
    <x v="2"/>
    <n v="2"/>
    <s v="Feedback comment 27"/>
  </r>
  <r>
    <s v="Institution 82"/>
    <d v="2023-12-23T00:00:00"/>
    <x v="1"/>
    <x v="1"/>
    <n v="4"/>
    <s v="Feedback comment 82"/>
  </r>
  <r>
    <s v="Institution 17"/>
    <d v="2023-11-14T00:00:00"/>
    <x v="1"/>
    <x v="2"/>
    <n v="2"/>
    <s v="Feedback comment 17"/>
  </r>
  <r>
    <s v="Institution 28"/>
    <d v="2023-11-21T00:00:00"/>
    <x v="1"/>
    <x v="1"/>
    <n v="4"/>
    <s v="Feedback comment 28"/>
  </r>
  <r>
    <s v="Institution 42"/>
    <d v="2023-12-30T00:00:00"/>
    <x v="1"/>
    <x v="2"/>
    <n v="2"/>
    <s v="Feedback comment 42"/>
  </r>
  <r>
    <s v="Institution 8"/>
    <d v="2023-09-21T00:00:00"/>
    <x v="1"/>
    <x v="0"/>
    <n v="3"/>
    <s v="Feedback comment 8"/>
  </r>
  <r>
    <s v="Institution 59"/>
    <d v="2024-02-17T00:00:00"/>
    <x v="1"/>
    <x v="2"/>
    <n v="2"/>
    <s v="Feedback comment 59"/>
  </r>
  <r>
    <s v="Institution 40"/>
    <d v="2024-02-01T00:00:00"/>
    <x v="0"/>
    <x v="1"/>
    <n v="5"/>
    <s v="Feedback comment 40"/>
  </r>
  <r>
    <s v="Institution 14"/>
    <d v="2023-09-18T00:00:00"/>
    <x v="1"/>
    <x v="1"/>
    <n v="3"/>
    <s v="Feedback comment 14"/>
  </r>
  <r>
    <s v="Institution 48"/>
    <d v="2023-05-24T00:00:00"/>
    <x v="1"/>
    <x v="1"/>
    <n v="4"/>
    <s v="Feedback comment 48"/>
  </r>
  <r>
    <s v="Institution 63"/>
    <d v="2023-08-15T00:00:00"/>
    <x v="1"/>
    <x v="0"/>
    <n v="3"/>
    <s v="Feedback comment 63"/>
  </r>
  <r>
    <s v="Institution 85"/>
    <d v="2023-12-03T00:00:00"/>
    <x v="0"/>
    <x v="2"/>
    <n v="1"/>
    <s v="Feedback comment 85"/>
  </r>
  <r>
    <s v="Institution 30"/>
    <d v="2024-02-05T00:00:00"/>
    <x v="1"/>
    <x v="1"/>
    <n v="5"/>
    <s v="Feedback comment 30"/>
  </r>
  <r>
    <s v="Institution 73"/>
    <d v="2023-06-06T00:00:00"/>
    <x v="0"/>
    <x v="1"/>
    <n v="5"/>
    <s v="Feedback comment 73"/>
  </r>
  <r>
    <s v="Institution 79"/>
    <d v="2023-12-25T00:00:00"/>
    <x v="0"/>
    <x v="2"/>
    <n v="3"/>
    <s v="Feedback comment 79"/>
  </r>
  <r>
    <s v="Institution 81"/>
    <d v="2024-01-22T00:00:00"/>
    <x v="1"/>
    <x v="1"/>
    <n v="5"/>
    <s v="Feedback comment 81"/>
  </r>
  <r>
    <s v="Institution 89"/>
    <d v="2024-03-14T00:00:00"/>
    <x v="0"/>
    <x v="1"/>
    <n v="5"/>
    <s v="Feedback comment 89"/>
  </r>
  <r>
    <s v="Institution 1"/>
    <d v="2023-05-19T00:00:00"/>
    <x v="0"/>
    <x v="0"/>
    <n v="2"/>
    <s v="Feedback comment 1"/>
  </r>
  <r>
    <s v="Institution 92"/>
    <d v="2024-01-22T00:00:00"/>
    <x v="1"/>
    <x v="0"/>
    <n v="2"/>
    <s v="Feedback comment 92"/>
  </r>
  <r>
    <s v="Institution 50"/>
    <d v="2023-11-27T00:00:00"/>
    <x v="0"/>
    <x v="0"/>
    <n v="2"/>
    <s v="Feedback comment 50"/>
  </r>
  <r>
    <s v="Institution 32"/>
    <d v="2023-05-23T00:00:00"/>
    <x v="0"/>
    <x v="0"/>
    <n v="1"/>
    <s v="Feedback comment 32"/>
  </r>
  <r>
    <s v="Institution 2"/>
    <d v="2023-12-05T00:00:00"/>
    <x v="0"/>
    <x v="2"/>
    <n v="1"/>
    <s v="Feedback comment 2"/>
  </r>
  <r>
    <s v="Institution 24"/>
    <d v="2023-05-19T00:00:00"/>
    <x v="1"/>
    <x v="2"/>
    <n v="2"/>
    <s v="Feedback comment 24"/>
  </r>
  <r>
    <s v="Institution 52"/>
    <d v="2023-05-15T00:00:00"/>
    <x v="1"/>
    <x v="1"/>
    <n v="4"/>
    <s v="Feedback comment 52"/>
  </r>
  <r>
    <s v="Institution 41"/>
    <d v="2024-03-14T00:00:00"/>
    <x v="1"/>
    <x v="2"/>
    <n v="1"/>
    <s v="Feedback comment 41"/>
  </r>
  <r>
    <s v="Institution 69"/>
    <d v="2024-04-05T00:00:00"/>
    <x v="1"/>
    <x v="2"/>
    <n v="3"/>
    <s v="Feedback comment 69"/>
  </r>
  <r>
    <s v="Institution 45"/>
    <d v="2023-07-10T00:00:00"/>
    <x v="1"/>
    <x v="1"/>
    <n v="1"/>
    <s v="Feedback comment 45"/>
  </r>
  <r>
    <s v="Institution 94"/>
    <d v="2024-03-04T00:00:00"/>
    <x v="0"/>
    <x v="0"/>
    <n v="2"/>
    <s v="Feedback comment 94"/>
  </r>
  <r>
    <s v="Institution 53"/>
    <d v="2023-06-29T00:00:00"/>
    <x v="0"/>
    <x v="2"/>
    <n v="2"/>
    <s v="Feedback comment 53"/>
  </r>
  <r>
    <s v="Institution 20"/>
    <d v="2024-03-31T00:00:00"/>
    <x v="1"/>
    <x v="2"/>
    <n v="2"/>
    <s v="Feedback comment 20"/>
  </r>
  <r>
    <s v="Institution 9"/>
    <d v="2023-12-27T00:00:00"/>
    <x v="1"/>
    <x v="2"/>
    <n v="2"/>
    <s v="Feedback comment 9"/>
  </r>
  <r>
    <s v="Institution 100"/>
    <d v="2023-12-19T00:00:00"/>
    <x v="0"/>
    <x v="2"/>
    <n v="1"/>
    <s v="Feedback comment 100"/>
  </r>
  <r>
    <s v="Institution 66"/>
    <d v="2023-08-07T00:00:00"/>
    <x v="1"/>
    <x v="0"/>
    <n v="3"/>
    <s v="Feedback comment 66"/>
  </r>
  <r>
    <s v="Institution 98"/>
    <d v="2023-06-29T00:00:00"/>
    <x v="0"/>
    <x v="1"/>
    <n v="5"/>
    <s v="Feedback comment 98"/>
  </r>
  <r>
    <s v="Institution 12"/>
    <d v="2024-02-21T00:00:00"/>
    <x v="1"/>
    <x v="0"/>
    <n v="3"/>
    <s v="Feedback comment 12"/>
  </r>
  <r>
    <s v="Institution 65"/>
    <d v="2024-03-20T00:00:00"/>
    <x v="1"/>
    <x v="0"/>
    <n v="2"/>
    <s v="Feedback comment 65"/>
  </r>
  <r>
    <s v="Institution 39"/>
    <d v="2024-02-01T00:00:00"/>
    <x v="1"/>
    <x v="2"/>
    <n v="3"/>
    <s v="Feedback comment 39"/>
  </r>
  <r>
    <s v="Institution 23"/>
    <d v="2023-08-01T00:00:00"/>
    <x v="1"/>
    <x v="1"/>
    <n v="3"/>
    <s v="Feedback comment 23"/>
  </r>
  <r>
    <s v="Institution 76"/>
    <d v="2023-08-20T00:00:00"/>
    <x v="1"/>
    <x v="0"/>
    <n v="5"/>
    <s v="Feedback comment 76"/>
  </r>
  <r>
    <s v="Institution 37"/>
    <d v="2024-02-11T00:00:00"/>
    <x v="1"/>
    <x v="0"/>
    <n v="4"/>
    <s v="Feedback comment 37"/>
  </r>
  <r>
    <s v="Institution 55"/>
    <d v="2023-09-26T00:00:00"/>
    <x v="1"/>
    <x v="0"/>
    <n v="1"/>
    <s v="Feedback comment 55"/>
  </r>
  <r>
    <s v="Institution 99"/>
    <d v="2024-02-10T00:00:00"/>
    <x v="0"/>
    <x v="1"/>
    <n v="5"/>
    <s v="Feedback comment 99"/>
  </r>
  <r>
    <s v="Institution 18"/>
    <d v="2023-09-16T00:00:00"/>
    <x v="1"/>
    <x v="1"/>
    <n v="2"/>
    <s v="Feedback comment 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:O4" firstHeaderRow="1" firstDataRow="1" firstDataCol="1"/>
  <pivotFields count="8"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numFmtId="14" showAll="0"/>
    <pivotField numFmtId="14" showAll="0"/>
    <pivotField showAll="0">
      <items count="6">
        <item x="0"/>
        <item x="3"/>
        <item x="1"/>
        <item x="2"/>
        <item x="4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Project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K6" firstHeaderRow="1" firstDataRow="1" firstDataCol="1"/>
  <pivotFields count="6">
    <pivotField showAll="0"/>
    <pivotField numFmtId="14" showAll="0"/>
    <pivotField showAll="0">
      <items count="3"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eedback Score" fld="4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1:K26" firstHeaderRow="0" firstDataRow="1" firstDataCol="1"/>
  <pivotFields count="7">
    <pivotField axis="axisRow" compact="0" outline="0" showAll="0">
      <items count="25">
        <item x="3"/>
        <item x="6"/>
        <item x="8"/>
        <item x="11"/>
        <item x="14"/>
        <item x="20"/>
        <item x="22"/>
        <item x="21"/>
        <item x="7"/>
        <item x="17"/>
        <item x="1"/>
        <item x="19"/>
        <item x="9"/>
        <item x="13"/>
        <item x="15"/>
        <item x="16"/>
        <item x="4"/>
        <item x="18"/>
        <item x="5"/>
        <item x="10"/>
        <item x="12"/>
        <item x="0"/>
        <item x="23"/>
        <item x="2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core" fld="4" baseField="0" baseItem="0"/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8" name="Projects" displayName="Projects" ref="A1:J25" totalsRowShown="0">
  <autoFilter ref="A1:J25"/>
  <tableColumns count="10">
    <tableColumn id="1" name="Issue Type"/>
    <tableColumn id="2" name="Issue Key" dataDxfId="73"/>
    <tableColumn id="3" name="Issue Id" dataDxfId="72"/>
    <tableColumn id="4" name="Project ID" dataDxfId="71"/>
    <tableColumn id="5" name="Status" dataDxfId="70"/>
    <tableColumn id="6" name="Start Date" dataDxfId="69"/>
    <tableColumn id="7" name="Due Date" dataDxfId="68"/>
    <tableColumn id="8" name="Type"/>
    <tableColumn id="9" name="Hours Used" dataDxfId="67">
      <calculatedColumnFormula>SUMIFS([1]!mockup_data[Hours Used],[1]!mockup_data[Project ID], [1]!Table6[[#This Row],[Project Id]])</calculatedColumnFormula>
    </tableColumn>
    <tableColumn id="10" name="Hours Estimated" dataDxfId="66">
      <calculatedColumnFormula>INDEX([1]!mockup_data[Hours Estimated (Project Total)], MATCH([1]!Table6[[#This Row],[Project Id]], [1]!mockup_data[Project ID], 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59" displayName="Table59" ref="A1:E28" totalsRowShown="0">
  <autoFilter ref="A1:E28"/>
  <tableColumns count="5">
    <tableColumn id="1" name="Project ID"/>
    <tableColumn id="2" name="Risk Description"/>
    <tableColumn id="6" name="Probability" dataDxfId="17"/>
    <tableColumn id="7" name="Impact" dataDxfId="16"/>
    <tableColumn id="9" name="Risk Score" dataDxfId="15">
      <calculatedColumnFormula>Table59[[#This Row],[Probability]]*Table59[[#This Row],[Impact]]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5" name="Table5" displayName="Table5" ref="A1:E33" totalsRowShown="0">
  <autoFilter ref="A1:E33"/>
  <tableColumns count="5">
    <tableColumn id="1" name="Project ID"/>
    <tableColumn id="2" name="Risk Description"/>
    <tableColumn id="6" name="Probability"/>
    <tableColumn id="7" name="Impact" dataDxfId="14"/>
    <tableColumn id="9" name="Risk Score" dataDxfId="13">
      <calculatedColumnFormula>Table5[[#This Row],[Probability]]*Table5[[#This Row],[Impact]]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7" name="Table58" displayName="Table58" ref="A1:E32" totalsRowShown="0">
  <autoFilter ref="A1:E32"/>
  <tableColumns count="5">
    <tableColumn id="1" name="Project ID"/>
    <tableColumn id="2" name="Risk Description"/>
    <tableColumn id="6" name="Probability" dataDxfId="12"/>
    <tableColumn id="7" name="Impact" dataDxfId="11"/>
    <tableColumn id="9" name="Risk Score" dataDxfId="10">
      <calculatedColumnFormula>Table58[[#This Row],[Probability]]*Table58[[#This Row],[Impact]]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Issues" displayName="Issues" ref="A1:G25" totalsRowShown="0" headerRowDxfId="9">
  <autoFilter ref="A1:G25"/>
  <tableColumns count="7">
    <tableColumn id="1" name="Project ID" dataDxfId="8"/>
    <tableColumn id="2" name="Issue Description"/>
    <tableColumn id="3" name="Severity"/>
    <tableColumn id="4" name="Count"/>
    <tableColumn id="5" name="Score">
      <calculatedColumnFormula>INDEX($N$5:$N$8,MATCH(C2,$M$5:$M$8,0))*D2</calculatedColumnFormula>
    </tableColumn>
    <tableColumn id="6" name="Bin" dataDxfId="7">
      <calculatedColumnFormula>CHOOSE(Issues[[#This Row],[Score]],"L","L","L","M","M","M","M","M","M","H","H","H","H","H","H","C","C","C","C","C","C","C","C","C","C","C","C","C","C","C","C","C","C","C","C","C")</calculatedColumnFormula>
    </tableColumn>
    <tableColumn id="7" name="Lookup" dataDxfId="6">
      <calculatedColumnFormula>INDEX($O$12:$O$16,MATCH(Issues[[#This Row],[Score]]+1,$N$12:$N$16,1))</calculatedColumnFormula>
    </tableColumn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id="11" name="Table11" displayName="Table11" ref="A1:B25" totalsRowShown="0">
  <autoFilter ref="A1:B25"/>
  <tableColumns count="2">
    <tableColumn id="1" name="Project ID" dataDxfId="5"/>
    <tableColumn id="2" name="Project Stat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9" displayName="Table9" ref="D2:I6" totalsRowShown="0">
  <autoFilter ref="D2:I6"/>
  <tableColumns count="6">
    <tableColumn id="1" name="Segments"/>
    <tableColumn id="2" name="Red" dataDxfId="4">
      <calculatedColumnFormula>COUNTIF(#REF!, 3)</calculatedColumnFormula>
    </tableColumn>
    <tableColumn id="3" name="Yellow" dataDxfId="3">
      <calculatedColumnFormula>COUNTIF(#REF!, 2)</calculatedColumnFormula>
    </tableColumn>
    <tableColumn id="4" name="Green" dataDxfId="2">
      <calculatedColumnFormula>COUNTIF(#REF!, 1)</calculatedColumnFormula>
    </tableColumn>
    <tableColumn id="5" name="Gray" dataDxfId="1"/>
    <tableColumn id="6" name="Total" dataDxfId="0">
      <calculatedColumnFormula>SUM(Table9[[#This Row],[Red]:[Gray]])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9" name="Tasks" displayName="Tasks" ref="A1:H73" totalsRowShown="0">
  <autoFilter ref="A1:H73"/>
  <tableColumns count="8">
    <tableColumn id="1" name="Project ID"/>
    <tableColumn id="2" name="Task"/>
    <tableColumn id="3" name="Start" dataDxfId="65"/>
    <tableColumn id="4" name="Due" dataDxfId="64"/>
    <tableColumn id="5" name="Status"/>
    <tableColumn id="6" name="Late Start"/>
    <tableColumn id="7" name="Past Due">
      <calculatedColumnFormula>IF(AND(TODAY() &gt; D2, E2 &lt;&gt; "Done"), "X", IF(AND(TODAY() &lt;= D2, TODAY() &gt;= D2 - 5, E2 &lt;&gt; "Done"), "Circle", "Checkmark"))</calculatedColumnFormula>
    </tableColumn>
    <tableColumn id="8" name="QC Chec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Finances" displayName="Finances" ref="A1:AC25" totalsRowShown="0">
  <autoFilter ref="A1:AC25"/>
  <tableColumns count="29">
    <tableColumn id="1" name="Project ID">
      <calculatedColumnFormula>'Project Data'!D2</calculatedColumnFormula>
    </tableColumn>
    <tableColumn id="19" name="LT_Budget" dataDxfId="63" dataCellStyle="Currency"/>
    <tableColumn id="20" name="Duration (mo)">
      <calculatedColumnFormula>DATEDIF('Project Data'!F2,'Project Data'!G2,"m")</calculatedColumnFormula>
    </tableColumn>
    <tableColumn id="21" name="Accrual Unit" dataDxfId="62">
      <calculatedColumnFormula>Finances[[#This Row],[LT_Budget]]/Finances[[#This Row],[Duration (mo)]]</calculatedColumnFormula>
    </tableColumn>
    <tableColumn id="25" name="Accrual #" dataDxfId="61">
      <calculatedColumnFormula>IFERROR(DATEDIF(Projects[[#This Row],[Start Date]], TODAY(), "m"), 0)</calculatedColumnFormula>
    </tableColumn>
    <tableColumn id="22" name="Accrual to Date" dataDxfId="60" dataCellStyle="Currency">
      <calculatedColumnFormula>Finances[[#This Row],[Accrual Unit]]*Finances[[#This Row],[Accrual '#]]</calculatedColumnFormula>
    </tableColumn>
    <tableColumn id="23" name="Cash Out" dataDxfId="59" dataCellStyle="Currency"/>
    <tableColumn id="31" name="Total Budget Used %" dataDxfId="58" dataCellStyle="Percent">
      <calculatedColumnFormula>Finances[[#This Row],[Cash Out]]/Finances[[#This Row],[LT_Budget]]</calculatedColumnFormula>
    </tableColumn>
    <tableColumn id="29" name="Cashout - Accrual" dataDxfId="57" dataCellStyle="Currency">
      <calculatedColumnFormula>Finances[[#This Row],[Cash Out]]-Finances[[#This Row],[Accrual to Date]]</calculatedColumnFormula>
    </tableColumn>
    <tableColumn id="35" name="LT_Budget - Cashout" dataDxfId="56" dataCellStyle="Currency">
      <calculatedColumnFormula>Finances[[#This Row],[LT_Budget]]-Finances[[#This Row],[Cash Out]]</calculatedColumnFormula>
    </tableColumn>
    <tableColumn id="33" name="Max Budget" dataDxfId="55" dataCellStyle="Currency">
      <calculatedColumnFormula>MAX([LT_Budget])</calculatedColumnFormula>
    </tableColumn>
    <tableColumn id="2" name="Milestone1" dataDxfId="54">
      <calculatedColumnFormula>Projects[[#This Row],[Start Date]]+30</calculatedColumnFormula>
    </tableColumn>
    <tableColumn id="3" name="Milestone2" dataDxfId="53">
      <calculatedColumnFormula>Finances[[#This Row],[Milestone1]]+1</calculatedColumnFormula>
    </tableColumn>
    <tableColumn id="4" name="Milestone3" dataDxfId="52">
      <calculatedColumnFormula>Finances[[#This Row],[Milestone2]]+1</calculatedColumnFormula>
    </tableColumn>
    <tableColumn id="5" name="Milestone4" dataDxfId="51"/>
    <tableColumn id="6" name="Milestone5"/>
    <tableColumn id="7" name="Milestone6"/>
    <tableColumn id="8" name="Milestone7"/>
    <tableColumn id="9" name="Milestone8"/>
    <tableColumn id="10" name="Milestone9"/>
    <tableColumn id="11" name="Milestone10"/>
    <tableColumn id="12" name="Total Completed"/>
    <tableColumn id="13" name="Q1"/>
    <tableColumn id="14" name="Q2"/>
    <tableColumn id="15" name="Q3"/>
    <tableColumn id="16" name="Q4"/>
    <tableColumn id="17" name="Total Possible"/>
    <tableColumn id="18" name="% Completed" dataDxfId="50" dataCellStyle="Percent">
      <calculatedColumnFormula>V2/AA2</calculatedColumnFormula>
    </tableColumn>
    <tableColumn id="26" name="MostRecentDate" dataDxfId="49">
      <calculatedColumnFormula>MAX('Project Data'!F2,L2:U2)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ate_diff" displayName="Date_diff" ref="A1:B25" totalsRowShown="0">
  <autoFilter ref="A1:B25"/>
  <tableColumns count="2">
    <tableColumn id="1" name="Project ID">
      <calculatedColumnFormula>'Project Data'!D2</calculatedColumnFormula>
    </tableColumn>
    <tableColumn id="2" name="Days from Today" dataDxfId="48">
      <calculatedColumnFormula>TODAY()-'Project Data'!G2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3" name="Table23" displayName="Table23" ref="A1:B5" totalsRowShown="0" dataDxfId="47">
  <autoFilter ref="A1:B5"/>
  <tableColumns count="2">
    <tableColumn id="1" name="Project Status" dataDxfId="46"/>
    <tableColumn id="2" name="Conversions" dataDxfId="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2" name="PT" displayName="PT" ref="A1:B6" totalsRowShown="0">
  <autoFilter ref="A1:B6"/>
  <tableColumns count="2">
    <tableColumn id="1" name="Bar chart type"/>
    <tableColumn id="2" name="Count" dataDxfId="44">
      <calculatedColumnFormula>COUNTIF(Projects[Type],'Project Types'!A2)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PM_Status" displayName="PM_Status" ref="A1:H25" totalsRowShown="0">
  <autoFilter ref="A1:H25"/>
  <tableColumns count="8">
    <tableColumn id="1" name="Project ID">
      <calculatedColumnFormula>'Project Data'!D2</calculatedColumnFormula>
    </tableColumn>
    <tableColumn id="6" name="Scope Bin" dataDxfId="43">
      <calculatedColumnFormula>CHOOSE(ROUNDUP('Financials Data'!AB2/0.25,0),1,2,3,4)</calculatedColumnFormula>
    </tableColumn>
    <tableColumn id="2" name="Scope">
      <calculatedColumnFormula>IF(PM_Status[[#This Row],[Scope Bin]]&lt;=2,3,IF(PM_Status[[#This Row],[Scope Bin]]=3,2,IF(PM_Status[[#This Row],[Scope Bin]]=4,1,0)))</calculatedColumnFormula>
    </tableColumn>
    <tableColumn id="3" name="Schedule" dataDxfId="42">
      <calculatedColumnFormula>IF(AND(DateDiffs!B2 &gt; 0, 'Project Data'!E3 &lt;&gt; "Done"), 3,   IF(AND(DateDiffs!B2 &gt; -7, 'Project Data'!E3 &lt;&gt; "Done"), 2,   IF('Project Data'!E3 = "Done", 1, 1)))</calculatedColumnFormula>
    </tableColumn>
    <tableColumn id="4" name="Budget">
      <calculatedColumnFormula>IF('Financials Data'!H2&gt;0.75, 3, IF('Financials Data'!H2&gt;0.5, 2, 1))</calculatedColumnFormula>
    </tableColumn>
    <tableColumn id="5" name="OVERALL">
      <calculatedColumnFormula>ROUND(AVERAGE(C2:E2), 0)</calculatedColumnFormula>
    </tableColumn>
    <tableColumn id="7" name="Bin" dataDxfId="41">
      <calculatedColumnFormula>CHOOSE(ROUNDUP(Finances[[#This Row],[% Completed]]/0.25,0),1,2,3,4)</calculatedColumnFormula>
    </tableColumn>
    <tableColumn id="8" name="Total Possible" dataDxfId="40">
      <calculatedColumnFormula>Finances[[#This Row],[Total Possible]]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Table925" displayName="Table925" ref="K1:P5" totalsRowShown="0">
  <autoFilter ref="K1:P5"/>
  <tableColumns count="6">
    <tableColumn id="1" name="Segments"/>
    <tableColumn id="2" name="Red" dataDxfId="39">
      <calculatedColumnFormula>COUNTIF('[1]Project Data'!$P$30:$P$49, 3)</calculatedColumnFormula>
    </tableColumn>
    <tableColumn id="3" name="Yellow" dataDxfId="38"/>
    <tableColumn id="4" name="Green" dataDxfId="37"/>
    <tableColumn id="5" name="Gray" dataDxfId="36"/>
    <tableColumn id="6" name="Total" dataDxfId="35">
      <calculatedColumnFormula>SUM(Table925[[#This Row],[Red]:[Gray]])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A1:F26" totalsRowShown="0">
  <autoFilter ref="A1:F26"/>
  <tableColumns count="6">
    <tableColumn id="1" name="Project ID"/>
    <tableColumn id="2" name="Pace" dataDxfId="22">
      <calculatedColumnFormula>SUMIF(Table5[Project ID], Table10[[#This Row],[Project ID]], Table5[Risk Score])</calculatedColumnFormula>
    </tableColumn>
    <tableColumn id="3" name="Execution" dataDxfId="21">
      <calculatedColumnFormula>SUMIF(Table58[Project ID], Table10[[#This Row],[Project ID]], Table58[Risk Score])</calculatedColumnFormula>
    </tableColumn>
    <tableColumn id="4" name="Resources" dataDxfId="20">
      <calculatedColumnFormula>SUMIF(Table59[Project ID], Table10[[#This Row],[Project ID]], Table59[Risk Score])</calculatedColumnFormula>
    </tableColumn>
    <tableColumn id="5" name="Total" dataDxfId="19">
      <calculatedColumnFormula>SUM(Table10[[#This Row],[Pace]:[Resources]])</calculatedColumnFormula>
    </tableColumn>
    <tableColumn id="6" name="unique identifier" dataDxfId="18">
      <calculatedColumnFormula>E2 + (ROW() / 100000)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4-05-01T20:11:40.28" personId="{1D7E6886-1721-124D-859F-22B83F64E3A0}" id="{7AAA5A98-68A0-48FE-861C-457CC665635E}">
    <text xml:space="preserve"> Number of months to date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ivotTable" Target="../pivotTables/pivotTable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sterpresentations.com/alt-code-cheatsheet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25"/>
  <sheetViews>
    <sheetView workbookViewId="0">
      <selection activeCell="D2" sqref="D2:D25"/>
    </sheetView>
  </sheetViews>
  <sheetFormatPr defaultRowHeight="14.25"/>
  <cols>
    <col min="1" max="1" width="12.25" customWidth="1"/>
    <col min="2" max="2" width="11.25" customWidth="1"/>
    <col min="3" max="3" width="10" customWidth="1"/>
    <col min="4" max="4" width="10.25" customWidth="1"/>
    <col min="6" max="6" width="11.625" customWidth="1"/>
    <col min="7" max="7" width="11" customWidth="1"/>
    <col min="8" max="8" width="16.625" bestFit="1" customWidth="1"/>
    <col min="14" max="14" width="13.375" bestFit="1" customWidth="1"/>
    <col min="15" max="15" width="16.875" bestFit="1" customWidth="1"/>
    <col min="17" max="17" width="14.25" style="58" bestFit="1" customWidth="1"/>
    <col min="19" max="19" width="14" bestFit="1" customWidth="1"/>
    <col min="21" max="21" width="18.375" style="46" bestFit="1" customWidth="1"/>
    <col min="22" max="22" width="14.25" style="58" bestFit="1" customWidth="1"/>
    <col min="23" max="23" width="23.125" bestFit="1" customWidth="1"/>
    <col min="24" max="24" width="20.75" style="46" bestFit="1" customWidth="1"/>
    <col min="25" max="25" width="19.625" style="46" bestFit="1" customWidth="1"/>
    <col min="26" max="26" width="15" style="46" bestFit="1" customWidth="1"/>
    <col min="27" max="27" width="16.125" bestFit="1" customWidth="1"/>
    <col min="28" max="28" width="13.25" bestFit="1" customWidth="1"/>
    <col min="48" max="48" width="9.25" customWidth="1"/>
    <col min="53" max="53" width="11.125" customWidth="1"/>
    <col min="54" max="54" width="10.875" customWidth="1"/>
    <col min="55" max="55" width="11.375" customWidth="1"/>
  </cols>
  <sheetData>
    <row r="1" spans="1:46">
      <c r="A1" t="s">
        <v>387</v>
      </c>
      <c r="B1" t="s">
        <v>460</v>
      </c>
      <c r="C1" t="s">
        <v>461</v>
      </c>
      <c r="D1" t="s">
        <v>55</v>
      </c>
      <c r="E1" t="s">
        <v>54</v>
      </c>
      <c r="F1" t="s">
        <v>294</v>
      </c>
      <c r="G1" t="s">
        <v>53</v>
      </c>
      <c r="H1" t="s">
        <v>284</v>
      </c>
      <c r="I1" t="s">
        <v>56</v>
      </c>
      <c r="J1" t="s">
        <v>297</v>
      </c>
      <c r="L1" s="8"/>
      <c r="M1" s="8"/>
      <c r="N1" s="2" t="s">
        <v>273</v>
      </c>
      <c r="O1" t="s">
        <v>467</v>
      </c>
    </row>
    <row r="2" spans="1:46">
      <c r="A2" t="s">
        <v>388</v>
      </c>
      <c r="B2" s="54" t="s">
        <v>389</v>
      </c>
      <c r="C2" s="54">
        <v>11048</v>
      </c>
      <c r="D2" s="54" t="s">
        <v>390</v>
      </c>
      <c r="E2" s="54" t="s">
        <v>391</v>
      </c>
      <c r="F2" s="55">
        <v>45083</v>
      </c>
      <c r="G2" s="55">
        <v>45644</v>
      </c>
      <c r="H2" t="s">
        <v>64</v>
      </c>
      <c r="I2">
        <v>1122</v>
      </c>
      <c r="J2">
        <v>1000</v>
      </c>
      <c r="L2" s="43"/>
      <c r="M2" s="43"/>
      <c r="N2" s="3" t="s">
        <v>426</v>
      </c>
      <c r="O2">
        <v>3</v>
      </c>
    </row>
    <row r="3" spans="1:46">
      <c r="A3" t="s">
        <v>388</v>
      </c>
      <c r="B3" s="54" t="s">
        <v>392</v>
      </c>
      <c r="C3" s="54">
        <v>11061</v>
      </c>
      <c r="D3" s="54" t="s">
        <v>393</v>
      </c>
      <c r="E3" s="54" t="s">
        <v>391</v>
      </c>
      <c r="F3" s="55">
        <v>45426</v>
      </c>
      <c r="G3" s="55">
        <v>45653</v>
      </c>
      <c r="H3" t="s">
        <v>79</v>
      </c>
      <c r="I3">
        <v>797</v>
      </c>
      <c r="J3">
        <v>1000</v>
      </c>
      <c r="L3" s="43"/>
      <c r="M3" s="43"/>
      <c r="N3" s="3" t="s">
        <v>391</v>
      </c>
      <c r="O3">
        <v>21</v>
      </c>
      <c r="AT3" s="54"/>
    </row>
    <row r="4" spans="1:46">
      <c r="A4" t="s">
        <v>388</v>
      </c>
      <c r="B4" s="54" t="s">
        <v>394</v>
      </c>
      <c r="C4" s="54">
        <v>11059</v>
      </c>
      <c r="D4" s="54" t="s">
        <v>395</v>
      </c>
      <c r="E4" s="54" t="s">
        <v>391</v>
      </c>
      <c r="F4" s="55">
        <v>45476</v>
      </c>
      <c r="G4" s="55">
        <v>45654</v>
      </c>
      <c r="H4" t="s">
        <v>279</v>
      </c>
      <c r="I4">
        <v>716</v>
      </c>
      <c r="J4">
        <v>750</v>
      </c>
      <c r="L4" s="43"/>
      <c r="M4" s="43"/>
      <c r="N4" s="3" t="s">
        <v>275</v>
      </c>
      <c r="O4">
        <v>24</v>
      </c>
      <c r="AT4" s="54"/>
    </row>
    <row r="5" spans="1:46">
      <c r="A5" t="s">
        <v>388</v>
      </c>
      <c r="B5" s="54" t="s">
        <v>396</v>
      </c>
      <c r="C5" s="54">
        <v>11068</v>
      </c>
      <c r="D5" s="54" t="s">
        <v>397</v>
      </c>
      <c r="E5" s="54" t="s">
        <v>391</v>
      </c>
      <c r="F5" s="55">
        <v>45292</v>
      </c>
      <c r="G5" s="55">
        <v>45657</v>
      </c>
      <c r="H5" t="s">
        <v>384</v>
      </c>
      <c r="I5">
        <v>830</v>
      </c>
      <c r="J5">
        <v>1000</v>
      </c>
      <c r="L5" s="43"/>
      <c r="M5" s="43"/>
      <c r="AT5" s="54"/>
    </row>
    <row r="6" spans="1:46">
      <c r="A6" t="s">
        <v>388</v>
      </c>
      <c r="B6" s="54" t="s">
        <v>398</v>
      </c>
      <c r="C6" s="54">
        <v>11060</v>
      </c>
      <c r="D6" s="54" t="s">
        <v>399</v>
      </c>
      <c r="E6" s="54" t="s">
        <v>391</v>
      </c>
      <c r="F6" s="55">
        <v>45474</v>
      </c>
      <c r="G6" s="55">
        <v>45657</v>
      </c>
      <c r="H6" t="s">
        <v>84</v>
      </c>
      <c r="I6">
        <v>699</v>
      </c>
      <c r="J6">
        <v>600</v>
      </c>
      <c r="L6" s="43"/>
      <c r="M6" s="43"/>
      <c r="AT6" s="54"/>
    </row>
    <row r="7" spans="1:46">
      <c r="A7" t="s">
        <v>388</v>
      </c>
      <c r="B7" s="54" t="s">
        <v>400</v>
      </c>
      <c r="C7" s="54">
        <v>11058</v>
      </c>
      <c r="D7" s="54" t="s">
        <v>401</v>
      </c>
      <c r="E7" s="54" t="s">
        <v>391</v>
      </c>
      <c r="F7" s="55">
        <v>45476</v>
      </c>
      <c r="G7" s="55">
        <v>45657</v>
      </c>
      <c r="H7" t="s">
        <v>84</v>
      </c>
      <c r="I7">
        <v>726</v>
      </c>
      <c r="J7">
        <v>500</v>
      </c>
      <c r="L7" s="43"/>
      <c r="M7" s="43"/>
      <c r="AT7" s="54"/>
    </row>
    <row r="8" spans="1:46">
      <c r="A8" t="s">
        <v>388</v>
      </c>
      <c r="B8" s="54" t="s">
        <v>402</v>
      </c>
      <c r="C8" s="54">
        <v>11052</v>
      </c>
      <c r="D8" s="54" t="s">
        <v>403</v>
      </c>
      <c r="E8" s="54" t="s">
        <v>391</v>
      </c>
      <c r="F8" s="55">
        <v>45141</v>
      </c>
      <c r="G8" s="55">
        <v>45657</v>
      </c>
      <c r="H8" t="s">
        <v>79</v>
      </c>
      <c r="I8">
        <v>811</v>
      </c>
      <c r="J8">
        <v>1000</v>
      </c>
      <c r="L8" s="43"/>
      <c r="M8" s="43"/>
      <c r="AT8" s="54"/>
    </row>
    <row r="9" spans="1:46">
      <c r="A9" t="s">
        <v>388</v>
      </c>
      <c r="B9" s="54" t="s">
        <v>404</v>
      </c>
      <c r="C9" s="54">
        <v>11051</v>
      </c>
      <c r="D9" s="54" t="s">
        <v>405</v>
      </c>
      <c r="E9" s="54" t="s">
        <v>391</v>
      </c>
      <c r="F9" s="55">
        <v>45504</v>
      </c>
      <c r="G9" s="55">
        <v>45688</v>
      </c>
      <c r="H9" t="s">
        <v>64</v>
      </c>
      <c r="I9">
        <v>1154</v>
      </c>
      <c r="J9">
        <v>1150</v>
      </c>
      <c r="L9" s="43"/>
      <c r="M9" s="43"/>
      <c r="AT9" s="54"/>
    </row>
    <row r="10" spans="1:46">
      <c r="A10" t="s">
        <v>388</v>
      </c>
      <c r="B10" s="54" t="s">
        <v>406</v>
      </c>
      <c r="C10" s="54">
        <v>11053</v>
      </c>
      <c r="D10" s="54" t="s">
        <v>407</v>
      </c>
      <c r="E10" s="54" t="s">
        <v>391</v>
      </c>
      <c r="F10" s="55">
        <v>45383</v>
      </c>
      <c r="G10" s="55">
        <v>45704</v>
      </c>
      <c r="H10" t="s">
        <v>384</v>
      </c>
      <c r="I10">
        <v>670</v>
      </c>
      <c r="J10">
        <v>500</v>
      </c>
      <c r="L10" s="43"/>
      <c r="M10" s="43"/>
      <c r="AT10" s="54"/>
    </row>
    <row r="11" spans="1:46">
      <c r="A11" t="s">
        <v>388</v>
      </c>
      <c r="B11" s="54" t="s">
        <v>408</v>
      </c>
      <c r="C11" s="54">
        <v>11062</v>
      </c>
      <c r="D11" s="54" t="s">
        <v>409</v>
      </c>
      <c r="E11" s="54" t="s">
        <v>391</v>
      </c>
      <c r="F11" s="55">
        <v>45435</v>
      </c>
      <c r="G11" s="55">
        <v>45747</v>
      </c>
      <c r="H11" t="s">
        <v>279</v>
      </c>
      <c r="I11">
        <v>1043</v>
      </c>
      <c r="J11">
        <v>1000</v>
      </c>
      <c r="L11" s="43"/>
      <c r="M11" s="43"/>
      <c r="AT11" s="54"/>
    </row>
    <row r="12" spans="1:46" ht="28.5">
      <c r="A12" t="s">
        <v>388</v>
      </c>
      <c r="B12" s="54" t="s">
        <v>410</v>
      </c>
      <c r="C12" s="54">
        <v>11057</v>
      </c>
      <c r="D12" s="56" t="s">
        <v>411</v>
      </c>
      <c r="E12" s="54" t="s">
        <v>391</v>
      </c>
      <c r="F12" s="55">
        <v>45474</v>
      </c>
      <c r="G12" s="55">
        <v>45747</v>
      </c>
      <c r="H12" t="s">
        <v>64</v>
      </c>
      <c r="I12">
        <v>761</v>
      </c>
      <c r="J12">
        <v>800</v>
      </c>
      <c r="L12" s="43"/>
      <c r="M12" s="43"/>
      <c r="AT12" s="56"/>
    </row>
    <row r="13" spans="1:46">
      <c r="A13" t="s">
        <v>388</v>
      </c>
      <c r="B13" s="54" t="s">
        <v>412</v>
      </c>
      <c r="C13" s="54">
        <v>11050</v>
      </c>
      <c r="D13" s="54" t="s">
        <v>413</v>
      </c>
      <c r="E13" s="54" t="s">
        <v>391</v>
      </c>
      <c r="F13" s="55">
        <v>44895</v>
      </c>
      <c r="G13" s="55">
        <v>45747</v>
      </c>
      <c r="H13" t="s">
        <v>279</v>
      </c>
      <c r="I13">
        <v>746</v>
      </c>
      <c r="J13">
        <v>750</v>
      </c>
      <c r="L13" s="43"/>
      <c r="M13" s="43"/>
      <c r="AT13" s="54"/>
    </row>
    <row r="14" spans="1:46" ht="28.5">
      <c r="A14" t="s">
        <v>388</v>
      </c>
      <c r="B14" s="54" t="s">
        <v>414</v>
      </c>
      <c r="C14" s="54">
        <v>11054</v>
      </c>
      <c r="D14" s="56" t="s">
        <v>415</v>
      </c>
      <c r="E14" s="54" t="s">
        <v>391</v>
      </c>
      <c r="F14" s="55">
        <v>45476</v>
      </c>
      <c r="G14" s="55">
        <v>46022</v>
      </c>
      <c r="H14" t="s">
        <v>79</v>
      </c>
      <c r="I14">
        <v>421</v>
      </c>
      <c r="J14">
        <v>500</v>
      </c>
      <c r="L14" s="43"/>
      <c r="M14" s="43"/>
      <c r="AT14" s="56"/>
    </row>
    <row r="15" spans="1:46">
      <c r="A15" t="s">
        <v>388</v>
      </c>
      <c r="B15" s="54" t="s">
        <v>416</v>
      </c>
      <c r="C15" s="54">
        <v>11049</v>
      </c>
      <c r="D15" s="54" t="s">
        <v>417</v>
      </c>
      <c r="E15" s="54" t="s">
        <v>391</v>
      </c>
      <c r="F15" s="55">
        <v>45292</v>
      </c>
      <c r="G15" s="55">
        <v>46022</v>
      </c>
      <c r="H15" t="s">
        <v>79</v>
      </c>
      <c r="I15">
        <v>70</v>
      </c>
      <c r="J15">
        <v>75</v>
      </c>
      <c r="L15" s="43"/>
      <c r="M15" s="43"/>
      <c r="AT15" s="54"/>
    </row>
    <row r="16" spans="1:46">
      <c r="A16" t="s">
        <v>388</v>
      </c>
      <c r="B16" s="54" t="s">
        <v>418</v>
      </c>
      <c r="C16" s="54">
        <v>11221</v>
      </c>
      <c r="D16" s="54" t="s">
        <v>419</v>
      </c>
      <c r="E16" s="54" t="s">
        <v>391</v>
      </c>
      <c r="F16" s="55">
        <v>45505</v>
      </c>
      <c r="G16" s="55">
        <v>46116</v>
      </c>
      <c r="H16" t="s">
        <v>384</v>
      </c>
      <c r="I16">
        <v>357</v>
      </c>
      <c r="J16">
        <v>500</v>
      </c>
      <c r="L16" s="43"/>
      <c r="M16" s="43"/>
      <c r="AT16" s="54"/>
    </row>
    <row r="17" spans="1:46">
      <c r="A17" t="s">
        <v>388</v>
      </c>
      <c r="B17" s="54" t="s">
        <v>420</v>
      </c>
      <c r="C17" s="54">
        <v>11063</v>
      </c>
      <c r="D17" s="54" t="s">
        <v>421</v>
      </c>
      <c r="E17" s="54" t="s">
        <v>391</v>
      </c>
      <c r="F17" s="55">
        <v>45505</v>
      </c>
      <c r="G17" s="55">
        <v>46265</v>
      </c>
      <c r="H17" t="s">
        <v>384</v>
      </c>
      <c r="I17">
        <v>442</v>
      </c>
      <c r="J17">
        <v>750</v>
      </c>
      <c r="L17" s="43"/>
      <c r="M17" s="43"/>
      <c r="AT17" s="54"/>
    </row>
    <row r="18" spans="1:46">
      <c r="A18" t="s">
        <v>388</v>
      </c>
      <c r="B18" s="54" t="s">
        <v>422</v>
      </c>
      <c r="C18" s="54">
        <v>11056</v>
      </c>
      <c r="D18" s="54" t="s">
        <v>423</v>
      </c>
      <c r="E18" s="54" t="s">
        <v>391</v>
      </c>
      <c r="F18" s="55">
        <v>45658</v>
      </c>
      <c r="G18" s="55">
        <v>46387</v>
      </c>
      <c r="H18" t="s">
        <v>64</v>
      </c>
      <c r="I18">
        <v>906</v>
      </c>
      <c r="J18">
        <v>1000</v>
      </c>
      <c r="L18" s="43"/>
      <c r="M18" s="43"/>
      <c r="AT18" s="54"/>
    </row>
    <row r="19" spans="1:46">
      <c r="A19" t="s">
        <v>388</v>
      </c>
      <c r="B19" s="54" t="s">
        <v>424</v>
      </c>
      <c r="C19" s="54">
        <v>11365</v>
      </c>
      <c r="D19" s="54" t="s">
        <v>425</v>
      </c>
      <c r="E19" s="54" t="s">
        <v>426</v>
      </c>
      <c r="F19" s="55">
        <v>45476</v>
      </c>
      <c r="G19" s="55">
        <v>46022</v>
      </c>
      <c r="H19" t="s">
        <v>79</v>
      </c>
      <c r="I19">
        <v>380</v>
      </c>
      <c r="J19">
        <v>500</v>
      </c>
      <c r="L19" s="43"/>
      <c r="M19" s="43"/>
      <c r="N19" s="44"/>
      <c r="AT19" s="54"/>
    </row>
    <row r="20" spans="1:46" ht="28.5">
      <c r="A20" t="s">
        <v>388</v>
      </c>
      <c r="B20" s="54" t="s">
        <v>427</v>
      </c>
      <c r="C20" s="54">
        <v>11361</v>
      </c>
      <c r="D20" s="56" t="s">
        <v>428</v>
      </c>
      <c r="E20" s="54" t="s">
        <v>426</v>
      </c>
      <c r="F20" s="55">
        <v>45292</v>
      </c>
      <c r="G20" s="55">
        <v>46022</v>
      </c>
      <c r="H20" t="s">
        <v>84</v>
      </c>
      <c r="I20">
        <v>281</v>
      </c>
      <c r="J20">
        <v>500</v>
      </c>
      <c r="L20" s="43"/>
      <c r="M20" s="43"/>
      <c r="N20" s="44"/>
      <c r="AT20" s="56"/>
    </row>
    <row r="21" spans="1:46">
      <c r="A21" t="s">
        <v>388</v>
      </c>
      <c r="B21" s="54" t="s">
        <v>429</v>
      </c>
      <c r="C21" s="54">
        <v>11281</v>
      </c>
      <c r="D21" s="54" t="s">
        <v>430</v>
      </c>
      <c r="E21" s="54" t="s">
        <v>391</v>
      </c>
      <c r="F21" s="55">
        <v>45505</v>
      </c>
      <c r="G21" s="55">
        <v>46116</v>
      </c>
      <c r="H21" t="s">
        <v>64</v>
      </c>
      <c r="I21">
        <v>1011</v>
      </c>
      <c r="J21">
        <v>1000</v>
      </c>
      <c r="L21" s="43"/>
      <c r="M21" s="43"/>
      <c r="N21" s="44"/>
      <c r="AT21" s="54"/>
    </row>
    <row r="22" spans="1:46">
      <c r="A22" t="s">
        <v>388</v>
      </c>
      <c r="B22" s="54" t="s">
        <v>431</v>
      </c>
      <c r="C22" s="54">
        <v>11269</v>
      </c>
      <c r="D22" s="54" t="s">
        <v>432</v>
      </c>
      <c r="E22" s="54" t="s">
        <v>426</v>
      </c>
      <c r="F22" s="55">
        <v>45505</v>
      </c>
      <c r="G22" s="55">
        <v>46265</v>
      </c>
      <c r="H22" t="s">
        <v>64</v>
      </c>
      <c r="I22">
        <v>450</v>
      </c>
      <c r="J22">
        <f>INDEX([1]!mockup_data[Hours Estimated (Project Total)], MATCH([1]!Table6[[#This Row],[Project Id]], [1]!mockup_data[Project ID], 0))</f>
        <v>500</v>
      </c>
      <c r="L22" s="43"/>
      <c r="M22" s="43"/>
      <c r="N22" s="44"/>
      <c r="AT22" s="54"/>
    </row>
    <row r="23" spans="1:46">
      <c r="A23" t="s">
        <v>388</v>
      </c>
      <c r="B23" s="54" t="s">
        <v>433</v>
      </c>
      <c r="C23" s="54">
        <v>11250</v>
      </c>
      <c r="D23" s="54" t="s">
        <v>434</v>
      </c>
      <c r="E23" s="54" t="s">
        <v>391</v>
      </c>
      <c r="F23" s="55">
        <v>45658</v>
      </c>
      <c r="G23" s="55">
        <v>46387</v>
      </c>
      <c r="H23" t="s">
        <v>279</v>
      </c>
      <c r="I23">
        <v>342</v>
      </c>
      <c r="J23">
        <f>INDEX([1]!mockup_data[Hours Estimated (Project Total)], MATCH([1]!Table6[[#This Row],[Project Id]], [1]!mockup_data[Project ID], 0))</f>
        <v>500</v>
      </c>
      <c r="L23" s="43"/>
      <c r="M23" s="43"/>
      <c r="N23" s="44"/>
      <c r="AT23" s="54"/>
    </row>
    <row r="24" spans="1:46">
      <c r="A24" t="s">
        <v>388</v>
      </c>
      <c r="B24" s="54" t="s">
        <v>435</v>
      </c>
      <c r="C24" s="54">
        <v>11220</v>
      </c>
      <c r="D24" s="54" t="s">
        <v>436</v>
      </c>
      <c r="E24" s="54" t="s">
        <v>391</v>
      </c>
      <c r="F24" s="55">
        <v>45641</v>
      </c>
      <c r="G24" s="55">
        <v>46387</v>
      </c>
      <c r="H24" t="s">
        <v>79</v>
      </c>
      <c r="I24">
        <v>690</v>
      </c>
      <c r="J24">
        <v>800</v>
      </c>
      <c r="L24" s="43"/>
      <c r="M24" s="43"/>
      <c r="N24" s="44"/>
      <c r="AT24" s="54"/>
    </row>
    <row r="25" spans="1:46">
      <c r="A25" t="s">
        <v>388</v>
      </c>
      <c r="B25" s="54" t="s">
        <v>437</v>
      </c>
      <c r="C25" s="54">
        <v>11166</v>
      </c>
      <c r="D25" s="54" t="s">
        <v>438</v>
      </c>
      <c r="E25" s="54" t="s">
        <v>391</v>
      </c>
      <c r="F25" s="55">
        <v>45505</v>
      </c>
      <c r="G25" s="55">
        <v>46265</v>
      </c>
      <c r="H25" t="s">
        <v>79</v>
      </c>
      <c r="I25">
        <v>130</v>
      </c>
      <c r="J25">
        <v>150</v>
      </c>
      <c r="L25" s="43"/>
      <c r="M25" s="43"/>
      <c r="N25" s="44"/>
      <c r="AT25" s="54"/>
    </row>
  </sheetData>
  <phoneticPr fontId="4" type="noConversion"/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selection activeCell="E3" sqref="E3"/>
    </sheetView>
  </sheetViews>
  <sheetFormatPr defaultColWidth="8.875" defaultRowHeight="14.25"/>
  <cols>
    <col min="1" max="1" width="18.125" bestFit="1" customWidth="1"/>
    <col min="2" max="2" width="14.25" style="4" bestFit="1" customWidth="1"/>
    <col min="3" max="3" width="16.125" bestFit="1" customWidth="1"/>
    <col min="4" max="4" width="21.75" bestFit="1" customWidth="1"/>
    <col min="5" max="5" width="12.375" style="4" bestFit="1" customWidth="1"/>
    <col min="6" max="6" width="15.25" bestFit="1" customWidth="1"/>
    <col min="7" max="7" width="13.875" customWidth="1"/>
    <col min="12" max="12" width="11.625" bestFit="1" customWidth="1"/>
  </cols>
  <sheetData>
    <row r="1" spans="1:12">
      <c r="A1" t="s">
        <v>302</v>
      </c>
      <c r="B1" s="4" t="s">
        <v>468</v>
      </c>
      <c r="C1" t="s">
        <v>469</v>
      </c>
      <c r="D1" s="4" t="s">
        <v>470</v>
      </c>
      <c r="E1" s="4" t="s">
        <v>471</v>
      </c>
    </row>
    <row r="2" spans="1:12">
      <c r="A2">
        <v>30</v>
      </c>
      <c r="B2" s="4">
        <f>SUM(Finances[LT_Budget])</f>
        <v>13512000</v>
      </c>
      <c r="C2" s="46">
        <f>SUM(Finances[Cash Out])</f>
        <v>6003251</v>
      </c>
      <c r="D2" s="4">
        <f>COUNTA('Project Data'!D:D) * 3</f>
        <v>75</v>
      </c>
      <c r="E2" s="4">
        <f ca="1">SUM(PM_Status[OVERALL])</f>
        <v>32</v>
      </c>
      <c r="H2" s="42"/>
    </row>
    <row r="3" spans="1:12">
      <c r="A3">
        <v>40</v>
      </c>
      <c r="D3" s="4"/>
    </row>
    <row r="4" spans="1:12">
      <c r="A4">
        <v>30</v>
      </c>
      <c r="D4" s="4"/>
    </row>
    <row r="5" spans="1:12">
      <c r="A5">
        <v>100</v>
      </c>
    </row>
    <row r="6" spans="1:12">
      <c r="F6" s="7"/>
      <c r="G6" s="6"/>
    </row>
    <row r="7" spans="1:12">
      <c r="L7" s="7"/>
    </row>
    <row r="8" spans="1:12">
      <c r="C8" s="7"/>
    </row>
    <row r="9" spans="1:12">
      <c r="C9" s="7"/>
    </row>
    <row r="10" spans="1:12">
      <c r="C10" s="7"/>
    </row>
    <row r="11" spans="1:12">
      <c r="C11" s="7"/>
    </row>
    <row r="12" spans="1:12">
      <c r="C12" s="7"/>
    </row>
    <row r="13" spans="1:12">
      <c r="C13" s="7"/>
    </row>
    <row r="14" spans="1:12">
      <c r="C14" s="7"/>
    </row>
    <row r="24" spans="3:12">
      <c r="L24" s="4"/>
    </row>
    <row r="25" spans="3:12">
      <c r="C25" s="45"/>
    </row>
    <row r="26" spans="3:12">
      <c r="L26" s="4"/>
    </row>
    <row r="27" spans="3:12">
      <c r="C27" s="45"/>
      <c r="G27" s="7"/>
    </row>
    <row r="34" spans="1:2">
      <c r="A34" s="58"/>
      <c r="B34" s="6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6"/>
  <sheetViews>
    <sheetView tabSelected="1" topLeftCell="A16" zoomScale="112" workbookViewId="0">
      <selection activeCell="A26" sqref="A26:XFD26"/>
    </sheetView>
  </sheetViews>
  <sheetFormatPr defaultColWidth="8.875" defaultRowHeight="14.25"/>
  <cols>
    <col min="2" max="2" width="11.25" bestFit="1" customWidth="1"/>
    <col min="3" max="3" width="25" bestFit="1" customWidth="1"/>
    <col min="4" max="4" width="11.125" bestFit="1" customWidth="1"/>
    <col min="5" max="5" width="16.25" bestFit="1" customWidth="1"/>
    <col min="6" max="6" width="10.25" customWidth="1"/>
    <col min="7" max="7" width="14.375" customWidth="1"/>
    <col min="8" max="8" width="11.25" bestFit="1" customWidth="1"/>
    <col min="9" max="9" width="18.375" bestFit="1" customWidth="1"/>
    <col min="10" max="10" width="12.125" bestFit="1" customWidth="1"/>
    <col min="11" max="11" width="13" customWidth="1"/>
    <col min="12" max="12" width="11.75" customWidth="1"/>
    <col min="13" max="13" width="10.75" customWidth="1"/>
    <col min="14" max="14" width="11.25" bestFit="1" customWidth="1"/>
    <col min="15" max="15" width="21.125" bestFit="1" customWidth="1"/>
    <col min="16" max="16" width="12.125" bestFit="1" customWidth="1"/>
    <col min="17" max="17" width="9" bestFit="1" customWidth="1"/>
    <col min="18" max="18" width="18.375" customWidth="1"/>
  </cols>
  <sheetData>
    <row r="1" spans="1:15">
      <c r="A1" t="s">
        <v>55</v>
      </c>
      <c r="B1" t="s">
        <v>287</v>
      </c>
      <c r="C1" t="s">
        <v>362</v>
      </c>
      <c r="D1" t="s">
        <v>71</v>
      </c>
      <c r="E1" t="s">
        <v>360</v>
      </c>
      <c r="F1" t="s">
        <v>385</v>
      </c>
    </row>
    <row r="2" spans="1:15">
      <c r="A2" s="52" t="s">
        <v>390</v>
      </c>
      <c r="B2">
        <f>SUMIF(Table5[Project ID], Table10[[#This Row],[Project ID]], Table5[Risk Score])</f>
        <v>34</v>
      </c>
      <c r="C2">
        <f>SUMIF(Table58[Project ID], Table10[[#This Row],[Project ID]], Table58[Risk Score])</f>
        <v>16</v>
      </c>
      <c r="D2">
        <f>SUMIF(Table59[Project ID], Table10[[#This Row],[Project ID]], Table59[Risk Score])</f>
        <v>4</v>
      </c>
      <c r="E2">
        <f>SUM(Table10[[#This Row],[Pace]:[Resources]])</f>
        <v>54</v>
      </c>
      <c r="F2" s="4">
        <f t="shared" ref="F2:F22" si="0">E2 + (ROW() / 100000)</f>
        <v>54.000019999999999</v>
      </c>
      <c r="M2" t="s">
        <v>287</v>
      </c>
      <c r="N2" t="s">
        <v>362</v>
      </c>
      <c r="O2" t="s">
        <v>363</v>
      </c>
    </row>
    <row r="3" spans="1:15">
      <c r="A3" s="53" t="s">
        <v>393</v>
      </c>
      <c r="B3">
        <f>SUMIF(Table5[Project ID], Table10[[#This Row],[Project ID]], Table5[Risk Score])</f>
        <v>11</v>
      </c>
      <c r="C3">
        <f>SUMIF(Table58[Project ID], Table10[[#This Row],[Project ID]], Table58[Risk Score])</f>
        <v>8</v>
      </c>
      <c r="D3">
        <f>SUMIF(Table59[Project ID], Table10[[#This Row],[Project ID]], Table59[Risk Score])</f>
        <v>4</v>
      </c>
      <c r="E3">
        <f>SUM(Table10[[#This Row],[Pace]:[Resources]])</f>
        <v>23</v>
      </c>
      <c r="F3" s="4">
        <f t="shared" si="0"/>
        <v>23.000029999999999</v>
      </c>
      <c r="M3" s="36" t="e">
        <f>IF('Total Risk'!B22=0,#REF!,IF( 'Total Risk'!B22&lt;=10,#REF!, IF( 'Total Risk'!B22&lt;=20,#REF!, IF( 'Total Risk'!B22&lt;=30,#REF!, IF( 'Total Risk'!B22&lt;=40,#REF!,#REF!)))))</f>
        <v>#REF!</v>
      </c>
      <c r="N3" s="36" t="e">
        <f>IF('Total Risk'!C22=0,#REF!,IF( 'Total Risk'!C22&lt;=10,#REF!, IF( 'Total Risk'!C22&lt;=20,#REF!, IF( 'Total Risk'!C22&lt;=30,#REF!, IF( 'Total Risk'!C22&lt;=40,#REF!,#REF!)))))</f>
        <v>#REF!</v>
      </c>
      <c r="O3" s="34" t="e">
        <f>IF('Total Risk'!D22=0,#REF!,IF( 'Total Risk'!D22&lt;=10,#REF!, IF( 'Total Risk'!D22&lt;=20,#REF!, IF( 'Total Risk'!D22&lt;=30,#REF!, IF( 'Total Risk'!D22&lt;=40,#REF!,#REF!)))))</f>
        <v>#REF!</v>
      </c>
    </row>
    <row r="4" spans="1:15">
      <c r="A4" s="52" t="s">
        <v>395</v>
      </c>
      <c r="B4">
        <f>SUMIF(Table5[Project ID], Table10[[#This Row],[Project ID]], Table5[Risk Score])</f>
        <v>16</v>
      </c>
      <c r="C4">
        <f>SUMIF(Table58[Project ID], Table10[[#This Row],[Project ID]], Table58[Risk Score])</f>
        <v>5</v>
      </c>
      <c r="D4">
        <f>SUMIF(Table59[Project ID], Table10[[#This Row],[Project ID]], Table59[Risk Score])</f>
        <v>12</v>
      </c>
      <c r="E4">
        <f>SUM(Table10[[#This Row],[Pace]:[Resources]])</f>
        <v>33</v>
      </c>
      <c r="F4" s="4">
        <f t="shared" si="0"/>
        <v>33.000039999999998</v>
      </c>
    </row>
    <row r="5" spans="1:15">
      <c r="A5" s="53" t="s">
        <v>397</v>
      </c>
      <c r="B5">
        <f>SUMIF(Table5[Project ID], Table10[[#This Row],[Project ID]], Table5[Risk Score])</f>
        <v>2</v>
      </c>
      <c r="C5">
        <f>SUMIF(Table58[Project ID], Table10[[#This Row],[Project ID]], Table58[Risk Score])</f>
        <v>3</v>
      </c>
      <c r="D5">
        <f>SUMIF(Table59[Project ID], Table10[[#This Row],[Project ID]], Table59[Risk Score])</f>
        <v>12</v>
      </c>
      <c r="E5">
        <f>SUM(Table10[[#This Row],[Pace]:[Resources]])</f>
        <v>17</v>
      </c>
      <c r="F5" s="4">
        <f t="shared" si="0"/>
        <v>17.000050000000002</v>
      </c>
    </row>
    <row r="6" spans="1:15">
      <c r="A6" s="52" t="s">
        <v>399</v>
      </c>
      <c r="B6">
        <f>SUMIF(Table5[Project ID], Table10[[#This Row],[Project ID]], Table5[Risk Score])</f>
        <v>10</v>
      </c>
      <c r="C6">
        <f>SUMIF(Table58[Project ID], Table10[[#This Row],[Project ID]], Table58[Risk Score])</f>
        <v>6</v>
      </c>
      <c r="D6">
        <f>SUMIF(Table59[Project ID], Table10[[#This Row],[Project ID]], Table59[Risk Score])</f>
        <v>3</v>
      </c>
      <c r="E6">
        <f>SUM(Table10[[#This Row],[Pace]:[Resources]])</f>
        <v>19</v>
      </c>
      <c r="F6" s="4">
        <f t="shared" si="0"/>
        <v>19.000060000000001</v>
      </c>
      <c r="H6" t="s">
        <v>52</v>
      </c>
      <c r="L6" t="s">
        <v>361</v>
      </c>
    </row>
    <row r="7" spans="1:15">
      <c r="A7" s="53" t="s">
        <v>401</v>
      </c>
      <c r="B7">
        <f>SUMIF(Table5[Project ID], Table10[[#This Row],[Project ID]], Table5[Risk Score])</f>
        <v>20</v>
      </c>
      <c r="C7">
        <f>SUMIF(Table58[Project ID], Table10[[#This Row],[Project ID]], Table58[Risk Score])</f>
        <v>20</v>
      </c>
      <c r="D7">
        <f>SUMIF(Table59[Project ID], Table10[[#This Row],[Project ID]], Table59[Risk Score])</f>
        <v>4</v>
      </c>
      <c r="E7">
        <f>SUM(Table10[[#This Row],[Pace]:[Resources]])</f>
        <v>44</v>
      </c>
      <c r="F7" s="4">
        <f t="shared" si="0"/>
        <v>44.000070000000001</v>
      </c>
    </row>
    <row r="8" spans="1:15" ht="15">
      <c r="A8" s="52" t="s">
        <v>403</v>
      </c>
      <c r="B8">
        <f>SUMIF(Table5[Project ID], Table10[[#This Row],[Project ID]], Table5[Risk Score])</f>
        <v>5</v>
      </c>
      <c r="C8">
        <f>SUMIF(Table58[Project ID], Table10[[#This Row],[Project ID]], Table58[Risk Score])</f>
        <v>14</v>
      </c>
      <c r="D8">
        <f>SUMIF(Table59[Project ID], Table10[[#This Row],[Project ID]], Table59[Risk Score])</f>
        <v>15</v>
      </c>
      <c r="E8">
        <f>SUM(Table10[[#This Row],[Pace]:[Resources]])</f>
        <v>34</v>
      </c>
      <c r="F8" s="4">
        <f t="shared" si="0"/>
        <v>34.000079999999997</v>
      </c>
      <c r="I8" s="20" t="s">
        <v>364</v>
      </c>
      <c r="K8" s="20" t="s">
        <v>365</v>
      </c>
    </row>
    <row r="9" spans="1:15">
      <c r="A9" s="53" t="s">
        <v>405</v>
      </c>
      <c r="B9">
        <f>SUMIF(Table5[Project ID], Table10[[#This Row],[Project ID]], Table5[Risk Score])</f>
        <v>10</v>
      </c>
      <c r="C9">
        <f>SUMIF(Table58[Project ID], Table10[[#This Row],[Project ID]], Table58[Risk Score])</f>
        <v>9</v>
      </c>
      <c r="D9">
        <f>SUMIF(Table59[Project ID], Table10[[#This Row],[Project ID]], Table59[Risk Score])</f>
        <v>1</v>
      </c>
      <c r="E9">
        <f>SUM(Table10[[#This Row],[Pace]:[Resources]])</f>
        <v>20</v>
      </c>
      <c r="F9" s="4">
        <f t="shared" si="0"/>
        <v>20.00009</v>
      </c>
      <c r="I9" s="22">
        <v>0</v>
      </c>
      <c r="J9" s="11" t="s">
        <v>3</v>
      </c>
      <c r="K9" t="s">
        <v>287</v>
      </c>
    </row>
    <row r="10" spans="1:15">
      <c r="A10" s="52" t="s">
        <v>407</v>
      </c>
      <c r="B10">
        <f>SUMIF(Table5[Project ID], Table10[[#This Row],[Project ID]], Table5[Risk Score])</f>
        <v>15</v>
      </c>
      <c r="C10">
        <f>SUMIF(Table58[Project ID], Table10[[#This Row],[Project ID]], Table58[Risk Score])</f>
        <v>20</v>
      </c>
      <c r="D10">
        <f>SUMIF(Table59[Project ID], Table10[[#This Row],[Project ID]], Table59[Risk Score])</f>
        <v>10</v>
      </c>
      <c r="E10">
        <f>SUM(Table10[[#This Row],[Pace]:[Resources]])</f>
        <v>45</v>
      </c>
      <c r="F10" s="4">
        <f t="shared" si="0"/>
        <v>45.000100000000003</v>
      </c>
      <c r="I10" s="22">
        <v>1</v>
      </c>
      <c r="J10" s="11" t="s">
        <v>4</v>
      </c>
      <c r="K10" t="s">
        <v>288</v>
      </c>
    </row>
    <row r="11" spans="1:15">
      <c r="A11" s="53" t="s">
        <v>409</v>
      </c>
      <c r="B11">
        <f>SUMIF(Table5[Project ID], Table10[[#This Row],[Project ID]], Table5[Risk Score])</f>
        <v>15</v>
      </c>
      <c r="C11">
        <f>SUMIF(Table58[Project ID], Table10[[#This Row],[Project ID]], Table58[Risk Score])</f>
        <v>8</v>
      </c>
      <c r="D11">
        <f>SUMIF(Table59[Project ID], Table10[[#This Row],[Project ID]], Table59[Risk Score])</f>
        <v>2</v>
      </c>
      <c r="E11">
        <f>SUM(Table10[[#This Row],[Pace]:[Resources]])</f>
        <v>25</v>
      </c>
      <c r="F11" s="4">
        <f t="shared" si="0"/>
        <v>25.000109999999999</v>
      </c>
      <c r="I11" s="22">
        <v>2</v>
      </c>
      <c r="J11" s="13" t="s">
        <v>5</v>
      </c>
      <c r="K11" t="s">
        <v>366</v>
      </c>
    </row>
    <row r="12" spans="1:15" ht="28.5">
      <c r="A12" s="65" t="s">
        <v>411</v>
      </c>
      <c r="B12">
        <f>SUMIF(Table5[Project ID], Table10[[#This Row],[Project ID]], Table5[Risk Score])</f>
        <v>16</v>
      </c>
      <c r="C12">
        <f>SUMIF(Table58[Project ID], Table10[[#This Row],[Project ID]], Table58[Risk Score])</f>
        <v>25</v>
      </c>
      <c r="D12">
        <f>SUMIF(Table59[Project ID], Table10[[#This Row],[Project ID]], Table59[Risk Score])</f>
        <v>8</v>
      </c>
      <c r="E12">
        <f>SUM(Table10[[#This Row],[Pace]:[Resources]])</f>
        <v>49</v>
      </c>
      <c r="F12" s="4">
        <f t="shared" si="0"/>
        <v>49.000120000000003</v>
      </c>
      <c r="I12" s="22">
        <v>3</v>
      </c>
      <c r="J12" s="13" t="s">
        <v>6</v>
      </c>
    </row>
    <row r="13" spans="1:15">
      <c r="A13" s="53" t="s">
        <v>413</v>
      </c>
      <c r="B13">
        <f>SUMIF(Table5[Project ID], Table10[[#This Row],[Project ID]], Table5[Risk Score])</f>
        <v>3</v>
      </c>
      <c r="C13">
        <f>SUMIF(Table58[Project ID], Table10[[#This Row],[Project ID]], Table58[Risk Score])</f>
        <v>17</v>
      </c>
      <c r="D13">
        <f>SUMIF(Table59[Project ID], Table10[[#This Row],[Project ID]], Table59[Risk Score])</f>
        <v>2</v>
      </c>
      <c r="E13">
        <f>SUM(Table10[[#This Row],[Pace]:[Resources]])</f>
        <v>22</v>
      </c>
      <c r="F13" s="4">
        <f t="shared" si="0"/>
        <v>22.000129999999999</v>
      </c>
      <c r="I13" s="22">
        <v>4</v>
      </c>
      <c r="J13" s="12" t="s">
        <v>7</v>
      </c>
    </row>
    <row r="14" spans="1:15" ht="28.5">
      <c r="A14" s="65" t="s">
        <v>415</v>
      </c>
      <c r="B14">
        <f>SUMIF(Table5[Project ID], Table10[[#This Row],[Project ID]], Table5[Risk Score])</f>
        <v>12</v>
      </c>
      <c r="C14">
        <f>SUMIF(Table58[Project ID], Table10[[#This Row],[Project ID]], Table58[Risk Score])</f>
        <v>16</v>
      </c>
      <c r="D14">
        <f>SUMIF(Table59[Project ID], Table10[[#This Row],[Project ID]], Table59[Risk Score])</f>
        <v>28</v>
      </c>
      <c r="E14">
        <f>SUM(Table10[[#This Row],[Pace]:[Resources]])</f>
        <v>56</v>
      </c>
      <c r="F14" s="4">
        <f t="shared" si="0"/>
        <v>56.000140000000002</v>
      </c>
      <c r="I14" s="22">
        <v>5</v>
      </c>
      <c r="J14" s="12" t="s">
        <v>8</v>
      </c>
    </row>
    <row r="15" spans="1:15">
      <c r="A15" s="53" t="s">
        <v>417</v>
      </c>
      <c r="B15">
        <f>SUMIF(Table5[Project ID], Table10[[#This Row],[Project ID]], Table5[Risk Score])</f>
        <v>8</v>
      </c>
      <c r="C15">
        <f>SUMIF(Table58[Project ID], Table10[[#This Row],[Project ID]], Table58[Risk Score])</f>
        <v>23</v>
      </c>
      <c r="D15">
        <f>SUMIF(Table59[Project ID], Table10[[#This Row],[Project ID]], Table59[Risk Score])</f>
        <v>20</v>
      </c>
      <c r="E15">
        <f>SUM(Table10[[#This Row],[Pace]:[Resources]])</f>
        <v>51</v>
      </c>
      <c r="F15" s="4">
        <f t="shared" si="0"/>
        <v>51.000149999999998</v>
      </c>
    </row>
    <row r="16" spans="1:15">
      <c r="A16" s="52" t="s">
        <v>419</v>
      </c>
      <c r="B16">
        <f>SUMIF(Table5[Project ID], Table10[[#This Row],[Project ID]], Table5[Risk Score])</f>
        <v>2</v>
      </c>
      <c r="C16">
        <f>SUMIF(Table58[Project ID], Table10[[#This Row],[Project ID]], Table58[Risk Score])</f>
        <v>10</v>
      </c>
      <c r="D16">
        <f>SUMIF(Table59[Project ID], Table10[[#This Row],[Project ID]], Table59[Risk Score])</f>
        <v>8</v>
      </c>
      <c r="E16">
        <f>SUM(Table10[[#This Row],[Pace]:[Resources]])</f>
        <v>20</v>
      </c>
      <c r="F16" s="4">
        <f t="shared" si="0"/>
        <v>20.000160000000001</v>
      </c>
    </row>
    <row r="17" spans="1:10" ht="15">
      <c r="A17" s="53" t="s">
        <v>421</v>
      </c>
      <c r="B17">
        <f>SUMIF(Table5[Project ID], Table10[[#This Row],[Project ID]], Table5[Risk Score])</f>
        <v>15</v>
      </c>
      <c r="C17">
        <f>SUMIF(Table58[Project ID], Table10[[#This Row],[Project ID]], Table58[Risk Score])</f>
        <v>10</v>
      </c>
      <c r="D17">
        <f>SUMIF(Table59[Project ID], Table10[[#This Row],[Project ID]], Table59[Risk Score])</f>
        <v>1</v>
      </c>
      <c r="E17">
        <f>SUM(Table10[[#This Row],[Pace]:[Resources]])</f>
        <v>26</v>
      </c>
      <c r="F17" s="4">
        <f t="shared" si="0"/>
        <v>26.000170000000001</v>
      </c>
      <c r="H17" s="20" t="s">
        <v>317</v>
      </c>
    </row>
    <row r="18" spans="1:10">
      <c r="A18" s="52" t="s">
        <v>423</v>
      </c>
      <c r="B18">
        <f>SUMIF(Table5[Project ID], Table10[[#This Row],[Project ID]], Table5[Risk Score])</f>
        <v>6</v>
      </c>
      <c r="C18">
        <f>SUMIF(Table58[Project ID], Table10[[#This Row],[Project ID]], Table58[Risk Score])</f>
        <v>10</v>
      </c>
      <c r="D18">
        <f>SUMIF(Table59[Project ID], Table10[[#This Row],[Project ID]], Table59[Risk Score])</f>
        <v>12</v>
      </c>
      <c r="E18">
        <f>SUM(Table10[[#This Row],[Pace]:[Resources]])</f>
        <v>28</v>
      </c>
      <c r="F18" s="4">
        <f t="shared" si="0"/>
        <v>28.00018</v>
      </c>
      <c r="H18" t="s">
        <v>319</v>
      </c>
      <c r="I18" t="s">
        <v>320</v>
      </c>
    </row>
    <row r="19" spans="1:10">
      <c r="A19" s="53" t="s">
        <v>425</v>
      </c>
      <c r="B19">
        <f>SUMIF(Table5[Project ID], Table10[[#This Row],[Project ID]], Table5[Risk Score])</f>
        <v>13</v>
      </c>
      <c r="C19">
        <f>SUMIF(Table58[Project ID], Table10[[#This Row],[Project ID]], Table58[Risk Score])</f>
        <v>16</v>
      </c>
      <c r="D19">
        <f>SUMIF(Table59[Project ID], Table10[[#This Row],[Project ID]], Table59[Risk Score])</f>
        <v>3</v>
      </c>
      <c r="E19">
        <f>SUM(Table10[[#This Row],[Pace]:[Resources]])</f>
        <v>32</v>
      </c>
      <c r="F19" s="4">
        <f t="shared" si="0"/>
        <v>32.000190000000003</v>
      </c>
      <c r="H19" s="22">
        <v>0</v>
      </c>
      <c r="I19" s="22">
        <v>1</v>
      </c>
      <c r="J19" t="s">
        <v>322</v>
      </c>
    </row>
    <row r="20" spans="1:10" ht="28.5">
      <c r="A20" s="65" t="s">
        <v>428</v>
      </c>
      <c r="B20">
        <f>SUMIF(Table5[Project ID], Table10[[#This Row],[Project ID]], Table5[Risk Score])</f>
        <v>25</v>
      </c>
      <c r="C20">
        <f>SUMIF(Table58[Project ID], Table10[[#This Row],[Project ID]], Table58[Risk Score])</f>
        <v>2</v>
      </c>
      <c r="D20">
        <f>SUMIF(Table59[Project ID], Table10[[#This Row],[Project ID]], Table59[Risk Score])</f>
        <v>8</v>
      </c>
      <c r="E20">
        <f>SUM(Table10[[#This Row],[Pace]:[Resources]])</f>
        <v>35</v>
      </c>
      <c r="F20" s="4">
        <f t="shared" si="0"/>
        <v>35.0002</v>
      </c>
      <c r="H20" s="22">
        <v>1</v>
      </c>
      <c r="I20" s="22">
        <v>10</v>
      </c>
      <c r="J20" t="s">
        <v>324</v>
      </c>
    </row>
    <row r="21" spans="1:10">
      <c r="A21" s="53" t="s">
        <v>430</v>
      </c>
      <c r="B21">
        <f>SUMIF(Table5[Project ID], Table10[[#This Row],[Project ID]], Table5[Risk Score])</f>
        <v>12</v>
      </c>
      <c r="C21">
        <f>SUMIF(Table58[Project ID], Table10[[#This Row],[Project ID]], Table58[Risk Score])</f>
        <v>10</v>
      </c>
      <c r="D21">
        <f>SUMIF(Table59[Project ID], Table10[[#This Row],[Project ID]], Table59[Risk Score])</f>
        <v>10</v>
      </c>
      <c r="E21">
        <f>SUM(Table10[[#This Row],[Pace]:[Resources]])</f>
        <v>32</v>
      </c>
      <c r="F21" s="4">
        <f t="shared" si="0"/>
        <v>32.000210000000003</v>
      </c>
      <c r="H21" s="22">
        <v>10</v>
      </c>
      <c r="I21" s="22">
        <v>20</v>
      </c>
      <c r="J21" t="s">
        <v>325</v>
      </c>
    </row>
    <row r="22" spans="1:10">
      <c r="A22" s="52" t="s">
        <v>432</v>
      </c>
      <c r="B22">
        <f>SUMIF(Table5[Project ID], Table10[[#This Row],[Project ID]], Table5[Risk Score])</f>
        <v>13</v>
      </c>
      <c r="C22">
        <f>SUMIF(Table58[Project ID], Table10[[#This Row],[Project ID]], Table58[Risk Score])</f>
        <v>6</v>
      </c>
      <c r="D22">
        <f>SUMIF(Table59[Project ID], Table10[[#This Row],[Project ID]], Table59[Risk Score])</f>
        <v>5</v>
      </c>
      <c r="E22">
        <f>SUM(Table10[[#This Row],[Pace]:[Resources]])</f>
        <v>24</v>
      </c>
      <c r="F22" s="4">
        <f t="shared" si="0"/>
        <v>24.000219999999999</v>
      </c>
      <c r="H22" s="22">
        <v>20</v>
      </c>
      <c r="I22" s="22">
        <v>30</v>
      </c>
      <c r="J22" t="s">
        <v>327</v>
      </c>
    </row>
    <row r="23" spans="1:10">
      <c r="A23" s="53" t="s">
        <v>434</v>
      </c>
      <c r="B23">
        <f>SUMIF(Table5[Project ID], Table10[[#This Row],[Project ID]], Table5[Risk Score])</f>
        <v>15</v>
      </c>
      <c r="C23">
        <f>SUMIF(Table58[Project ID], Table10[[#This Row],[Project ID]], Table58[Risk Score])</f>
        <v>6</v>
      </c>
      <c r="D23">
        <f>SUMIF(Table59[Project ID], Table10[[#This Row],[Project ID]], Table59[Risk Score])</f>
        <v>3</v>
      </c>
      <c r="E23">
        <f>SUM(Table10[[#This Row],[Pace]:[Resources]])</f>
        <v>24</v>
      </c>
      <c r="F23" s="4">
        <f t="shared" ref="F23:F25" si="1">E23 + (ROW() / 100000)</f>
        <v>24.000229999999998</v>
      </c>
      <c r="H23" s="22">
        <v>30</v>
      </c>
      <c r="I23" s="22">
        <v>40</v>
      </c>
      <c r="J23" t="s">
        <v>329</v>
      </c>
    </row>
    <row r="24" spans="1:10">
      <c r="A24" s="52" t="s">
        <v>436</v>
      </c>
      <c r="B24">
        <f>SUMIF(Table5[Project ID], Table10[[#This Row],[Project ID]], Table5[Risk Score])</f>
        <v>5</v>
      </c>
      <c r="C24">
        <f>SUMIF(Table58[Project ID], Table10[[#This Row],[Project ID]], Table58[Risk Score])</f>
        <v>25</v>
      </c>
      <c r="D24">
        <f>SUMIF(Table59[Project ID], Table10[[#This Row],[Project ID]], Table59[Risk Score])</f>
        <v>18</v>
      </c>
      <c r="E24">
        <f>SUM(Table10[[#This Row],[Pace]:[Resources]])</f>
        <v>48</v>
      </c>
      <c r="F24" s="4">
        <f t="shared" si="1"/>
        <v>48.000239999999998</v>
      </c>
    </row>
    <row r="25" spans="1:10">
      <c r="A25" s="53" t="s">
        <v>438</v>
      </c>
      <c r="B25">
        <f>SUMIF(Table5[Project ID], Table10[[#This Row],[Project ID]], Table5[Risk Score])</f>
        <v>6</v>
      </c>
      <c r="C25">
        <f>SUMIF(Table58[Project ID], Table10[[#This Row],[Project ID]], Table58[Risk Score])</f>
        <v>1</v>
      </c>
      <c r="D25">
        <f>SUMIF(Table59[Project ID], Table10[[#This Row],[Project ID]], Table59[Risk Score])</f>
        <v>4</v>
      </c>
      <c r="E25">
        <f>SUM(Table10[[#This Row],[Pace]:[Resources]])</f>
        <v>11</v>
      </c>
      <c r="F25" s="4">
        <f t="shared" si="1"/>
        <v>11.000249999999999</v>
      </c>
    </row>
    <row r="26" spans="1:10">
      <c r="B26" s="4"/>
      <c r="C26" s="4"/>
      <c r="D26" s="4"/>
      <c r="E26" s="4"/>
      <c r="F26" s="4"/>
    </row>
  </sheetData>
  <phoneticPr fontId="4" type="noConversion"/>
  <conditionalFormatting sqref="M3">
    <cfRule type="expression" dxfId="34" priority="15">
      <formula>B22=0</formula>
    </cfRule>
    <cfRule type="expression" dxfId="33" priority="16">
      <formula>B22&lt;10</formula>
    </cfRule>
    <cfRule type="expression" dxfId="32" priority="17">
      <formula>B22&lt;30</formula>
    </cfRule>
    <cfRule type="expression" dxfId="31" priority="18">
      <formula>B22&gt;=30</formula>
    </cfRule>
  </conditionalFormatting>
  <conditionalFormatting sqref="N3">
    <cfRule type="expression" dxfId="30" priority="19">
      <formula>$C$22=0</formula>
    </cfRule>
    <cfRule type="expression" dxfId="29" priority="20">
      <formula>$C$22&lt;10</formula>
    </cfRule>
    <cfRule type="expression" dxfId="28" priority="21">
      <formula>$C$22&lt;30</formula>
    </cfRule>
    <cfRule type="expression" dxfId="27" priority="22">
      <formula>$C$22&gt;=30</formula>
    </cfRule>
  </conditionalFormatting>
  <conditionalFormatting sqref="O3">
    <cfRule type="expression" dxfId="26" priority="23">
      <formula>$D$22=0</formula>
    </cfRule>
    <cfRule type="expression" dxfId="25" priority="24">
      <formula>$D$22&lt;10</formula>
    </cfRule>
    <cfRule type="expression" dxfId="24" priority="25">
      <formula>$D$22&lt;30</formula>
    </cfRule>
    <cfRule type="expression" dxfId="23" priority="26">
      <formula>$D$22&gt;=30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E28"/>
  <sheetViews>
    <sheetView workbookViewId="0"/>
  </sheetViews>
  <sheetFormatPr defaultRowHeight="14.25"/>
  <sheetData>
    <row r="1" spans="1:5">
      <c r="A1" t="s">
        <v>55</v>
      </c>
      <c r="B1" t="s">
        <v>367</v>
      </c>
      <c r="C1" t="s">
        <v>368</v>
      </c>
      <c r="D1" t="s">
        <v>369</v>
      </c>
      <c r="E1" t="s">
        <v>296</v>
      </c>
    </row>
    <row r="2" spans="1:5">
      <c r="A2" s="52" t="s">
        <v>390</v>
      </c>
      <c r="B2" t="s">
        <v>372</v>
      </c>
      <c r="C2">
        <v>1</v>
      </c>
      <c r="D2">
        <v>4</v>
      </c>
      <c r="E2">
        <f>Table59[[#This Row],[Probability]]*Table59[[#This Row],[Impact]]</f>
        <v>4</v>
      </c>
    </row>
    <row r="3" spans="1:5">
      <c r="A3" s="53" t="s">
        <v>393</v>
      </c>
      <c r="B3" t="s">
        <v>374</v>
      </c>
      <c r="C3">
        <v>2</v>
      </c>
      <c r="D3">
        <v>2</v>
      </c>
      <c r="E3">
        <f>Table59[[#This Row],[Probability]]*Table59[[#This Row],[Impact]]</f>
        <v>4</v>
      </c>
    </row>
    <row r="4" spans="1:5">
      <c r="A4" s="52" t="s">
        <v>395</v>
      </c>
      <c r="B4" t="s">
        <v>377</v>
      </c>
      <c r="C4">
        <v>4</v>
      </c>
      <c r="D4">
        <v>3</v>
      </c>
      <c r="E4">
        <f>Table59[[#This Row],[Probability]]*Table59[[#This Row],[Impact]]</f>
        <v>12</v>
      </c>
    </row>
    <row r="5" spans="1:5">
      <c r="A5" s="53" t="s">
        <v>397</v>
      </c>
      <c r="B5" t="s">
        <v>380</v>
      </c>
      <c r="C5">
        <v>3</v>
      </c>
      <c r="D5">
        <v>4</v>
      </c>
      <c r="E5">
        <f>Table59[[#This Row],[Probability]]*Table59[[#This Row],[Impact]]</f>
        <v>12</v>
      </c>
    </row>
    <row r="6" spans="1:5">
      <c r="A6" s="52" t="s">
        <v>399</v>
      </c>
      <c r="B6" t="s">
        <v>383</v>
      </c>
      <c r="C6">
        <v>1</v>
      </c>
      <c r="D6">
        <v>3</v>
      </c>
      <c r="E6">
        <f>Table59[[#This Row],[Probability]]*Table59[[#This Row],[Impact]]</f>
        <v>3</v>
      </c>
    </row>
    <row r="7" spans="1:5">
      <c r="A7" s="53" t="s">
        <v>401</v>
      </c>
      <c r="B7" t="s">
        <v>372</v>
      </c>
      <c r="C7">
        <v>1</v>
      </c>
      <c r="D7">
        <v>4</v>
      </c>
      <c r="E7">
        <f>Table59[[#This Row],[Probability]]*Table59[[#This Row],[Impact]]</f>
        <v>4</v>
      </c>
    </row>
    <row r="8" spans="1:5">
      <c r="A8" s="52" t="s">
        <v>403</v>
      </c>
      <c r="B8" t="s">
        <v>374</v>
      </c>
      <c r="C8">
        <v>5</v>
      </c>
      <c r="D8">
        <v>3</v>
      </c>
      <c r="E8">
        <f>Table59[[#This Row],[Probability]]*Table59[[#This Row],[Impact]]</f>
        <v>15</v>
      </c>
    </row>
    <row r="9" spans="1:5">
      <c r="A9" s="53" t="s">
        <v>405</v>
      </c>
      <c r="B9" t="s">
        <v>377</v>
      </c>
      <c r="C9">
        <v>1</v>
      </c>
      <c r="D9">
        <v>1</v>
      </c>
      <c r="E9">
        <f>Table59[[#This Row],[Probability]]*Table59[[#This Row],[Impact]]</f>
        <v>1</v>
      </c>
    </row>
    <row r="10" spans="1:5">
      <c r="A10" s="52" t="s">
        <v>407</v>
      </c>
      <c r="B10" t="s">
        <v>380</v>
      </c>
      <c r="C10">
        <v>5</v>
      </c>
      <c r="D10">
        <v>2</v>
      </c>
      <c r="E10">
        <f>Table59[[#This Row],[Probability]]*Table59[[#This Row],[Impact]]</f>
        <v>10</v>
      </c>
    </row>
    <row r="11" spans="1:5">
      <c r="A11" s="53" t="s">
        <v>409</v>
      </c>
      <c r="B11" t="s">
        <v>383</v>
      </c>
      <c r="C11">
        <v>2</v>
      </c>
      <c r="D11">
        <v>1</v>
      </c>
      <c r="E11">
        <f>Table59[[#This Row],[Probability]]*Table59[[#This Row],[Impact]]</f>
        <v>2</v>
      </c>
    </row>
    <row r="12" spans="1:5" ht="28.5">
      <c r="A12" s="65" t="s">
        <v>411</v>
      </c>
      <c r="B12" t="s">
        <v>372</v>
      </c>
      <c r="C12">
        <v>4</v>
      </c>
      <c r="D12">
        <v>2</v>
      </c>
      <c r="E12">
        <f>Table59[[#This Row],[Probability]]*Table59[[#This Row],[Impact]]</f>
        <v>8</v>
      </c>
    </row>
    <row r="13" spans="1:5">
      <c r="A13" s="53" t="s">
        <v>413</v>
      </c>
      <c r="B13" t="s">
        <v>374</v>
      </c>
      <c r="C13">
        <v>2</v>
      </c>
      <c r="D13">
        <v>1</v>
      </c>
      <c r="E13">
        <f>Table59[[#This Row],[Probability]]*Table59[[#This Row],[Impact]]</f>
        <v>2</v>
      </c>
    </row>
    <row r="14" spans="1:5" ht="28.5">
      <c r="A14" s="65" t="s">
        <v>415</v>
      </c>
      <c r="B14" t="s">
        <v>377</v>
      </c>
      <c r="C14">
        <v>3</v>
      </c>
      <c r="D14">
        <v>4</v>
      </c>
      <c r="E14">
        <f>Table59[[#This Row],[Probability]]*Table59[[#This Row],[Impact]]</f>
        <v>12</v>
      </c>
    </row>
    <row r="15" spans="1:5" ht="28.5">
      <c r="A15" s="67" t="s">
        <v>415</v>
      </c>
      <c r="B15" t="s">
        <v>380</v>
      </c>
      <c r="C15">
        <v>5</v>
      </c>
      <c r="D15">
        <v>2</v>
      </c>
      <c r="E15">
        <f>Table59[[#This Row],[Probability]]*Table59[[#This Row],[Impact]]</f>
        <v>10</v>
      </c>
    </row>
    <row r="16" spans="1:5" ht="28.5">
      <c r="A16" s="65" t="s">
        <v>415</v>
      </c>
      <c r="B16" t="s">
        <v>383</v>
      </c>
      <c r="C16">
        <v>2</v>
      </c>
      <c r="D16">
        <v>3</v>
      </c>
      <c r="E16">
        <f>Table59[[#This Row],[Probability]]*Table59[[#This Row],[Impact]]</f>
        <v>6</v>
      </c>
    </row>
    <row r="17" spans="1:5">
      <c r="A17" s="53" t="s">
        <v>417</v>
      </c>
      <c r="B17" t="s">
        <v>372</v>
      </c>
      <c r="C17">
        <v>4</v>
      </c>
      <c r="D17">
        <v>5</v>
      </c>
      <c r="E17">
        <f>Table59[[#This Row],[Probability]]*Table59[[#This Row],[Impact]]</f>
        <v>20</v>
      </c>
    </row>
    <row r="18" spans="1:5">
      <c r="A18" s="52" t="s">
        <v>419</v>
      </c>
      <c r="B18" t="s">
        <v>374</v>
      </c>
      <c r="C18">
        <v>4</v>
      </c>
      <c r="D18">
        <v>2</v>
      </c>
      <c r="E18">
        <f>Table59[[#This Row],[Probability]]*Table59[[#This Row],[Impact]]</f>
        <v>8</v>
      </c>
    </row>
    <row r="19" spans="1:5">
      <c r="A19" s="53" t="s">
        <v>421</v>
      </c>
      <c r="B19" t="s">
        <v>377</v>
      </c>
      <c r="C19">
        <v>1</v>
      </c>
      <c r="D19">
        <v>1</v>
      </c>
      <c r="E19">
        <f>Table59[[#This Row],[Probability]]*Table59[[#This Row],[Impact]]</f>
        <v>1</v>
      </c>
    </row>
    <row r="20" spans="1:5">
      <c r="A20" s="52" t="s">
        <v>423</v>
      </c>
      <c r="B20" t="s">
        <v>380</v>
      </c>
      <c r="C20">
        <v>3</v>
      </c>
      <c r="D20">
        <v>4</v>
      </c>
      <c r="E20">
        <f>Table59[[#This Row],[Probability]]*Table59[[#This Row],[Impact]]</f>
        <v>12</v>
      </c>
    </row>
    <row r="21" spans="1:5">
      <c r="A21" s="53" t="s">
        <v>425</v>
      </c>
      <c r="B21" t="s">
        <v>383</v>
      </c>
      <c r="C21">
        <v>3</v>
      </c>
      <c r="D21">
        <v>1</v>
      </c>
      <c r="E21">
        <f>Table59[[#This Row],[Probability]]*Table59[[#This Row],[Impact]]</f>
        <v>3</v>
      </c>
    </row>
    <row r="22" spans="1:5" ht="28.5">
      <c r="A22" s="65" t="s">
        <v>428</v>
      </c>
      <c r="B22" t="s">
        <v>372</v>
      </c>
      <c r="C22">
        <v>4</v>
      </c>
      <c r="D22">
        <v>2</v>
      </c>
      <c r="E22">
        <f>Table59[[#This Row],[Probability]]*Table59[[#This Row],[Impact]]</f>
        <v>8</v>
      </c>
    </row>
    <row r="23" spans="1:5">
      <c r="A23" s="53" t="s">
        <v>430</v>
      </c>
      <c r="B23" t="s">
        <v>374</v>
      </c>
      <c r="C23">
        <v>5</v>
      </c>
      <c r="D23">
        <v>2</v>
      </c>
      <c r="E23">
        <f>Table59[[#This Row],[Probability]]*Table59[[#This Row],[Impact]]</f>
        <v>10</v>
      </c>
    </row>
    <row r="24" spans="1:5">
      <c r="A24" s="52" t="s">
        <v>432</v>
      </c>
      <c r="B24" t="s">
        <v>377</v>
      </c>
      <c r="C24">
        <v>5</v>
      </c>
      <c r="D24">
        <v>1</v>
      </c>
      <c r="E24">
        <f>Table59[[#This Row],[Probability]]*Table59[[#This Row],[Impact]]</f>
        <v>5</v>
      </c>
    </row>
    <row r="25" spans="1:5">
      <c r="A25" s="53" t="s">
        <v>434</v>
      </c>
      <c r="B25" t="s">
        <v>380</v>
      </c>
      <c r="C25">
        <v>3</v>
      </c>
      <c r="D25">
        <v>1</v>
      </c>
      <c r="E25">
        <f>Table59[[#This Row],[Probability]]*Table59[[#This Row],[Impact]]</f>
        <v>3</v>
      </c>
    </row>
    <row r="26" spans="1:5">
      <c r="A26" s="52" t="s">
        <v>436</v>
      </c>
      <c r="B26" t="s">
        <v>383</v>
      </c>
      <c r="C26">
        <v>2</v>
      </c>
      <c r="D26">
        <v>3</v>
      </c>
      <c r="E26">
        <f>Table59[[#This Row],[Probability]]*Table59[[#This Row],[Impact]]</f>
        <v>6</v>
      </c>
    </row>
    <row r="27" spans="1:5">
      <c r="A27" s="66" t="s">
        <v>436</v>
      </c>
      <c r="B27" t="s">
        <v>372</v>
      </c>
      <c r="C27">
        <v>4</v>
      </c>
      <c r="D27">
        <v>3</v>
      </c>
      <c r="E27">
        <f>Table59[[#This Row],[Probability]]*Table59[[#This Row],[Impact]]</f>
        <v>12</v>
      </c>
    </row>
    <row r="28" spans="1:5">
      <c r="A28" s="53" t="s">
        <v>438</v>
      </c>
      <c r="B28" t="s">
        <v>374</v>
      </c>
      <c r="C28">
        <v>1</v>
      </c>
      <c r="D28">
        <v>4</v>
      </c>
      <c r="E28">
        <f>Table59[[#This Row],[Probability]]*Table59[[#This Row],[Impact]]</f>
        <v>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D17" sqref="D17"/>
    </sheetView>
  </sheetViews>
  <sheetFormatPr defaultRowHeight="14.25"/>
  <sheetData>
    <row r="1" spans="1:5">
      <c r="A1" t="s">
        <v>55</v>
      </c>
      <c r="B1" t="s">
        <v>367</v>
      </c>
      <c r="C1" t="s">
        <v>368</v>
      </c>
      <c r="D1" t="s">
        <v>369</v>
      </c>
      <c r="E1" t="s">
        <v>296</v>
      </c>
    </row>
    <row r="2" spans="1:5">
      <c r="A2" s="52" t="s">
        <v>390</v>
      </c>
      <c r="B2" t="s">
        <v>370</v>
      </c>
      <c r="C2">
        <v>4</v>
      </c>
      <c r="D2">
        <v>4</v>
      </c>
      <c r="E2">
        <f>Table5[[#This Row],[Probability]]*Table5[[#This Row],[Impact]]</f>
        <v>16</v>
      </c>
    </row>
    <row r="3" spans="1:5">
      <c r="A3" s="66" t="s">
        <v>390</v>
      </c>
      <c r="B3" t="s">
        <v>373</v>
      </c>
      <c r="C3">
        <v>5</v>
      </c>
      <c r="D3">
        <v>3</v>
      </c>
      <c r="E3">
        <f>Table5[[#This Row],[Probability]]*Table5[[#This Row],[Impact]]</f>
        <v>15</v>
      </c>
    </row>
    <row r="4" spans="1:5">
      <c r="A4" s="52" t="s">
        <v>390</v>
      </c>
      <c r="B4" t="s">
        <v>375</v>
      </c>
      <c r="C4">
        <v>3</v>
      </c>
      <c r="D4">
        <v>1</v>
      </c>
      <c r="E4">
        <f>Table5[[#This Row],[Probability]]*Table5[[#This Row],[Impact]]</f>
        <v>3</v>
      </c>
    </row>
    <row r="5" spans="1:5">
      <c r="A5" s="53" t="s">
        <v>393</v>
      </c>
      <c r="B5" t="s">
        <v>378</v>
      </c>
      <c r="C5">
        <v>3</v>
      </c>
      <c r="D5">
        <v>3</v>
      </c>
      <c r="E5">
        <f>Table5[[#This Row],[Probability]]*Table5[[#This Row],[Impact]]</f>
        <v>9</v>
      </c>
    </row>
    <row r="6" spans="1:5">
      <c r="A6" s="53" t="s">
        <v>393</v>
      </c>
      <c r="B6" t="s">
        <v>381</v>
      </c>
      <c r="C6">
        <v>1</v>
      </c>
      <c r="D6">
        <v>2</v>
      </c>
      <c r="E6">
        <f>Table5[[#This Row],[Probability]]*Table5[[#This Row],[Impact]]</f>
        <v>2</v>
      </c>
    </row>
    <row r="7" spans="1:5">
      <c r="A7" s="53" t="s">
        <v>397</v>
      </c>
      <c r="B7" t="s">
        <v>370</v>
      </c>
      <c r="C7">
        <v>1</v>
      </c>
      <c r="D7">
        <v>1</v>
      </c>
      <c r="E7">
        <f>Table5[[#This Row],[Probability]]*Table5[[#This Row],[Impact]]</f>
        <v>1</v>
      </c>
    </row>
    <row r="8" spans="1:5">
      <c r="A8" s="52" t="s">
        <v>395</v>
      </c>
      <c r="B8" t="s">
        <v>373</v>
      </c>
      <c r="C8">
        <v>4</v>
      </c>
      <c r="D8">
        <v>4</v>
      </c>
      <c r="E8">
        <f>Table5[[#This Row],[Probability]]*Table5[[#This Row],[Impact]]</f>
        <v>16</v>
      </c>
    </row>
    <row r="9" spans="1:5">
      <c r="A9" s="53" t="s">
        <v>397</v>
      </c>
      <c r="B9" t="s">
        <v>375</v>
      </c>
      <c r="C9">
        <v>1</v>
      </c>
      <c r="D9">
        <v>1</v>
      </c>
      <c r="E9">
        <f>Table5[[#This Row],[Probability]]*Table5[[#This Row],[Impact]]</f>
        <v>1</v>
      </c>
    </row>
    <row r="10" spans="1:5">
      <c r="A10" s="52" t="s">
        <v>399</v>
      </c>
      <c r="B10" t="s">
        <v>378</v>
      </c>
      <c r="C10">
        <v>5</v>
      </c>
      <c r="D10">
        <v>2</v>
      </c>
      <c r="E10">
        <f>Table5[[#This Row],[Probability]]*Table5[[#This Row],[Impact]]</f>
        <v>10</v>
      </c>
    </row>
    <row r="11" spans="1:5">
      <c r="A11" s="53" t="s">
        <v>401</v>
      </c>
      <c r="B11" t="s">
        <v>381</v>
      </c>
      <c r="C11">
        <v>4</v>
      </c>
      <c r="D11">
        <v>5</v>
      </c>
      <c r="E11">
        <f>Table5[[#This Row],[Probability]]*Table5[[#This Row],[Impact]]</f>
        <v>20</v>
      </c>
    </row>
    <row r="12" spans="1:5">
      <c r="A12" s="52" t="s">
        <v>403</v>
      </c>
      <c r="B12" t="s">
        <v>370</v>
      </c>
      <c r="C12">
        <v>5</v>
      </c>
      <c r="D12">
        <v>1</v>
      </c>
      <c r="E12">
        <f>Table5[[#This Row],[Probability]]*Table5[[#This Row],[Impact]]</f>
        <v>5</v>
      </c>
    </row>
    <row r="13" spans="1:5">
      <c r="A13" s="53" t="s">
        <v>405</v>
      </c>
      <c r="B13" t="s">
        <v>373</v>
      </c>
      <c r="C13">
        <v>5</v>
      </c>
      <c r="D13">
        <v>2</v>
      </c>
      <c r="E13">
        <f>Table5[[#This Row],[Probability]]*Table5[[#This Row],[Impact]]</f>
        <v>10</v>
      </c>
    </row>
    <row r="14" spans="1:5">
      <c r="A14" s="52" t="s">
        <v>407</v>
      </c>
      <c r="B14" t="s">
        <v>375</v>
      </c>
      <c r="C14">
        <v>3</v>
      </c>
      <c r="D14">
        <v>5</v>
      </c>
      <c r="E14">
        <f>Table5[[#This Row],[Probability]]*Table5[[#This Row],[Impact]]</f>
        <v>15</v>
      </c>
    </row>
    <row r="15" spans="1:5">
      <c r="A15" s="53" t="s">
        <v>409</v>
      </c>
      <c r="B15" t="s">
        <v>378</v>
      </c>
      <c r="C15">
        <v>3</v>
      </c>
      <c r="D15">
        <v>5</v>
      </c>
      <c r="E15">
        <f>Table5[[#This Row],[Probability]]*Table5[[#This Row],[Impact]]</f>
        <v>15</v>
      </c>
    </row>
    <row r="16" spans="1:5" ht="28.5">
      <c r="A16" s="65" t="s">
        <v>411</v>
      </c>
      <c r="B16" t="s">
        <v>381</v>
      </c>
      <c r="C16">
        <v>4</v>
      </c>
      <c r="D16">
        <v>4</v>
      </c>
      <c r="E16">
        <f>Table5[[#This Row],[Probability]]*Table5[[#This Row],[Impact]]</f>
        <v>16</v>
      </c>
    </row>
    <row r="17" spans="1:5">
      <c r="A17" s="53" t="s">
        <v>413</v>
      </c>
      <c r="B17" t="s">
        <v>370</v>
      </c>
      <c r="C17">
        <v>1</v>
      </c>
      <c r="D17">
        <v>3</v>
      </c>
      <c r="E17">
        <f>Table5[[#This Row],[Probability]]*Table5[[#This Row],[Impact]]</f>
        <v>3</v>
      </c>
    </row>
    <row r="18" spans="1:5" ht="28.5">
      <c r="A18" s="65" t="s">
        <v>415</v>
      </c>
      <c r="B18" t="s">
        <v>373</v>
      </c>
      <c r="C18">
        <v>4</v>
      </c>
      <c r="D18">
        <v>3</v>
      </c>
      <c r="E18">
        <f>Table5[[#This Row],[Probability]]*Table5[[#This Row],[Impact]]</f>
        <v>12</v>
      </c>
    </row>
    <row r="19" spans="1:5">
      <c r="A19" s="53" t="s">
        <v>417</v>
      </c>
      <c r="B19" t="s">
        <v>375</v>
      </c>
      <c r="C19">
        <v>4</v>
      </c>
      <c r="D19">
        <v>2</v>
      </c>
      <c r="E19">
        <f>Table5[[#This Row],[Probability]]*Table5[[#This Row],[Impact]]</f>
        <v>8</v>
      </c>
    </row>
    <row r="20" spans="1:5">
      <c r="A20" s="52" t="s">
        <v>419</v>
      </c>
      <c r="B20" t="s">
        <v>378</v>
      </c>
      <c r="C20">
        <v>1</v>
      </c>
      <c r="D20">
        <v>2</v>
      </c>
      <c r="E20">
        <f>Table5[[#This Row],[Probability]]*Table5[[#This Row],[Impact]]</f>
        <v>2</v>
      </c>
    </row>
    <row r="21" spans="1:5">
      <c r="A21" s="53" t="s">
        <v>421</v>
      </c>
      <c r="B21" t="s">
        <v>381</v>
      </c>
      <c r="C21">
        <v>3</v>
      </c>
      <c r="D21">
        <v>5</v>
      </c>
      <c r="E21">
        <f>Table5[[#This Row],[Probability]]*Table5[[#This Row],[Impact]]</f>
        <v>15</v>
      </c>
    </row>
    <row r="22" spans="1:5">
      <c r="A22" s="52" t="s">
        <v>423</v>
      </c>
      <c r="B22" t="s">
        <v>370</v>
      </c>
      <c r="C22">
        <v>2</v>
      </c>
      <c r="D22">
        <v>3</v>
      </c>
      <c r="E22">
        <f>Table5[[#This Row],[Probability]]*Table5[[#This Row],[Impact]]</f>
        <v>6</v>
      </c>
    </row>
    <row r="23" spans="1:5">
      <c r="A23" s="53" t="s">
        <v>425</v>
      </c>
      <c r="B23" t="s">
        <v>373</v>
      </c>
      <c r="C23">
        <v>2</v>
      </c>
      <c r="D23">
        <v>2</v>
      </c>
      <c r="E23">
        <f>Table5[[#This Row],[Probability]]*Table5[[#This Row],[Impact]]</f>
        <v>4</v>
      </c>
    </row>
    <row r="24" spans="1:5">
      <c r="A24" s="53" t="s">
        <v>425</v>
      </c>
      <c r="B24" t="s">
        <v>375</v>
      </c>
      <c r="C24">
        <v>2</v>
      </c>
      <c r="D24">
        <v>3</v>
      </c>
      <c r="E24">
        <f>Table5[[#This Row],[Probability]]*Table5[[#This Row],[Impact]]</f>
        <v>6</v>
      </c>
    </row>
    <row r="25" spans="1:5">
      <c r="A25" s="53" t="s">
        <v>425</v>
      </c>
      <c r="B25" t="s">
        <v>370</v>
      </c>
      <c r="C25">
        <v>3</v>
      </c>
      <c r="D25">
        <v>1</v>
      </c>
      <c r="E25">
        <f>Table5[[#This Row],[Probability]]*Table5[[#This Row],[Impact]]</f>
        <v>3</v>
      </c>
    </row>
    <row r="26" spans="1:5">
      <c r="A26" s="52" t="s">
        <v>432</v>
      </c>
      <c r="B26" t="s">
        <v>373</v>
      </c>
      <c r="C26">
        <v>2</v>
      </c>
      <c r="D26">
        <v>4</v>
      </c>
      <c r="E26">
        <f>Table5[[#This Row],[Probability]]*Table5[[#This Row],[Impact]]</f>
        <v>8</v>
      </c>
    </row>
    <row r="27" spans="1:5" ht="28.5">
      <c r="A27" s="67" t="s">
        <v>428</v>
      </c>
      <c r="B27" t="s">
        <v>375</v>
      </c>
      <c r="C27">
        <v>5</v>
      </c>
      <c r="D27">
        <v>5</v>
      </c>
      <c r="E27">
        <f>Table5[[#This Row],[Probability]]*Table5[[#This Row],[Impact]]</f>
        <v>25</v>
      </c>
    </row>
    <row r="28" spans="1:5">
      <c r="A28" s="53" t="s">
        <v>430</v>
      </c>
      <c r="B28" t="s">
        <v>378</v>
      </c>
      <c r="C28">
        <v>3</v>
      </c>
      <c r="D28">
        <v>4</v>
      </c>
      <c r="E28">
        <f>Table5[[#This Row],[Probability]]*Table5[[#This Row],[Impact]]</f>
        <v>12</v>
      </c>
    </row>
    <row r="29" spans="1:5">
      <c r="A29" s="66" t="s">
        <v>432</v>
      </c>
      <c r="B29" t="s">
        <v>381</v>
      </c>
      <c r="C29">
        <v>1</v>
      </c>
      <c r="D29">
        <v>5</v>
      </c>
      <c r="E29">
        <f>Table5[[#This Row],[Probability]]*Table5[[#This Row],[Impact]]</f>
        <v>5</v>
      </c>
    </row>
    <row r="30" spans="1:5">
      <c r="A30" s="53" t="s">
        <v>434</v>
      </c>
      <c r="B30" t="s">
        <v>370</v>
      </c>
      <c r="C30">
        <v>5</v>
      </c>
      <c r="D30">
        <v>3</v>
      </c>
      <c r="E30">
        <f>Table5[[#This Row],[Probability]]*Table5[[#This Row],[Impact]]</f>
        <v>15</v>
      </c>
    </row>
    <row r="31" spans="1:5">
      <c r="A31" s="66" t="s">
        <v>436</v>
      </c>
      <c r="B31" t="s">
        <v>373</v>
      </c>
      <c r="C31">
        <v>1</v>
      </c>
      <c r="D31">
        <v>5</v>
      </c>
      <c r="E31">
        <f>Table5[[#This Row],[Probability]]*Table5[[#This Row],[Impact]]</f>
        <v>5</v>
      </c>
    </row>
    <row r="32" spans="1:5">
      <c r="A32" s="53" t="s">
        <v>438</v>
      </c>
      <c r="B32" t="s">
        <v>375</v>
      </c>
      <c r="C32">
        <v>1</v>
      </c>
      <c r="D32">
        <v>2</v>
      </c>
      <c r="E32">
        <f>Table5[[#This Row],[Probability]]*Table5[[#This Row],[Impact]]</f>
        <v>2</v>
      </c>
    </row>
    <row r="33" spans="1:5">
      <c r="A33" s="53" t="s">
        <v>438</v>
      </c>
      <c r="B33" t="s">
        <v>378</v>
      </c>
      <c r="C33">
        <v>4</v>
      </c>
      <c r="D33">
        <v>1</v>
      </c>
      <c r="E33">
        <f>Table5[[#This Row],[Probability]]*Table5[[#This Row],[Impact]]</f>
        <v>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E32"/>
  <sheetViews>
    <sheetView workbookViewId="0">
      <selection activeCell="D14" sqref="D14"/>
    </sheetView>
  </sheetViews>
  <sheetFormatPr defaultRowHeight="14.25"/>
  <sheetData>
    <row r="1" spans="1:5">
      <c r="A1" t="s">
        <v>55</v>
      </c>
      <c r="B1" t="s">
        <v>367</v>
      </c>
      <c r="C1" t="s">
        <v>368</v>
      </c>
      <c r="D1" t="s">
        <v>369</v>
      </c>
      <c r="E1" t="s">
        <v>296</v>
      </c>
    </row>
    <row r="2" spans="1:5">
      <c r="A2" s="54" t="s">
        <v>390</v>
      </c>
      <c r="B2" t="s">
        <v>371</v>
      </c>
      <c r="C2">
        <v>4</v>
      </c>
      <c r="D2">
        <v>4</v>
      </c>
      <c r="E2">
        <f>Table58[[#This Row],[Probability]]*Table58[[#This Row],[Impact]]</f>
        <v>16</v>
      </c>
    </row>
    <row r="3" spans="1:5">
      <c r="A3" s="54" t="s">
        <v>393</v>
      </c>
      <c r="B3" t="s">
        <v>335</v>
      </c>
      <c r="C3">
        <v>2</v>
      </c>
      <c r="D3">
        <v>4</v>
      </c>
      <c r="E3">
        <f>Table58[[#This Row],[Probability]]*Table58[[#This Row],[Impact]]</f>
        <v>8</v>
      </c>
    </row>
    <row r="4" spans="1:5">
      <c r="A4" s="54" t="s">
        <v>395</v>
      </c>
      <c r="B4" t="s">
        <v>376</v>
      </c>
      <c r="C4">
        <v>1</v>
      </c>
      <c r="D4">
        <v>5</v>
      </c>
      <c r="E4">
        <f>Table58[[#This Row],[Probability]]*Table58[[#This Row],[Impact]]</f>
        <v>5</v>
      </c>
    </row>
    <row r="5" spans="1:5">
      <c r="A5" s="54" t="s">
        <v>397</v>
      </c>
      <c r="B5" t="s">
        <v>379</v>
      </c>
      <c r="C5">
        <v>3</v>
      </c>
      <c r="D5">
        <v>1</v>
      </c>
      <c r="E5">
        <f>Table58[[#This Row],[Probability]]*Table58[[#This Row],[Impact]]</f>
        <v>3</v>
      </c>
    </row>
    <row r="6" spans="1:5">
      <c r="A6" s="54" t="s">
        <v>399</v>
      </c>
      <c r="B6" t="s">
        <v>382</v>
      </c>
      <c r="C6">
        <v>3</v>
      </c>
      <c r="D6">
        <v>2</v>
      </c>
      <c r="E6">
        <f>Table58[[#This Row],[Probability]]*Table58[[#This Row],[Impact]]</f>
        <v>6</v>
      </c>
    </row>
    <row r="7" spans="1:5">
      <c r="A7" s="54" t="s">
        <v>401</v>
      </c>
      <c r="B7" t="s">
        <v>371</v>
      </c>
      <c r="C7">
        <v>4</v>
      </c>
      <c r="D7">
        <v>5</v>
      </c>
      <c r="E7">
        <f>Table58[[#This Row],[Probability]]*Table58[[#This Row],[Impact]]</f>
        <v>20</v>
      </c>
    </row>
    <row r="8" spans="1:5">
      <c r="A8" s="54" t="s">
        <v>403</v>
      </c>
      <c r="B8" t="s">
        <v>335</v>
      </c>
      <c r="C8">
        <v>2</v>
      </c>
      <c r="D8">
        <v>2</v>
      </c>
      <c r="E8">
        <f>Table58[[#This Row],[Probability]]*Table58[[#This Row],[Impact]]</f>
        <v>4</v>
      </c>
    </row>
    <row r="9" spans="1:5">
      <c r="A9" s="54" t="s">
        <v>405</v>
      </c>
      <c r="B9" t="s">
        <v>376</v>
      </c>
      <c r="C9">
        <v>5</v>
      </c>
      <c r="D9">
        <v>1</v>
      </c>
      <c r="E9">
        <f>Table58[[#This Row],[Probability]]*Table58[[#This Row],[Impact]]</f>
        <v>5</v>
      </c>
    </row>
    <row r="10" spans="1:5">
      <c r="A10" s="54" t="s">
        <v>407</v>
      </c>
      <c r="B10" t="s">
        <v>379</v>
      </c>
      <c r="C10">
        <v>5</v>
      </c>
      <c r="D10">
        <v>4</v>
      </c>
      <c r="E10">
        <f>Table58[[#This Row],[Probability]]*Table58[[#This Row],[Impact]]</f>
        <v>20</v>
      </c>
    </row>
    <row r="11" spans="1:5">
      <c r="A11" s="54" t="s">
        <v>409</v>
      </c>
      <c r="B11" t="s">
        <v>382</v>
      </c>
      <c r="C11">
        <v>4</v>
      </c>
      <c r="D11">
        <v>2</v>
      </c>
      <c r="E11">
        <f>Table58[[#This Row],[Probability]]*Table58[[#This Row],[Impact]]</f>
        <v>8</v>
      </c>
    </row>
    <row r="12" spans="1:5" ht="28.5">
      <c r="A12" s="56" t="s">
        <v>411</v>
      </c>
      <c r="B12" t="s">
        <v>371</v>
      </c>
      <c r="C12">
        <v>5</v>
      </c>
      <c r="D12">
        <v>5</v>
      </c>
      <c r="E12">
        <f>Table58[[#This Row],[Probability]]*Table58[[#This Row],[Impact]]</f>
        <v>25</v>
      </c>
    </row>
    <row r="13" spans="1:5">
      <c r="A13" s="54" t="s">
        <v>413</v>
      </c>
      <c r="B13" t="s">
        <v>335</v>
      </c>
      <c r="C13">
        <v>1</v>
      </c>
      <c r="D13">
        <v>1</v>
      </c>
      <c r="E13">
        <f>Table58[[#This Row],[Probability]]*Table58[[#This Row],[Impact]]</f>
        <v>1</v>
      </c>
    </row>
    <row r="14" spans="1:5" ht="28.5">
      <c r="A14" s="56" t="s">
        <v>415</v>
      </c>
      <c r="B14" t="s">
        <v>376</v>
      </c>
      <c r="C14">
        <v>4</v>
      </c>
      <c r="D14">
        <v>3</v>
      </c>
      <c r="E14">
        <f>Table58[[#This Row],[Probability]]*Table58[[#This Row],[Impact]]</f>
        <v>12</v>
      </c>
    </row>
    <row r="15" spans="1:5">
      <c r="A15" s="54" t="s">
        <v>417</v>
      </c>
      <c r="B15" t="s">
        <v>379</v>
      </c>
      <c r="C15">
        <v>5</v>
      </c>
      <c r="D15">
        <v>4</v>
      </c>
      <c r="E15">
        <f>Table58[[#This Row],[Probability]]*Table58[[#This Row],[Impact]]</f>
        <v>20</v>
      </c>
    </row>
    <row r="16" spans="1:5">
      <c r="A16" s="54" t="s">
        <v>419</v>
      </c>
      <c r="B16" t="s">
        <v>382</v>
      </c>
      <c r="C16">
        <v>2</v>
      </c>
      <c r="D16">
        <v>3</v>
      </c>
      <c r="E16">
        <f>Table58[[#This Row],[Probability]]*Table58[[#This Row],[Impact]]</f>
        <v>6</v>
      </c>
    </row>
    <row r="17" spans="1:5">
      <c r="A17" s="54" t="s">
        <v>421</v>
      </c>
      <c r="B17" t="s">
        <v>371</v>
      </c>
      <c r="C17">
        <v>2</v>
      </c>
      <c r="D17">
        <v>5</v>
      </c>
      <c r="E17">
        <f>Table58[[#This Row],[Probability]]*Table58[[#This Row],[Impact]]</f>
        <v>10</v>
      </c>
    </row>
    <row r="18" spans="1:5">
      <c r="A18" s="54" t="s">
        <v>423</v>
      </c>
      <c r="B18" t="s">
        <v>335</v>
      </c>
      <c r="C18">
        <v>2</v>
      </c>
      <c r="D18">
        <v>5</v>
      </c>
      <c r="E18">
        <f>Table58[[#This Row],[Probability]]*Table58[[#This Row],[Impact]]</f>
        <v>10</v>
      </c>
    </row>
    <row r="19" spans="1:5">
      <c r="A19" s="54" t="s">
        <v>425</v>
      </c>
      <c r="B19" t="s">
        <v>376</v>
      </c>
      <c r="C19">
        <v>4</v>
      </c>
      <c r="D19">
        <v>4</v>
      </c>
      <c r="E19">
        <f>Table58[[#This Row],[Probability]]*Table58[[#This Row],[Impact]]</f>
        <v>16</v>
      </c>
    </row>
    <row r="20" spans="1:5" ht="28.5">
      <c r="A20" s="56" t="s">
        <v>428</v>
      </c>
      <c r="B20" t="s">
        <v>379</v>
      </c>
      <c r="C20">
        <v>2</v>
      </c>
      <c r="D20">
        <v>1</v>
      </c>
      <c r="E20">
        <f>Table58[[#This Row],[Probability]]*Table58[[#This Row],[Impact]]</f>
        <v>2</v>
      </c>
    </row>
    <row r="21" spans="1:5">
      <c r="A21" s="54" t="s">
        <v>430</v>
      </c>
      <c r="B21" t="s">
        <v>382</v>
      </c>
      <c r="C21">
        <v>5</v>
      </c>
      <c r="D21">
        <v>2</v>
      </c>
      <c r="E21">
        <f>Table58[[#This Row],[Probability]]*Table58[[#This Row],[Impact]]</f>
        <v>10</v>
      </c>
    </row>
    <row r="22" spans="1:5">
      <c r="A22" s="54" t="s">
        <v>432</v>
      </c>
      <c r="B22" t="s">
        <v>371</v>
      </c>
      <c r="C22">
        <v>3</v>
      </c>
      <c r="D22">
        <v>2</v>
      </c>
      <c r="E22">
        <f>Table58[[#This Row],[Probability]]*Table58[[#This Row],[Impact]]</f>
        <v>6</v>
      </c>
    </row>
    <row r="23" spans="1:5">
      <c r="A23" s="54" t="s">
        <v>434</v>
      </c>
      <c r="B23" t="s">
        <v>335</v>
      </c>
      <c r="C23">
        <v>2</v>
      </c>
      <c r="D23">
        <v>3</v>
      </c>
      <c r="E23">
        <f>Table58[[#This Row],[Probability]]*Table58[[#This Row],[Impact]]</f>
        <v>6</v>
      </c>
    </row>
    <row r="24" spans="1:5">
      <c r="A24" s="54" t="s">
        <v>436</v>
      </c>
      <c r="B24" t="s">
        <v>371</v>
      </c>
      <c r="C24">
        <v>5</v>
      </c>
      <c r="D24">
        <v>5</v>
      </c>
      <c r="E24">
        <f>Table58[[#This Row],[Probability]]*Table58[[#This Row],[Impact]]</f>
        <v>25</v>
      </c>
    </row>
    <row r="25" spans="1:5">
      <c r="A25" s="54" t="s">
        <v>438</v>
      </c>
      <c r="B25" t="s">
        <v>335</v>
      </c>
      <c r="C25">
        <v>1</v>
      </c>
      <c r="D25">
        <v>1</v>
      </c>
      <c r="E25">
        <f>Table58[[#This Row],[Probability]]*Table58[[#This Row],[Impact]]</f>
        <v>1</v>
      </c>
    </row>
    <row r="26" spans="1:5">
      <c r="A26" s="54" t="s">
        <v>403</v>
      </c>
      <c r="B26" t="s">
        <v>376</v>
      </c>
      <c r="C26">
        <v>2</v>
      </c>
      <c r="D26">
        <v>5</v>
      </c>
      <c r="E26">
        <f>Table58[[#This Row],[Probability]]*Table58[[#This Row],[Impact]]</f>
        <v>10</v>
      </c>
    </row>
    <row r="27" spans="1:5">
      <c r="A27" s="54" t="s">
        <v>405</v>
      </c>
      <c r="B27" t="s">
        <v>379</v>
      </c>
      <c r="C27">
        <v>2</v>
      </c>
      <c r="D27">
        <v>2</v>
      </c>
      <c r="E27">
        <f>Table58[[#This Row],[Probability]]*Table58[[#This Row],[Impact]]</f>
        <v>4</v>
      </c>
    </row>
    <row r="28" spans="1:5">
      <c r="A28" s="54" t="s">
        <v>413</v>
      </c>
      <c r="B28" t="s">
        <v>382</v>
      </c>
      <c r="C28">
        <v>4</v>
      </c>
      <c r="D28">
        <v>4</v>
      </c>
      <c r="E28">
        <f>Table58[[#This Row],[Probability]]*Table58[[#This Row],[Impact]]</f>
        <v>16</v>
      </c>
    </row>
    <row r="29" spans="1:5">
      <c r="A29" s="54" t="s">
        <v>417</v>
      </c>
      <c r="B29" t="s">
        <v>371</v>
      </c>
      <c r="C29">
        <v>3</v>
      </c>
      <c r="D29">
        <v>1</v>
      </c>
      <c r="E29">
        <f>Table58[[#This Row],[Probability]]*Table58[[#This Row],[Impact]]</f>
        <v>3</v>
      </c>
    </row>
    <row r="30" spans="1:5" ht="28.5">
      <c r="A30" s="56" t="s">
        <v>415</v>
      </c>
      <c r="B30" t="s">
        <v>335</v>
      </c>
      <c r="C30">
        <v>2</v>
      </c>
      <c r="D30">
        <v>2</v>
      </c>
      <c r="E30">
        <f>Table58[[#This Row],[Probability]]*Table58[[#This Row],[Impact]]</f>
        <v>4</v>
      </c>
    </row>
    <row r="31" spans="1:5">
      <c r="A31" s="54" t="s">
        <v>419</v>
      </c>
      <c r="B31" t="s">
        <v>376</v>
      </c>
      <c r="C31">
        <v>2</v>
      </c>
      <c r="D31">
        <v>2</v>
      </c>
      <c r="E31">
        <f>Table58[[#This Row],[Probability]]*Table58[[#This Row],[Impact]]</f>
        <v>4</v>
      </c>
    </row>
    <row r="32" spans="1:5" ht="28.5">
      <c r="A32" s="56" t="s">
        <v>472</v>
      </c>
      <c r="B32" t="s">
        <v>379</v>
      </c>
      <c r="C32">
        <v>1</v>
      </c>
      <c r="D32">
        <v>1</v>
      </c>
      <c r="E32">
        <f>Table58[[#This Row],[Probability]]*Table58[[#This Row],[Impact]]</f>
        <v>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3:H21"/>
  <sheetViews>
    <sheetView topLeftCell="B1" workbookViewId="0">
      <selection activeCell="D7" sqref="D7"/>
    </sheetView>
  </sheetViews>
  <sheetFormatPr defaultColWidth="8.875" defaultRowHeight="14.25"/>
  <cols>
    <col min="1" max="1" width="15.375" customWidth="1"/>
    <col min="4" max="4" width="13.75" bestFit="1" customWidth="1"/>
    <col min="5" max="5" width="5.375" bestFit="1" customWidth="1"/>
  </cols>
  <sheetData>
    <row r="3" spans="1:6">
      <c r="D3" t="s">
        <v>298</v>
      </c>
    </row>
    <row r="5" spans="1:6">
      <c r="A5" t="s">
        <v>77</v>
      </c>
      <c r="B5" s="35" t="e">
        <f>GETPIVOTDATA("Feedback Score",#REF!,"Feedback Categories","Communication")</f>
        <v>#REF!</v>
      </c>
      <c r="C5">
        <v>5</v>
      </c>
      <c r="D5" s="4" t="e">
        <f>IF(B5&gt;2, B5, 0)</f>
        <v>#REF!</v>
      </c>
      <c r="E5" s="4" t="e">
        <f>IF(B5&lt;=2, B5, 0)</f>
        <v>#REF!</v>
      </c>
      <c r="F5" s="4" t="e">
        <f>5-MAX(E5,D5)</f>
        <v>#REF!</v>
      </c>
    </row>
    <row r="6" spans="1:6">
      <c r="A6" t="s">
        <v>67</v>
      </c>
      <c r="B6" s="35" t="e">
        <f>GETPIVOTDATA("Feedback Score",#REF!,"Feedback Categories","Cooperation")</f>
        <v>#REF!</v>
      </c>
      <c r="C6">
        <v>5</v>
      </c>
      <c r="D6" s="4" t="e">
        <f>IF(B6&gt;2, B6, 0)</f>
        <v>#REF!</v>
      </c>
      <c r="E6" s="4" t="e">
        <f>IF(B6&lt;=2, B6, 0)</f>
        <v>#REF!</v>
      </c>
      <c r="F6" s="4" t="e">
        <f>5-MAX(E6,D6)</f>
        <v>#REF!</v>
      </c>
    </row>
    <row r="7" spans="1:6">
      <c r="A7" t="s">
        <v>299</v>
      </c>
      <c r="B7" s="35" t="e">
        <f>GETPIVOTDATA("Feedback Score",#REF!,"Feedback Categories","Service Quality")</f>
        <v>#REF!</v>
      </c>
      <c r="C7">
        <v>5</v>
      </c>
      <c r="D7" s="4" t="e">
        <f>IF(B7&gt;2, B7, 0)</f>
        <v>#REF!</v>
      </c>
      <c r="E7" s="4" t="e">
        <f>IF(B7&lt;=2, B7, 0)</f>
        <v>#REF!</v>
      </c>
      <c r="F7" s="4" t="e">
        <f>5-MAX(E7,D7)</f>
        <v>#REF!</v>
      </c>
    </row>
    <row r="8" spans="1:6">
      <c r="E8" s="4"/>
    </row>
    <row r="9" spans="1:6">
      <c r="E9" s="4"/>
    </row>
    <row r="10" spans="1:6">
      <c r="A10" t="s">
        <v>300</v>
      </c>
      <c r="D10" s="5"/>
      <c r="E10" s="4"/>
      <c r="F10" s="4"/>
    </row>
    <row r="11" spans="1:6">
      <c r="D11" s="5"/>
      <c r="E11" s="4"/>
      <c r="F11" s="4"/>
    </row>
    <row r="12" spans="1:6">
      <c r="D12" s="5"/>
      <c r="E12" s="4"/>
      <c r="F12" s="4"/>
    </row>
    <row r="21" spans="8:8">
      <c r="H21" t="s">
        <v>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U26"/>
  <sheetViews>
    <sheetView workbookViewId="0">
      <selection activeCell="I29" sqref="I29"/>
    </sheetView>
  </sheetViews>
  <sheetFormatPr defaultColWidth="8.875" defaultRowHeight="14.25"/>
  <cols>
    <col min="1" max="1" width="19.625" bestFit="1" customWidth="1"/>
    <col min="2" max="2" width="27" bestFit="1" customWidth="1"/>
    <col min="3" max="3" width="10.75" bestFit="1" customWidth="1"/>
    <col min="5" max="5" width="8.375" bestFit="1" customWidth="1"/>
    <col min="6" max="6" width="6.125" bestFit="1" customWidth="1"/>
    <col min="7" max="7" width="9.875" bestFit="1" customWidth="1"/>
    <col min="9" max="9" width="19.625" bestFit="1" customWidth="1"/>
    <col min="10" max="10" width="12.875" bestFit="1" customWidth="1"/>
    <col min="11" max="11" width="13.375" bestFit="1" customWidth="1"/>
    <col min="12" max="12" width="10.375" bestFit="1" customWidth="1"/>
    <col min="14" max="14" width="12.125" customWidth="1"/>
    <col min="15" max="15" width="12.25" customWidth="1"/>
    <col min="16" max="16" width="10" customWidth="1"/>
    <col min="18" max="18" width="16.25" customWidth="1"/>
    <col min="20" max="20" width="11.75" customWidth="1"/>
    <col min="22" max="22" width="11.375" bestFit="1" customWidth="1"/>
    <col min="23" max="23" width="12.875" bestFit="1" customWidth="1"/>
    <col min="24" max="24" width="10" bestFit="1" customWidth="1"/>
    <col min="25" max="25" width="16.125" customWidth="1"/>
    <col min="26" max="26" width="11.75" bestFit="1" customWidth="1"/>
  </cols>
  <sheetData>
    <row r="1" spans="1:21" ht="15">
      <c r="A1" s="20" t="s">
        <v>55</v>
      </c>
      <c r="B1" s="20" t="s">
        <v>304</v>
      </c>
      <c r="C1" s="20" t="s">
        <v>303</v>
      </c>
      <c r="D1" s="20" t="s">
        <v>276</v>
      </c>
      <c r="E1" s="20" t="s">
        <v>305</v>
      </c>
      <c r="F1" s="20" t="s">
        <v>27</v>
      </c>
      <c r="G1" s="20" t="s">
        <v>306</v>
      </c>
      <c r="I1" s="2" t="s">
        <v>55</v>
      </c>
      <c r="J1" t="s">
        <v>310</v>
      </c>
      <c r="K1" t="s">
        <v>311</v>
      </c>
    </row>
    <row r="2" spans="1:21">
      <c r="A2" s="54" t="s">
        <v>390</v>
      </c>
      <c r="B2" t="s">
        <v>307</v>
      </c>
      <c r="C2" t="s">
        <v>37</v>
      </c>
      <c r="D2">
        <v>2</v>
      </c>
      <c r="E2">
        <f t="shared" ref="E2:E21" si="0">INDEX($N$5:$N$8,MATCH(C2,$M$5:$M$8,0))*D2</f>
        <v>2</v>
      </c>
      <c r="F2" t="str">
        <f>CHOOSE(Issues[[#This Row],[Score]],"L","L","L","M","M","M","M","M","M","H","H","H","H","H","H","C","C","C","C","C","C","C","C","C","C","C","C","C","C","C","C","C","C","C","C","C")</f>
        <v>L</v>
      </c>
      <c r="G2" t="str">
        <f>INDEX($O$12:$O$16,MATCH(Issues[[#This Row],[Score]]+1,$N$12:$N$16,1))</f>
        <v>L</v>
      </c>
      <c r="I2" t="s">
        <v>397</v>
      </c>
      <c r="J2">
        <v>10</v>
      </c>
      <c r="K2">
        <v>1</v>
      </c>
    </row>
    <row r="3" spans="1:21">
      <c r="A3" s="54" t="s">
        <v>393</v>
      </c>
      <c r="B3" t="s">
        <v>309</v>
      </c>
      <c r="C3" t="s">
        <v>40</v>
      </c>
      <c r="D3">
        <v>1</v>
      </c>
      <c r="E3">
        <f t="shared" si="0"/>
        <v>2</v>
      </c>
      <c r="F3" t="str">
        <f>CHOOSE(Issues[[#This Row],[Score]],"L","L","L","M","M","M","M","M","M","H","H","H","H","H","H","C","C","C","C","C","C","C","C","C","C","C","C","C","C","C","C","C","C","C","C","C")</f>
        <v>L</v>
      </c>
      <c r="G3" t="str">
        <f>INDEX($O$12:$O$16,MATCH(Issues[[#This Row],[Score]]+1,$N$12:$N$16,1))</f>
        <v>L</v>
      </c>
      <c r="I3" t="s">
        <v>403</v>
      </c>
      <c r="J3">
        <v>2</v>
      </c>
      <c r="K3">
        <v>2</v>
      </c>
      <c r="S3" s="23"/>
      <c r="T3" s="23"/>
      <c r="U3" s="23"/>
    </row>
    <row r="4" spans="1:21" ht="15">
      <c r="A4" s="54" t="s">
        <v>395</v>
      </c>
      <c r="B4" t="s">
        <v>312</v>
      </c>
      <c r="C4" t="s">
        <v>42</v>
      </c>
      <c r="D4">
        <v>3</v>
      </c>
      <c r="E4">
        <f t="shared" si="0"/>
        <v>12</v>
      </c>
      <c r="F4" t="str">
        <f>CHOOSE(Issues[[#This Row],[Score]],"L","L","L","M","M","M","M","M","M","H","H","H","H","H","H","C","C","C","C","C","C","C","C","C","C","C","C","C","C","C","C","C","C","C","C","C")</f>
        <v>H</v>
      </c>
      <c r="G4" t="str">
        <f>INDEX($O$12:$O$16,MATCH(Issues[[#This Row],[Score]]+1,$N$12:$N$16,1))</f>
        <v>M</v>
      </c>
      <c r="I4" t="s">
        <v>407</v>
      </c>
      <c r="J4">
        <v>10</v>
      </c>
      <c r="K4">
        <v>1</v>
      </c>
      <c r="M4" s="24" t="s">
        <v>303</v>
      </c>
      <c r="N4" s="20" t="s">
        <v>308</v>
      </c>
      <c r="O4" s="22"/>
    </row>
    <row r="5" spans="1:21">
      <c r="A5" s="54" t="s">
        <v>397</v>
      </c>
      <c r="B5" t="s">
        <v>313</v>
      </c>
      <c r="C5" t="s">
        <v>46</v>
      </c>
      <c r="D5">
        <v>1</v>
      </c>
      <c r="E5">
        <f t="shared" si="0"/>
        <v>10</v>
      </c>
      <c r="F5" t="str">
        <f>CHOOSE(Issues[[#This Row],[Score]],"L","L","L","M","M","M","M","M","M","H","H","H","H","H","H","C","C","C","C","C","C","C","C","C","C","C","C","C","C","C","C","C","C","C","C","C")</f>
        <v>H</v>
      </c>
      <c r="G5" t="str">
        <f>INDEX($O$12:$O$16,MATCH(Issues[[#This Row],[Score]]+1,$N$12:$N$16,1))</f>
        <v>M</v>
      </c>
      <c r="I5" t="s">
        <v>413</v>
      </c>
      <c r="J5">
        <v>4</v>
      </c>
      <c r="K5">
        <v>1</v>
      </c>
      <c r="M5" s="22" t="s">
        <v>37</v>
      </c>
      <c r="N5" s="22">
        <v>1</v>
      </c>
      <c r="O5" s="22"/>
    </row>
    <row r="6" spans="1:21">
      <c r="A6" s="54" t="s">
        <v>399</v>
      </c>
      <c r="B6" t="s">
        <v>314</v>
      </c>
      <c r="C6" t="s">
        <v>40</v>
      </c>
      <c r="D6">
        <v>1</v>
      </c>
      <c r="E6">
        <f t="shared" si="0"/>
        <v>2</v>
      </c>
      <c r="F6" t="str">
        <f>CHOOSE(Issues[[#This Row],[Score]],"L","L","L","M","M","M","M","M","M","H","H","H","H","H","H","C","C","C","C","C","C","C","C","C","C","C","C","C","C","C","C","C","C","C","C","C")</f>
        <v>L</v>
      </c>
      <c r="G6" t="str">
        <f>INDEX($O$12:$O$16,MATCH(Issues[[#This Row],[Score]]+1,$N$12:$N$16,1))</f>
        <v>L</v>
      </c>
      <c r="I6" t="s">
        <v>419</v>
      </c>
      <c r="J6">
        <v>10</v>
      </c>
      <c r="K6">
        <v>1</v>
      </c>
      <c r="M6" s="22" t="s">
        <v>40</v>
      </c>
      <c r="N6" s="22">
        <v>2</v>
      </c>
      <c r="O6" s="22"/>
    </row>
    <row r="7" spans="1:21">
      <c r="A7" s="54" t="s">
        <v>401</v>
      </c>
      <c r="B7" t="s">
        <v>315</v>
      </c>
      <c r="C7" t="s">
        <v>42</v>
      </c>
      <c r="D7">
        <v>3</v>
      </c>
      <c r="E7">
        <f t="shared" si="0"/>
        <v>12</v>
      </c>
      <c r="F7" t="str">
        <f>CHOOSE(Issues[[#This Row],[Score]],"L","L","L","M","M","M","M","M","M","H","H","H","H","H","H","C","C","C","C","C","C","C","C","C","C","C","C","C","C","C","C","C","C","C","C","C")</f>
        <v>H</v>
      </c>
      <c r="G7" t="str">
        <f>INDEX($O$12:$O$16,MATCH(Issues[[#This Row],[Score]]+1,$N$12:$N$16,1))</f>
        <v>M</v>
      </c>
      <c r="I7" t="s">
        <v>432</v>
      </c>
      <c r="J7">
        <v>1</v>
      </c>
      <c r="K7">
        <v>1</v>
      </c>
      <c r="M7" s="22" t="s">
        <v>42</v>
      </c>
      <c r="N7" s="22">
        <v>4</v>
      </c>
    </row>
    <row r="8" spans="1:21">
      <c r="A8" s="54" t="s">
        <v>403</v>
      </c>
      <c r="B8" t="s">
        <v>316</v>
      </c>
      <c r="C8" t="s">
        <v>37</v>
      </c>
      <c r="D8">
        <v>2</v>
      </c>
      <c r="E8">
        <f t="shared" si="0"/>
        <v>2</v>
      </c>
      <c r="F8" t="str">
        <f>CHOOSE(Issues[[#This Row],[Score]],"L","L","L","M","M","M","M","M","M","H","H","H","H","H","H","C","C","C","C","C","C","C","C","C","C","C","C","C","C","C","C","C","C","C","C","C")</f>
        <v>L</v>
      </c>
      <c r="G8" t="str">
        <f>INDEX($O$12:$O$16,MATCH(Issues[[#This Row],[Score]]+1,$N$12:$N$16,1))</f>
        <v>L</v>
      </c>
      <c r="I8" t="s">
        <v>436</v>
      </c>
      <c r="J8">
        <v>2</v>
      </c>
      <c r="K8">
        <v>1</v>
      </c>
      <c r="M8" s="22" t="s">
        <v>46</v>
      </c>
      <c r="N8" s="22">
        <v>10</v>
      </c>
    </row>
    <row r="9" spans="1:21">
      <c r="A9" s="54" t="s">
        <v>405</v>
      </c>
      <c r="B9" t="s">
        <v>318</v>
      </c>
      <c r="C9" t="s">
        <v>37</v>
      </c>
      <c r="D9">
        <v>1</v>
      </c>
      <c r="E9">
        <f t="shared" si="0"/>
        <v>1</v>
      </c>
      <c r="F9" t="str">
        <f>CHOOSE(Issues[[#This Row],[Score]],"L","L","L","M","M","M","M","M","M","H","H","H","H","H","H","C","C","C","C","C","C","C","C","C","C","C","C","C","C","C","C","C","C","C","C","C")</f>
        <v>L</v>
      </c>
      <c r="G9" t="str">
        <f>INDEX($O$12:$O$16,MATCH(Issues[[#This Row],[Score]]+1,$N$12:$N$16,1))</f>
        <v>-</v>
      </c>
      <c r="I9" t="s">
        <v>434</v>
      </c>
      <c r="J9">
        <v>8</v>
      </c>
      <c r="K9">
        <v>2</v>
      </c>
    </row>
    <row r="10" spans="1:21" ht="15">
      <c r="A10" s="54" t="s">
        <v>407</v>
      </c>
      <c r="B10" t="s">
        <v>321</v>
      </c>
      <c r="C10" t="s">
        <v>46</v>
      </c>
      <c r="D10">
        <v>1</v>
      </c>
      <c r="E10">
        <f t="shared" si="0"/>
        <v>10</v>
      </c>
      <c r="F10" t="str">
        <f>CHOOSE(Issues[[#This Row],[Score]],"L","L","L","M","M","M","M","M","M","H","H","H","H","H","H","C","C","C","C","C","C","C","C","C","C","C","C","C","C","C","C","C","C","C","C","C")</f>
        <v>H</v>
      </c>
      <c r="G10" t="str">
        <f>INDEX($O$12:$O$16,MATCH(Issues[[#This Row],[Score]]+1,$N$12:$N$16,1))</f>
        <v>M</v>
      </c>
      <c r="I10" t="s">
        <v>405</v>
      </c>
      <c r="J10">
        <v>1</v>
      </c>
      <c r="K10">
        <v>1</v>
      </c>
      <c r="M10" s="20" t="s">
        <v>317</v>
      </c>
      <c r="U10" s="22"/>
    </row>
    <row r="11" spans="1:21">
      <c r="A11" s="54" t="s">
        <v>409</v>
      </c>
      <c r="B11" t="s">
        <v>323</v>
      </c>
      <c r="C11" t="s">
        <v>37</v>
      </c>
      <c r="D11">
        <v>1</v>
      </c>
      <c r="E11">
        <f t="shared" si="0"/>
        <v>1</v>
      </c>
      <c r="F11" t="str">
        <f>CHOOSE(Issues[[#This Row],[Score]],"L","L","L","M","M","M","M","M","M","H","H","H","H","H","H","C","C","C","C","C","C","C","C","C","C","C","C","C","C","C","C","C","C","C","C","C")</f>
        <v>L</v>
      </c>
      <c r="G11" t="str">
        <f>INDEX($O$12:$O$16,MATCH(Issues[[#This Row],[Score]]+1,$N$12:$N$16,1))</f>
        <v>-</v>
      </c>
      <c r="I11" t="s">
        <v>425</v>
      </c>
      <c r="J11">
        <v>1</v>
      </c>
      <c r="K11">
        <v>1</v>
      </c>
      <c r="M11" t="s">
        <v>319</v>
      </c>
      <c r="N11" t="s">
        <v>320</v>
      </c>
      <c r="U11" s="22"/>
    </row>
    <row r="12" spans="1:21">
      <c r="A12" s="56" t="s">
        <v>411</v>
      </c>
      <c r="B12" t="s">
        <v>316</v>
      </c>
      <c r="C12" t="s">
        <v>40</v>
      </c>
      <c r="D12">
        <v>2</v>
      </c>
      <c r="E12">
        <f t="shared" si="0"/>
        <v>4</v>
      </c>
      <c r="F12" t="str">
        <f>CHOOSE(Issues[[#This Row],[Score]],"L","L","L","M","M","M","M","M","M","H","H","H","H","H","H","C","C","C","C","C","C","C","C","C","C","C","C","C","C","C","C","C","C","C","C","C")</f>
        <v>M</v>
      </c>
      <c r="G12" t="str">
        <f>INDEX($O$12:$O$16,MATCH(Issues[[#This Row],[Score]]+1,$N$12:$N$16,1))</f>
        <v>L</v>
      </c>
      <c r="I12" t="s">
        <v>393</v>
      </c>
      <c r="J12">
        <v>2</v>
      </c>
      <c r="K12">
        <v>1</v>
      </c>
      <c r="M12" s="22">
        <v>0</v>
      </c>
      <c r="N12" s="22">
        <v>1</v>
      </c>
      <c r="O12" t="s">
        <v>322</v>
      </c>
      <c r="U12" s="22"/>
    </row>
    <row r="13" spans="1:21">
      <c r="A13" s="54" t="s">
        <v>413</v>
      </c>
      <c r="B13" t="s">
        <v>326</v>
      </c>
      <c r="C13" t="s">
        <v>42</v>
      </c>
      <c r="D13">
        <v>1</v>
      </c>
      <c r="E13">
        <f t="shared" si="0"/>
        <v>4</v>
      </c>
      <c r="F13" t="str">
        <f>CHOOSE(Issues[[#This Row],[Score]],"L","L","L","M","M","M","M","M","M","H","H","H","H","H","H","C","C","C","C","C","C","C","C","C","C","C","C","C","C","C","C","C","C","C","C","C")</f>
        <v>M</v>
      </c>
      <c r="G13" t="str">
        <f>INDEX($O$12:$O$16,MATCH(Issues[[#This Row],[Score]]+1,$N$12:$N$16,1))</f>
        <v>L</v>
      </c>
      <c r="I13" t="s">
        <v>430</v>
      </c>
      <c r="J13">
        <v>20</v>
      </c>
      <c r="K13">
        <v>2</v>
      </c>
      <c r="M13" s="22">
        <v>1</v>
      </c>
      <c r="N13" s="22">
        <v>3</v>
      </c>
      <c r="O13" t="s">
        <v>324</v>
      </c>
    </row>
    <row r="14" spans="1:21">
      <c r="A14" s="56" t="s">
        <v>415</v>
      </c>
      <c r="B14" t="s">
        <v>328</v>
      </c>
      <c r="C14" t="s">
        <v>42</v>
      </c>
      <c r="D14">
        <v>2</v>
      </c>
      <c r="E14">
        <f t="shared" si="0"/>
        <v>8</v>
      </c>
      <c r="F14" t="str">
        <f>CHOOSE(Issues[[#This Row],[Score]],"L","L","L","M","M","M","M","M","M","H","H","H","H","H","H","C","C","C","C","C","C","C","C","C","C","C","C","C","C","C","C","C","C","C","C","C")</f>
        <v>M</v>
      </c>
      <c r="G14" t="str">
        <f>INDEX($O$12:$O$16,MATCH(Issues[[#This Row],[Score]]+1,$N$12:$N$16,1))</f>
        <v>M</v>
      </c>
      <c r="I14" t="s">
        <v>409</v>
      </c>
      <c r="J14">
        <v>1</v>
      </c>
      <c r="K14">
        <v>1</v>
      </c>
      <c r="M14" s="22">
        <v>4</v>
      </c>
      <c r="N14" s="22">
        <v>9</v>
      </c>
      <c r="O14" t="s">
        <v>325</v>
      </c>
    </row>
    <row r="15" spans="1:21">
      <c r="A15" s="54" t="s">
        <v>417</v>
      </c>
      <c r="B15" t="s">
        <v>330</v>
      </c>
      <c r="C15" t="s">
        <v>37</v>
      </c>
      <c r="D15">
        <v>4</v>
      </c>
      <c r="E15">
        <f t="shared" si="0"/>
        <v>4</v>
      </c>
      <c r="F15" t="str">
        <f>CHOOSE(Issues[[#This Row],[Score]],"L","L","L","M","M","M","M","M","M","H","H","H","H","H","H","C","C","C","C","C","C","C","C","C","C","C","C","C","C","C","C","C","C","C","C","C")</f>
        <v>M</v>
      </c>
      <c r="G15" t="str">
        <f>INDEX($O$12:$O$16,MATCH(Issues[[#This Row],[Score]]+1,$N$12:$N$16,1))</f>
        <v>L</v>
      </c>
      <c r="I15" t="s">
        <v>417</v>
      </c>
      <c r="J15">
        <v>4</v>
      </c>
      <c r="K15">
        <v>4</v>
      </c>
      <c r="M15" s="22">
        <v>10</v>
      </c>
      <c r="N15" s="22">
        <v>15</v>
      </c>
      <c r="O15" t="s">
        <v>327</v>
      </c>
    </row>
    <row r="16" spans="1:21">
      <c r="A16" s="54" t="s">
        <v>419</v>
      </c>
      <c r="B16" t="s">
        <v>331</v>
      </c>
      <c r="C16" t="s">
        <v>46</v>
      </c>
      <c r="D16">
        <v>1</v>
      </c>
      <c r="E16">
        <f t="shared" si="0"/>
        <v>10</v>
      </c>
      <c r="F16" t="str">
        <f>CHOOSE(Issues[[#This Row],[Score]],"L","L","L","M","M","M","M","M","M","H","H","H","H","H","H","C","C","C","C","C","C","C","C","C","C","C","C","C","C","C","C","C","C","C","C","C")</f>
        <v>H</v>
      </c>
      <c r="G16" t="str">
        <f>INDEX($O$12:$O$16,MATCH(Issues[[#This Row],[Score]]+1,$N$12:$N$16,1))</f>
        <v>M</v>
      </c>
      <c r="I16" t="s">
        <v>421</v>
      </c>
      <c r="J16">
        <v>2</v>
      </c>
      <c r="K16">
        <v>1</v>
      </c>
      <c r="M16" s="22">
        <v>15</v>
      </c>
      <c r="N16" s="22">
        <v>1000</v>
      </c>
      <c r="O16" t="s">
        <v>329</v>
      </c>
    </row>
    <row r="17" spans="1:14">
      <c r="A17" s="54" t="s">
        <v>421</v>
      </c>
      <c r="B17" t="s">
        <v>332</v>
      </c>
      <c r="C17" t="s">
        <v>40</v>
      </c>
      <c r="D17">
        <v>1</v>
      </c>
      <c r="E17">
        <f t="shared" si="0"/>
        <v>2</v>
      </c>
      <c r="F17" t="str">
        <f>CHOOSE(Issues[[#This Row],[Score]],"L","L","L","M","M","M","M","M","M","H","H","H","H","H","H","C","C","C","C","C","C","C","C","C","C","C","C","C","C","C","C","C","C","C","C","C")</f>
        <v>L</v>
      </c>
      <c r="G17" t="str">
        <f>INDEX($O$12:$O$16,MATCH(Issues[[#This Row],[Score]]+1,$N$12:$N$16,1))</f>
        <v>L</v>
      </c>
      <c r="I17" t="s">
        <v>423</v>
      </c>
      <c r="J17">
        <v>4</v>
      </c>
      <c r="K17">
        <v>2</v>
      </c>
      <c r="M17" s="22"/>
      <c r="N17" s="22"/>
    </row>
    <row r="18" spans="1:14">
      <c r="A18" s="54" t="s">
        <v>423</v>
      </c>
      <c r="B18" t="s">
        <v>333</v>
      </c>
      <c r="C18" t="s">
        <v>40</v>
      </c>
      <c r="D18">
        <v>2</v>
      </c>
      <c r="E18">
        <f t="shared" si="0"/>
        <v>4</v>
      </c>
      <c r="F18" t="str">
        <f>CHOOSE(Issues[[#This Row],[Score]],"L","L","L","M","M","M","M","M","M","H","H","H","H","H","H","C","C","C","C","C","C","C","C","C","C","C","C","C","C","C","C","C","C","C","C","C")</f>
        <v>M</v>
      </c>
      <c r="G18" t="str">
        <f>INDEX($O$12:$O$16,MATCH(Issues[[#This Row],[Score]]+1,$N$12:$N$16,1))</f>
        <v>L</v>
      </c>
      <c r="I18" t="s">
        <v>399</v>
      </c>
      <c r="J18">
        <v>2</v>
      </c>
      <c r="K18">
        <v>1</v>
      </c>
    </row>
    <row r="19" spans="1:14">
      <c r="A19" s="54" t="s">
        <v>425</v>
      </c>
      <c r="B19" t="s">
        <v>334</v>
      </c>
      <c r="C19" t="s">
        <v>37</v>
      </c>
      <c r="D19">
        <v>1</v>
      </c>
      <c r="E19">
        <f t="shared" si="0"/>
        <v>1</v>
      </c>
      <c r="F19" t="str">
        <f>CHOOSE(Issues[[#This Row],[Score]],"L","L","L","M","M","M","M","M","M","H","H","H","H","H","H","C","C","C","C","C","C","C","C","C","C","C","C","C","C","C","C","C","C","C","C","C")</f>
        <v>L</v>
      </c>
      <c r="G19" t="str">
        <f>INDEX($O$12:$O$16,MATCH(Issues[[#This Row],[Score]]+1,$N$12:$N$16,1))</f>
        <v>-</v>
      </c>
      <c r="I19" t="s">
        <v>428</v>
      </c>
      <c r="J19">
        <v>16</v>
      </c>
      <c r="K19">
        <v>4</v>
      </c>
    </row>
    <row r="20" spans="1:14">
      <c r="A20" s="56" t="s">
        <v>428</v>
      </c>
      <c r="B20" t="s">
        <v>335</v>
      </c>
      <c r="C20" t="s">
        <v>42</v>
      </c>
      <c r="D20">
        <v>4</v>
      </c>
      <c r="E20">
        <f t="shared" si="0"/>
        <v>16</v>
      </c>
      <c r="F20" t="str">
        <f>CHOOSE(Issues[[#This Row],[Score]],"L","L","L","M","M","M","M","M","M","H","H","H","H","H","H","C","C","C","C","C","C","C","C","C","C","C","C","C","C","C","C","C","C","C","C","C")</f>
        <v>C</v>
      </c>
      <c r="G20" t="str">
        <f>INDEX($O$12:$O$16,MATCH(Issues[[#This Row],[Score]]+1,$N$12:$N$16,1))</f>
        <v>H</v>
      </c>
      <c r="I20" t="s">
        <v>401</v>
      </c>
      <c r="J20">
        <v>12</v>
      </c>
      <c r="K20">
        <v>3</v>
      </c>
    </row>
    <row r="21" spans="1:14">
      <c r="A21" s="54" t="s">
        <v>430</v>
      </c>
      <c r="B21" t="s">
        <v>309</v>
      </c>
      <c r="C21" t="s">
        <v>46</v>
      </c>
      <c r="D21">
        <v>2</v>
      </c>
      <c r="E21">
        <f t="shared" si="0"/>
        <v>20</v>
      </c>
      <c r="F21" t="str">
        <f>CHOOSE(Issues[[#This Row],[Score]],"L","L","L","M","M","M","M","M","M","H","H","H","H","H","H","C","C","C","C","C","C","C","C","C","C","C","C","C","C","C","C","C","C","C","C","C")</f>
        <v>C</v>
      </c>
      <c r="G21" t="str">
        <f>INDEX($O$12:$O$16,MATCH(Issues[[#This Row],[Score]]+1,$N$12:$N$16,1))</f>
        <v>H</v>
      </c>
      <c r="I21" t="s">
        <v>411</v>
      </c>
      <c r="J21">
        <v>4</v>
      </c>
      <c r="K21">
        <v>2</v>
      </c>
    </row>
    <row r="22" spans="1:14" ht="15">
      <c r="A22" s="54" t="s">
        <v>432</v>
      </c>
      <c r="B22" t="s">
        <v>337</v>
      </c>
      <c r="C22" t="s">
        <v>37</v>
      </c>
      <c r="D22">
        <v>1</v>
      </c>
      <c r="E22">
        <v>1</v>
      </c>
      <c r="F22" t="str">
        <f>CHOOSE(Issues[[#This Row],[Score]],"L","L","L","M","M","M","M","M","M","H","H","H","H","H","H","C","C","C","C","C","C","C","C","C","C","C","C","C","C","C","C","C","C","C","C","C")</f>
        <v>L</v>
      </c>
      <c r="G22" t="str">
        <f>INDEX($O$12:$O$16,MATCH(Issues[[#This Row],[Score]]+1,$N$12:$N$16,1))</f>
        <v>-</v>
      </c>
      <c r="I22" t="s">
        <v>415</v>
      </c>
      <c r="J22">
        <v>8</v>
      </c>
      <c r="K22">
        <v>2</v>
      </c>
      <c r="M22" s="25" t="s">
        <v>336</v>
      </c>
    </row>
    <row r="23" spans="1:14">
      <c r="A23" s="54" t="s">
        <v>434</v>
      </c>
      <c r="B23" t="s">
        <v>338</v>
      </c>
      <c r="C23" t="s">
        <v>42</v>
      </c>
      <c r="D23">
        <v>2</v>
      </c>
      <c r="E23">
        <f>INDEX($N$5:$N$8,MATCH(C23,$M$5:$M$8,0))*D23</f>
        <v>8</v>
      </c>
      <c r="F23" t="str">
        <f>CHOOSE(Issues[[#This Row],[Score]],"L","L","L","M","M","M","M","M","M","H","H","H","H","H","H","C","C","C","C","C","C","C","C","C","C","C","C","C","C","C","C","C","C","C","C","C")</f>
        <v>M</v>
      </c>
      <c r="G23" t="str">
        <f>INDEX($O$12:$O$16,MATCH(Issues[[#This Row],[Score]]+1,$N$12:$N$16,1))</f>
        <v>M</v>
      </c>
      <c r="I23" t="s">
        <v>390</v>
      </c>
      <c r="J23">
        <v>2</v>
      </c>
      <c r="K23">
        <v>2</v>
      </c>
    </row>
    <row r="24" spans="1:14">
      <c r="A24" s="54" t="s">
        <v>436</v>
      </c>
      <c r="B24" t="s">
        <v>316</v>
      </c>
      <c r="C24" t="s">
        <v>40</v>
      </c>
      <c r="D24">
        <v>1</v>
      </c>
      <c r="E24">
        <f>INDEX($N$5:$N$8,MATCH(C24,$M$5:$M$8,0))*D24</f>
        <v>2</v>
      </c>
      <c r="F24" t="str">
        <f>CHOOSE(Issues[[#This Row],[Score]],"L","L","L","M","M","M","M","M","M","H","H","H","H","H","H","C","C","C","C","C","C","C","C","C","C","C","C","C","C","C","C","C","C","C","C","C")</f>
        <v>L</v>
      </c>
      <c r="G24" t="str">
        <f>INDEX($O$12:$O$16,MATCH(Issues[[#This Row],[Score]]+1,$N$12:$N$16,1))</f>
        <v>L</v>
      </c>
      <c r="I24" t="s">
        <v>438</v>
      </c>
      <c r="J24">
        <v>4</v>
      </c>
      <c r="K24">
        <v>2</v>
      </c>
    </row>
    <row r="25" spans="1:14">
      <c r="A25" s="54" t="s">
        <v>438</v>
      </c>
      <c r="B25" t="s">
        <v>335</v>
      </c>
      <c r="C25" t="s">
        <v>40</v>
      </c>
      <c r="D25">
        <v>2</v>
      </c>
      <c r="E25">
        <f>INDEX($N$5:$N$8,MATCH(C25,$M$5:$M$8,0))*D25</f>
        <v>4</v>
      </c>
      <c r="F25" t="str">
        <f>CHOOSE(Issues[[#This Row],[Score]],"L","L","L","M","M","M","M","M","M","H","H","H","H","H","H","C","C","C","C","C","C","C","C","C","C","C","C","C","C","C","C","C","C","C","C","C")</f>
        <v>M</v>
      </c>
      <c r="G25" t="str">
        <f>INDEX($O$12:$O$16,MATCH(Issues[[#This Row],[Score]]+1,$N$12:$N$16,1))</f>
        <v>L</v>
      </c>
      <c r="I25" t="s">
        <v>395</v>
      </c>
      <c r="J25">
        <v>12</v>
      </c>
      <c r="K25">
        <v>3</v>
      </c>
    </row>
    <row r="26" spans="1:14">
      <c r="I26" t="s">
        <v>275</v>
      </c>
      <c r="J26">
        <v>142</v>
      </c>
      <c r="K26">
        <v>42</v>
      </c>
    </row>
  </sheetData>
  <pageMargins left="0.7" right="0.7" top="0.75" bottom="0.75" header="0.3" footer="0.3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A1:O25"/>
  <sheetViews>
    <sheetView workbookViewId="0">
      <selection activeCell="L15" sqref="L15"/>
    </sheetView>
  </sheetViews>
  <sheetFormatPr defaultColWidth="11.375" defaultRowHeight="14.25"/>
  <cols>
    <col min="1" max="1" width="19.625" bestFit="1" customWidth="1"/>
    <col min="2" max="2" width="13.375" customWidth="1"/>
    <col min="5" max="5" width="17.375" customWidth="1"/>
  </cols>
  <sheetData>
    <row r="1" spans="1:15" ht="15">
      <c r="A1" t="s">
        <v>55</v>
      </c>
      <c r="B1" t="s">
        <v>277</v>
      </c>
      <c r="D1" t="s">
        <v>354</v>
      </c>
      <c r="K1" t="s">
        <v>277</v>
      </c>
      <c r="L1" s="10"/>
    </row>
    <row r="2" spans="1:15" ht="15">
      <c r="A2" s="52" t="s">
        <v>390</v>
      </c>
      <c r="B2" t="s">
        <v>339</v>
      </c>
      <c r="D2" t="s">
        <v>355</v>
      </c>
      <c r="E2" t="s">
        <v>356</v>
      </c>
      <c r="F2" t="s">
        <v>357</v>
      </c>
      <c r="G2" t="s">
        <v>358</v>
      </c>
      <c r="H2" t="s">
        <v>359</v>
      </c>
      <c r="I2" t="s">
        <v>360</v>
      </c>
      <c r="K2" t="s">
        <v>339</v>
      </c>
      <c r="L2" s="31" t="s">
        <v>340</v>
      </c>
    </row>
    <row r="3" spans="1:15" ht="15">
      <c r="A3" s="53" t="s">
        <v>393</v>
      </c>
      <c r="B3" t="s">
        <v>342</v>
      </c>
      <c r="D3" t="s">
        <v>286</v>
      </c>
      <c r="E3" t="e">
        <f>COUNTIF(#REF!, 3)</f>
        <v>#REF!</v>
      </c>
      <c r="F3" t="e">
        <f>COUNTIF(#REF!, 2)</f>
        <v>#REF!</v>
      </c>
      <c r="G3" t="e">
        <f>COUNTIF(#REF!, 1)</f>
        <v>#REF!</v>
      </c>
      <c r="H3" s="41" t="e">
        <f xml:space="preserve"> COUNTIF(#REF!,#REF!)</f>
        <v>#REF!</v>
      </c>
      <c r="I3" t="e">
        <f>SUM(Table9[[#This Row],[Red]:[Gray]])</f>
        <v>#REF!</v>
      </c>
      <c r="K3" t="s">
        <v>342</v>
      </c>
      <c r="L3" s="26" t="s">
        <v>343</v>
      </c>
    </row>
    <row r="4" spans="1:15" ht="15">
      <c r="A4" s="52" t="s">
        <v>395</v>
      </c>
      <c r="B4" t="s">
        <v>345</v>
      </c>
      <c r="D4" t="s">
        <v>49</v>
      </c>
      <c r="E4" t="e">
        <f xml:space="preserve"> COUNTIF(#REF!,#REF!)</f>
        <v>#REF!</v>
      </c>
      <c r="F4" t="e">
        <f xml:space="preserve"> COUNTIF(#REF!,#REF!)</f>
        <v>#REF!</v>
      </c>
      <c r="G4" t="e">
        <f xml:space="preserve"> COUNTIF(#REF!,#REF!)</f>
        <v>#REF!</v>
      </c>
      <c r="H4" s="40" t="e">
        <f>COUNTIF(#REF!,#REF!)</f>
        <v>#REF!</v>
      </c>
      <c r="I4" t="e">
        <f>SUM(Table9[[#This Row],[Red]:[Gray]])</f>
        <v>#REF!</v>
      </c>
      <c r="K4" t="s">
        <v>345</v>
      </c>
      <c r="L4" s="29" t="s">
        <v>346</v>
      </c>
    </row>
    <row r="5" spans="1:15" ht="15">
      <c r="A5" s="53" t="s">
        <v>397</v>
      </c>
      <c r="B5" t="s">
        <v>347</v>
      </c>
      <c r="D5" t="s">
        <v>50</v>
      </c>
      <c r="E5" t="e">
        <f xml:space="preserve"> COUNTIF(#REF!,#REF!)</f>
        <v>#REF!</v>
      </c>
      <c r="F5" t="e">
        <f xml:space="preserve"> COUNTIF(#REF!,#REF!)</f>
        <v>#REF!</v>
      </c>
      <c r="G5" t="e">
        <f xml:space="preserve"> COUNTIF(#REF!,#REF!)</f>
        <v>#REF!</v>
      </c>
      <c r="H5" s="41" t="e">
        <f xml:space="preserve"> COUNTIF(#REF!,#REF!)</f>
        <v>#REF!</v>
      </c>
      <c r="I5" t="e">
        <f>SUM(Table9[[#This Row],[Red]:[Gray]])</f>
        <v>#REF!</v>
      </c>
      <c r="K5" t="s">
        <v>347</v>
      </c>
      <c r="L5" s="28" t="s">
        <v>348</v>
      </c>
    </row>
    <row r="6" spans="1:15" ht="15">
      <c r="A6" s="52" t="s">
        <v>399</v>
      </c>
      <c r="B6" t="s">
        <v>350</v>
      </c>
      <c r="D6" t="s">
        <v>28</v>
      </c>
      <c r="E6" t="e">
        <f xml:space="preserve"> COUNTIF(#REF!,#REF!)</f>
        <v>#REF!</v>
      </c>
      <c r="F6" t="e">
        <f xml:space="preserve"> COUNTIF(#REF!,#REF!)</f>
        <v>#REF!</v>
      </c>
      <c r="G6" t="e">
        <f xml:space="preserve"> COUNTIF(#REF!,#REF!)</f>
        <v>#REF!</v>
      </c>
      <c r="H6" s="40" t="e">
        <f xml:space="preserve"> COUNTIF(#REF!,#REF!)</f>
        <v>#REF!</v>
      </c>
      <c r="I6" t="e">
        <f>SUM(Table9[[#This Row],[Red]:[Gray]])</f>
        <v>#REF!</v>
      </c>
      <c r="K6" t="s">
        <v>63</v>
      </c>
      <c r="L6" s="27" t="s">
        <v>349</v>
      </c>
    </row>
    <row r="7" spans="1:15" ht="15">
      <c r="A7" s="53" t="s">
        <v>401</v>
      </c>
      <c r="B7" t="s">
        <v>63</v>
      </c>
      <c r="K7" t="s">
        <v>350</v>
      </c>
      <c r="L7" s="30" t="s">
        <v>351</v>
      </c>
    </row>
    <row r="8" spans="1:15" ht="15">
      <c r="A8" s="52" t="s">
        <v>403</v>
      </c>
      <c r="B8" t="s">
        <v>352</v>
      </c>
      <c r="K8" t="s">
        <v>352</v>
      </c>
      <c r="L8" s="32" t="s">
        <v>353</v>
      </c>
    </row>
    <row r="9" spans="1:15">
      <c r="A9" s="53" t="s">
        <v>405</v>
      </c>
      <c r="B9" t="s">
        <v>339</v>
      </c>
    </row>
    <row r="10" spans="1:15">
      <c r="A10" s="52" t="s">
        <v>407</v>
      </c>
      <c r="B10" t="s">
        <v>342</v>
      </c>
    </row>
    <row r="11" spans="1:15">
      <c r="A11" s="53" t="s">
        <v>409</v>
      </c>
      <c r="B11" t="s">
        <v>345</v>
      </c>
    </row>
    <row r="12" spans="1:15">
      <c r="A12" s="65" t="s">
        <v>411</v>
      </c>
      <c r="B12" t="s">
        <v>347</v>
      </c>
    </row>
    <row r="13" spans="1:15">
      <c r="A13" s="53" t="s">
        <v>413</v>
      </c>
      <c r="B13" t="s">
        <v>63</v>
      </c>
    </row>
    <row r="14" spans="1:15">
      <c r="A14" s="65" t="s">
        <v>415</v>
      </c>
      <c r="B14" t="s">
        <v>350</v>
      </c>
    </row>
    <row r="15" spans="1:15">
      <c r="A15" s="53" t="s">
        <v>417</v>
      </c>
      <c r="B15" t="s">
        <v>352</v>
      </c>
      <c r="N15" t="s">
        <v>341</v>
      </c>
      <c r="O15">
        <f>COUNTA(Table11[Project ID])</f>
        <v>24</v>
      </c>
    </row>
    <row r="16" spans="1:15">
      <c r="A16" s="52" t="s">
        <v>419</v>
      </c>
      <c r="B16" t="s">
        <v>339</v>
      </c>
      <c r="N16" t="s">
        <v>344</v>
      </c>
      <c r="O16">
        <f>COUNTIF(Table11[Project Status], "Overdue")</f>
        <v>3</v>
      </c>
    </row>
    <row r="17" spans="1:2">
      <c r="A17" s="53" t="s">
        <v>421</v>
      </c>
      <c r="B17" t="s">
        <v>342</v>
      </c>
    </row>
    <row r="18" spans="1:2">
      <c r="A18" s="52" t="s">
        <v>423</v>
      </c>
      <c r="B18" t="s">
        <v>345</v>
      </c>
    </row>
    <row r="19" spans="1:2">
      <c r="A19" s="53" t="s">
        <v>425</v>
      </c>
      <c r="B19" t="s">
        <v>347</v>
      </c>
    </row>
    <row r="20" spans="1:2">
      <c r="A20" s="65" t="s">
        <v>428</v>
      </c>
      <c r="B20" t="s">
        <v>63</v>
      </c>
    </row>
    <row r="21" spans="1:2">
      <c r="A21" s="53" t="s">
        <v>430</v>
      </c>
      <c r="B21" t="s">
        <v>350</v>
      </c>
    </row>
    <row r="22" spans="1:2">
      <c r="A22" s="52" t="s">
        <v>432</v>
      </c>
      <c r="B22" t="s">
        <v>339</v>
      </c>
    </row>
    <row r="23" spans="1:2">
      <c r="A23" s="53" t="s">
        <v>434</v>
      </c>
      <c r="B23" t="s">
        <v>342</v>
      </c>
    </row>
    <row r="24" spans="1:2">
      <c r="A24" s="52" t="s">
        <v>436</v>
      </c>
      <c r="B24" t="s">
        <v>345</v>
      </c>
    </row>
    <row r="25" spans="1:2">
      <c r="A25" s="53" t="s">
        <v>438</v>
      </c>
      <c r="B25" t="s">
        <v>347</v>
      </c>
    </row>
  </sheetData>
  <phoneticPr fontId="4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73"/>
  <sheetViews>
    <sheetView topLeftCell="A13" workbookViewId="0">
      <selection activeCell="A2" sqref="A2"/>
    </sheetView>
  </sheetViews>
  <sheetFormatPr defaultRowHeight="14.25"/>
  <cols>
    <col min="4" max="4" width="10.375" bestFit="1" customWidth="1"/>
  </cols>
  <sheetData>
    <row r="1" spans="1:8">
      <c r="A1" t="s">
        <v>55</v>
      </c>
      <c r="B1" t="s">
        <v>440</v>
      </c>
      <c r="C1" t="s">
        <v>441</v>
      </c>
      <c r="D1" t="s">
        <v>285</v>
      </c>
      <c r="E1" t="s">
        <v>54</v>
      </c>
      <c r="F1" t="s">
        <v>459</v>
      </c>
      <c r="G1" t="s">
        <v>442</v>
      </c>
      <c r="H1" t="s">
        <v>443</v>
      </c>
    </row>
    <row r="2" spans="1:8">
      <c r="A2" s="52" t="s">
        <v>390</v>
      </c>
      <c r="B2" t="s">
        <v>445</v>
      </c>
      <c r="C2" s="1">
        <v>45083</v>
      </c>
      <c r="D2" s="1">
        <v>45278</v>
      </c>
      <c r="E2" t="s">
        <v>458</v>
      </c>
      <c r="G2" t="str">
        <f t="shared" ref="G2:G33" ca="1" si="0">IF(AND(TODAY() &gt; D2, E2 &lt;&gt; "Done"), "X", IF(AND(TODAY() &lt;= D2, TODAY() &gt;= D2 - 5, E2 &lt;&gt; "Done"), "Circle", "Checkmark"))</f>
        <v>X</v>
      </c>
      <c r="H2" t="b">
        <v>1</v>
      </c>
    </row>
    <row r="3" spans="1:8">
      <c r="A3" s="53" t="s">
        <v>390</v>
      </c>
      <c r="B3" t="s">
        <v>446</v>
      </c>
      <c r="C3" s="1">
        <v>45084</v>
      </c>
      <c r="D3" s="1">
        <v>45279</v>
      </c>
      <c r="E3" t="s">
        <v>426</v>
      </c>
      <c r="G3" t="str">
        <f t="shared" ca="1" si="0"/>
        <v>Checkmark</v>
      </c>
      <c r="H3" t="b">
        <v>0</v>
      </c>
    </row>
    <row r="4" spans="1:8">
      <c r="A4" s="52" t="s">
        <v>390</v>
      </c>
      <c r="B4" t="s">
        <v>447</v>
      </c>
      <c r="C4" s="1">
        <v>45085</v>
      </c>
      <c r="D4" s="1">
        <v>45280</v>
      </c>
      <c r="E4" t="s">
        <v>426</v>
      </c>
      <c r="G4" t="str">
        <f t="shared" ca="1" si="0"/>
        <v>Checkmark</v>
      </c>
      <c r="H4" t="b">
        <v>1</v>
      </c>
    </row>
    <row r="5" spans="1:8">
      <c r="A5" t="s">
        <v>393</v>
      </c>
      <c r="B5" t="s">
        <v>448</v>
      </c>
      <c r="C5" s="1">
        <v>45426</v>
      </c>
      <c r="D5" s="1">
        <v>45653</v>
      </c>
      <c r="E5" t="s">
        <v>458</v>
      </c>
      <c r="G5" t="str">
        <f t="shared" ca="1" si="0"/>
        <v>Checkmark</v>
      </c>
      <c r="H5" t="b">
        <v>0</v>
      </c>
    </row>
    <row r="6" spans="1:8">
      <c r="A6" t="s">
        <v>393</v>
      </c>
      <c r="B6" t="s">
        <v>449</v>
      </c>
      <c r="C6" s="1">
        <v>45427</v>
      </c>
      <c r="D6" s="1">
        <v>45654</v>
      </c>
      <c r="E6" t="s">
        <v>458</v>
      </c>
      <c r="G6" t="str">
        <f t="shared" ca="1" si="0"/>
        <v>Checkmark</v>
      </c>
      <c r="H6" t="b">
        <v>0</v>
      </c>
    </row>
    <row r="7" spans="1:8">
      <c r="A7" t="s">
        <v>393</v>
      </c>
      <c r="B7" t="s">
        <v>450</v>
      </c>
      <c r="C7" s="1">
        <v>45428</v>
      </c>
      <c r="D7" s="1">
        <v>45655</v>
      </c>
      <c r="E7" t="s">
        <v>458</v>
      </c>
      <c r="G7" t="str">
        <f t="shared" ca="1" si="0"/>
        <v>Checkmark</v>
      </c>
      <c r="H7" t="b">
        <v>0</v>
      </c>
    </row>
    <row r="8" spans="1:8">
      <c r="A8" t="s">
        <v>395</v>
      </c>
      <c r="B8" t="s">
        <v>451</v>
      </c>
      <c r="C8" s="1">
        <v>45476</v>
      </c>
      <c r="D8" s="1">
        <v>45654</v>
      </c>
      <c r="E8" t="s">
        <v>339</v>
      </c>
      <c r="G8" t="str">
        <f t="shared" ca="1" si="0"/>
        <v>Checkmark</v>
      </c>
      <c r="H8" t="b">
        <v>1</v>
      </c>
    </row>
    <row r="9" spans="1:8">
      <c r="A9" t="s">
        <v>395</v>
      </c>
      <c r="B9" t="s">
        <v>452</v>
      </c>
      <c r="C9" s="1">
        <v>45477</v>
      </c>
      <c r="D9" s="1">
        <v>45655</v>
      </c>
      <c r="E9" t="s">
        <v>458</v>
      </c>
      <c r="G9" t="str">
        <f t="shared" ca="1" si="0"/>
        <v>Checkmark</v>
      </c>
      <c r="H9" t="b">
        <v>0</v>
      </c>
    </row>
    <row r="10" spans="1:8">
      <c r="A10" t="s">
        <v>395</v>
      </c>
      <c r="B10" t="s">
        <v>453</v>
      </c>
      <c r="C10" s="1">
        <v>45478</v>
      </c>
      <c r="D10" s="1">
        <v>45656</v>
      </c>
      <c r="E10" t="s">
        <v>458</v>
      </c>
      <c r="G10" t="str">
        <f t="shared" ca="1" si="0"/>
        <v>Checkmark</v>
      </c>
      <c r="H10" t="b">
        <v>1</v>
      </c>
    </row>
    <row r="11" spans="1:8">
      <c r="A11" t="s">
        <v>397</v>
      </c>
      <c r="B11" t="s">
        <v>454</v>
      </c>
      <c r="C11" s="1">
        <v>45292</v>
      </c>
      <c r="D11" s="1">
        <v>45657</v>
      </c>
      <c r="E11" t="s">
        <v>458</v>
      </c>
      <c r="G11" t="str">
        <f t="shared" ca="1" si="0"/>
        <v>Checkmark</v>
      </c>
      <c r="H11" t="b">
        <v>1</v>
      </c>
    </row>
    <row r="12" spans="1:8">
      <c r="A12" t="s">
        <v>397</v>
      </c>
      <c r="B12" t="s">
        <v>445</v>
      </c>
      <c r="C12" s="1">
        <v>45293</v>
      </c>
      <c r="D12" s="1">
        <v>45658</v>
      </c>
      <c r="E12" t="s">
        <v>426</v>
      </c>
      <c r="G12" t="str">
        <f t="shared" ca="1" si="0"/>
        <v>Checkmark</v>
      </c>
      <c r="H12" t="b">
        <v>0</v>
      </c>
    </row>
    <row r="13" spans="1:8">
      <c r="A13" t="s">
        <v>397</v>
      </c>
      <c r="B13" t="s">
        <v>446</v>
      </c>
      <c r="C13" s="1">
        <v>45294</v>
      </c>
      <c r="D13" s="1">
        <v>45659</v>
      </c>
      <c r="E13" t="s">
        <v>426</v>
      </c>
      <c r="G13" t="str">
        <f t="shared" ca="1" si="0"/>
        <v>Checkmark</v>
      </c>
      <c r="H13" t="b">
        <v>1</v>
      </c>
    </row>
    <row r="14" spans="1:8">
      <c r="A14" t="s">
        <v>399</v>
      </c>
      <c r="B14" t="s">
        <v>447</v>
      </c>
      <c r="C14" s="1">
        <v>45474</v>
      </c>
      <c r="D14" s="1">
        <v>45657</v>
      </c>
      <c r="E14" t="s">
        <v>458</v>
      </c>
      <c r="G14" t="str">
        <f t="shared" ca="1" si="0"/>
        <v>Checkmark</v>
      </c>
      <c r="H14" t="b">
        <v>0</v>
      </c>
    </row>
    <row r="15" spans="1:8">
      <c r="A15" t="s">
        <v>399</v>
      </c>
      <c r="B15" t="s">
        <v>448</v>
      </c>
      <c r="C15" s="1">
        <v>45475</v>
      </c>
      <c r="D15" s="1">
        <v>45658</v>
      </c>
      <c r="E15" t="s">
        <v>339</v>
      </c>
      <c r="G15" t="str">
        <f t="shared" ca="1" si="0"/>
        <v>Checkmark</v>
      </c>
      <c r="H15" t="b">
        <v>0</v>
      </c>
    </row>
    <row r="16" spans="1:8">
      <c r="A16" t="s">
        <v>399</v>
      </c>
      <c r="B16" t="s">
        <v>449</v>
      </c>
      <c r="C16" s="1">
        <v>45476</v>
      </c>
      <c r="D16" s="1">
        <v>45659</v>
      </c>
      <c r="E16" t="s">
        <v>426</v>
      </c>
      <c r="G16" t="str">
        <f t="shared" ca="1" si="0"/>
        <v>Checkmark</v>
      </c>
      <c r="H16" t="b">
        <v>0</v>
      </c>
    </row>
    <row r="17" spans="1:8">
      <c r="A17" t="s">
        <v>401</v>
      </c>
      <c r="B17" t="s">
        <v>450</v>
      </c>
      <c r="C17" s="1">
        <v>45476</v>
      </c>
      <c r="D17" s="47" t="s">
        <v>455</v>
      </c>
      <c r="E17" t="s">
        <v>426</v>
      </c>
      <c r="G17" t="e">
        <f t="shared" ca="1" si="0"/>
        <v>#VALUE!</v>
      </c>
      <c r="H17" t="b">
        <v>1</v>
      </c>
    </row>
    <row r="18" spans="1:8">
      <c r="A18" t="s">
        <v>401</v>
      </c>
      <c r="B18" t="s">
        <v>451</v>
      </c>
      <c r="C18" s="1">
        <v>45477</v>
      </c>
      <c r="D18" s="47" t="s">
        <v>456</v>
      </c>
      <c r="E18" t="s">
        <v>458</v>
      </c>
      <c r="G18" t="e">
        <f t="shared" ca="1" si="0"/>
        <v>#VALUE!</v>
      </c>
      <c r="H18" t="b">
        <v>0</v>
      </c>
    </row>
    <row r="19" spans="1:8">
      <c r="A19" t="s">
        <v>401</v>
      </c>
      <c r="B19" t="s">
        <v>452</v>
      </c>
      <c r="C19" s="1">
        <v>45478</v>
      </c>
      <c r="D19" s="47" t="s">
        <v>457</v>
      </c>
      <c r="E19" t="s">
        <v>458</v>
      </c>
      <c r="G19" t="e">
        <f t="shared" ca="1" si="0"/>
        <v>#VALUE!</v>
      </c>
      <c r="H19" t="b">
        <v>1</v>
      </c>
    </row>
    <row r="20" spans="1:8">
      <c r="A20" t="s">
        <v>403</v>
      </c>
      <c r="B20" t="s">
        <v>453</v>
      </c>
      <c r="C20" s="1">
        <v>45141</v>
      </c>
      <c r="D20" s="1">
        <v>45704</v>
      </c>
      <c r="E20" t="s">
        <v>458</v>
      </c>
      <c r="G20" t="str">
        <f t="shared" ca="1" si="0"/>
        <v>Checkmark</v>
      </c>
      <c r="H20" t="b">
        <v>1</v>
      </c>
    </row>
    <row r="21" spans="1:8">
      <c r="A21" t="s">
        <v>403</v>
      </c>
      <c r="B21" t="s">
        <v>454</v>
      </c>
      <c r="C21" s="1">
        <v>45142</v>
      </c>
      <c r="D21" s="1">
        <v>45705</v>
      </c>
      <c r="E21" t="s">
        <v>426</v>
      </c>
      <c r="G21" t="str">
        <f t="shared" ca="1" si="0"/>
        <v>Checkmark</v>
      </c>
      <c r="H21" t="b">
        <v>0</v>
      </c>
    </row>
    <row r="22" spans="1:8">
      <c r="A22" t="s">
        <v>403</v>
      </c>
      <c r="B22" t="s">
        <v>445</v>
      </c>
      <c r="C22" s="1">
        <v>45143</v>
      </c>
      <c r="D22" s="1">
        <v>45706</v>
      </c>
      <c r="E22" t="s">
        <v>426</v>
      </c>
      <c r="G22" t="str">
        <f t="shared" ca="1" si="0"/>
        <v>Checkmark</v>
      </c>
      <c r="H22" t="b">
        <v>1</v>
      </c>
    </row>
    <row r="23" spans="1:8">
      <c r="A23" t="s">
        <v>405</v>
      </c>
      <c r="B23" t="s">
        <v>446</v>
      </c>
      <c r="C23" s="1">
        <v>45504</v>
      </c>
      <c r="D23" s="1">
        <v>45747</v>
      </c>
      <c r="E23" t="s">
        <v>458</v>
      </c>
      <c r="G23" t="str">
        <f t="shared" ca="1" si="0"/>
        <v>Checkmark</v>
      </c>
      <c r="H23" t="b">
        <v>1</v>
      </c>
    </row>
    <row r="24" spans="1:8">
      <c r="A24" t="s">
        <v>405</v>
      </c>
      <c r="B24" t="s">
        <v>447</v>
      </c>
      <c r="C24" s="1">
        <v>45505</v>
      </c>
      <c r="D24" s="1">
        <v>45748</v>
      </c>
      <c r="E24" t="s">
        <v>339</v>
      </c>
      <c r="G24" t="str">
        <f t="shared" ca="1" si="0"/>
        <v>Checkmark</v>
      </c>
      <c r="H24" t="b">
        <v>1</v>
      </c>
    </row>
    <row r="25" spans="1:8">
      <c r="A25" t="s">
        <v>405</v>
      </c>
      <c r="B25" t="s">
        <v>448</v>
      </c>
      <c r="C25" s="1">
        <v>45506</v>
      </c>
      <c r="D25" s="1">
        <v>45749</v>
      </c>
      <c r="E25" t="s">
        <v>339</v>
      </c>
      <c r="G25" t="str">
        <f t="shared" ca="1" si="0"/>
        <v>Checkmark</v>
      </c>
      <c r="H25" t="b">
        <v>0</v>
      </c>
    </row>
    <row r="26" spans="1:8">
      <c r="A26" t="s">
        <v>407</v>
      </c>
      <c r="B26" t="s">
        <v>449</v>
      </c>
      <c r="C26" s="1">
        <v>45383</v>
      </c>
      <c r="D26" s="1">
        <v>45992</v>
      </c>
      <c r="E26" t="s">
        <v>426</v>
      </c>
      <c r="G26" t="str">
        <f t="shared" ca="1" si="0"/>
        <v>Checkmark</v>
      </c>
      <c r="H26" t="b">
        <v>1</v>
      </c>
    </row>
    <row r="27" spans="1:8">
      <c r="A27" t="s">
        <v>407</v>
      </c>
      <c r="B27" t="s">
        <v>450</v>
      </c>
      <c r="C27" s="1">
        <v>45384</v>
      </c>
      <c r="D27" s="1">
        <v>45993</v>
      </c>
      <c r="E27" t="s">
        <v>426</v>
      </c>
      <c r="G27" t="str">
        <f t="shared" ca="1" si="0"/>
        <v>Checkmark</v>
      </c>
      <c r="H27" t="b">
        <v>1</v>
      </c>
    </row>
    <row r="28" spans="1:8">
      <c r="A28" t="s">
        <v>407</v>
      </c>
      <c r="B28" t="s">
        <v>451</v>
      </c>
      <c r="C28" s="1">
        <v>45385</v>
      </c>
      <c r="D28" s="1">
        <v>45994</v>
      </c>
      <c r="E28" t="s">
        <v>426</v>
      </c>
      <c r="G28" t="str">
        <f t="shared" ca="1" si="0"/>
        <v>Checkmark</v>
      </c>
      <c r="H28" t="b">
        <v>1</v>
      </c>
    </row>
    <row r="29" spans="1:8">
      <c r="A29" t="s">
        <v>409</v>
      </c>
      <c r="B29" t="s">
        <v>452</v>
      </c>
      <c r="C29" s="1">
        <v>45383</v>
      </c>
      <c r="D29" s="1">
        <v>46265</v>
      </c>
      <c r="E29" t="s">
        <v>426</v>
      </c>
      <c r="G29" t="str">
        <f t="shared" ca="1" si="0"/>
        <v>Checkmark</v>
      </c>
      <c r="H29" t="b">
        <v>0</v>
      </c>
    </row>
    <row r="30" spans="1:8">
      <c r="A30" t="s">
        <v>409</v>
      </c>
      <c r="B30" t="s">
        <v>453</v>
      </c>
      <c r="C30" s="1">
        <v>45384</v>
      </c>
      <c r="D30" s="1">
        <v>46266</v>
      </c>
      <c r="E30" t="s">
        <v>426</v>
      </c>
      <c r="G30" t="str">
        <f t="shared" ca="1" si="0"/>
        <v>Checkmark</v>
      </c>
      <c r="H30" t="b">
        <v>1</v>
      </c>
    </row>
    <row r="31" spans="1:8">
      <c r="A31" t="s">
        <v>409</v>
      </c>
      <c r="B31" t="s">
        <v>454</v>
      </c>
      <c r="C31" s="1">
        <v>45385</v>
      </c>
      <c r="D31" s="1">
        <v>46267</v>
      </c>
      <c r="E31" t="s">
        <v>426</v>
      </c>
      <c r="G31" t="str">
        <f t="shared" ca="1" si="0"/>
        <v>Checkmark</v>
      </c>
      <c r="H31" t="b">
        <v>1</v>
      </c>
    </row>
    <row r="32" spans="1:8">
      <c r="A32" t="s">
        <v>411</v>
      </c>
      <c r="B32" t="s">
        <v>445</v>
      </c>
      <c r="C32" s="1">
        <v>45435</v>
      </c>
      <c r="D32" s="1">
        <v>46387</v>
      </c>
      <c r="E32" t="s">
        <v>458</v>
      </c>
      <c r="G32" t="str">
        <f t="shared" ca="1" si="0"/>
        <v>Checkmark</v>
      </c>
      <c r="H32" t="b">
        <v>1</v>
      </c>
    </row>
    <row r="33" spans="1:8">
      <c r="A33" t="s">
        <v>411</v>
      </c>
      <c r="B33" t="s">
        <v>446</v>
      </c>
      <c r="C33" s="1">
        <v>45436</v>
      </c>
      <c r="D33" s="1">
        <v>46388</v>
      </c>
      <c r="E33" t="s">
        <v>458</v>
      </c>
      <c r="G33" t="str">
        <f t="shared" ca="1" si="0"/>
        <v>Checkmark</v>
      </c>
      <c r="H33" t="b">
        <v>0</v>
      </c>
    </row>
    <row r="34" spans="1:8">
      <c r="A34" t="s">
        <v>411</v>
      </c>
      <c r="B34" t="s">
        <v>447</v>
      </c>
      <c r="C34" s="1">
        <v>45437</v>
      </c>
      <c r="D34" s="1">
        <v>46389</v>
      </c>
      <c r="E34" t="s">
        <v>458</v>
      </c>
      <c r="G34" t="str">
        <f t="shared" ref="G34:G65" ca="1" si="1">IF(AND(TODAY() &gt; D34, E34 &lt;&gt; "Done"), "X", IF(AND(TODAY() &lt;= D34, TODAY() &gt;= D34 - 5, E34 &lt;&gt; "Done"), "Circle", "Checkmark"))</f>
        <v>Checkmark</v>
      </c>
      <c r="H34" t="b">
        <v>1</v>
      </c>
    </row>
    <row r="35" spans="1:8">
      <c r="A35" t="s">
        <v>413</v>
      </c>
      <c r="B35" t="s">
        <v>448</v>
      </c>
      <c r="C35" s="1">
        <v>45474</v>
      </c>
      <c r="D35" s="1">
        <v>46022</v>
      </c>
      <c r="E35" t="s">
        <v>458</v>
      </c>
      <c r="G35" t="str">
        <f t="shared" ca="1" si="1"/>
        <v>Checkmark</v>
      </c>
      <c r="H35" t="b">
        <v>1</v>
      </c>
    </row>
    <row r="36" spans="1:8">
      <c r="A36" t="s">
        <v>413</v>
      </c>
      <c r="B36" t="s">
        <v>449</v>
      </c>
      <c r="C36" s="1">
        <v>45475</v>
      </c>
      <c r="D36" s="1">
        <v>46023</v>
      </c>
      <c r="E36" t="s">
        <v>339</v>
      </c>
      <c r="G36" t="str">
        <f t="shared" ca="1" si="1"/>
        <v>Checkmark</v>
      </c>
      <c r="H36" t="b">
        <v>1</v>
      </c>
    </row>
    <row r="37" spans="1:8">
      <c r="A37" t="s">
        <v>413</v>
      </c>
      <c r="B37" t="s">
        <v>450</v>
      </c>
      <c r="C37" s="1">
        <v>45476</v>
      </c>
      <c r="D37" s="1">
        <v>46024</v>
      </c>
      <c r="E37" t="s">
        <v>458</v>
      </c>
      <c r="G37" t="str">
        <f t="shared" ca="1" si="1"/>
        <v>Checkmark</v>
      </c>
      <c r="H37" t="b">
        <v>0</v>
      </c>
    </row>
    <row r="38" spans="1:8">
      <c r="A38" t="s">
        <v>415</v>
      </c>
      <c r="B38" t="s">
        <v>451</v>
      </c>
      <c r="C38" s="1">
        <v>45476</v>
      </c>
      <c r="D38" s="1">
        <v>46116</v>
      </c>
      <c r="E38" t="s">
        <v>339</v>
      </c>
      <c r="G38" t="str">
        <f t="shared" ca="1" si="1"/>
        <v>Checkmark</v>
      </c>
      <c r="H38" t="b">
        <v>1</v>
      </c>
    </row>
    <row r="39" spans="1:8">
      <c r="A39" t="s">
        <v>415</v>
      </c>
      <c r="B39" t="s">
        <v>452</v>
      </c>
      <c r="C39" s="1">
        <v>45477</v>
      </c>
      <c r="D39" s="1">
        <v>46117</v>
      </c>
      <c r="E39" t="s">
        <v>339</v>
      </c>
      <c r="G39" t="str">
        <f t="shared" ca="1" si="1"/>
        <v>Checkmark</v>
      </c>
      <c r="H39" t="b">
        <v>0</v>
      </c>
    </row>
    <row r="40" spans="1:8">
      <c r="A40" t="s">
        <v>415</v>
      </c>
      <c r="B40" t="s">
        <v>453</v>
      </c>
      <c r="C40" s="1">
        <v>45478</v>
      </c>
      <c r="D40" s="1">
        <v>46118</v>
      </c>
      <c r="E40" t="s">
        <v>339</v>
      </c>
      <c r="G40" t="str">
        <f t="shared" ca="1" si="1"/>
        <v>Checkmark</v>
      </c>
      <c r="H40" t="b">
        <v>1</v>
      </c>
    </row>
    <row r="41" spans="1:8">
      <c r="A41" t="s">
        <v>417</v>
      </c>
      <c r="B41" t="s">
        <v>454</v>
      </c>
      <c r="C41" s="1">
        <v>45505</v>
      </c>
      <c r="D41" s="1">
        <v>46265</v>
      </c>
      <c r="E41" t="s">
        <v>339</v>
      </c>
      <c r="G41" t="str">
        <f t="shared" ca="1" si="1"/>
        <v>Checkmark</v>
      </c>
      <c r="H41" t="b">
        <v>0</v>
      </c>
    </row>
    <row r="42" spans="1:8">
      <c r="A42" t="s">
        <v>417</v>
      </c>
      <c r="B42" t="s">
        <v>445</v>
      </c>
      <c r="C42" s="1">
        <v>45506</v>
      </c>
      <c r="D42" s="1">
        <v>46266</v>
      </c>
      <c r="E42" t="s">
        <v>458</v>
      </c>
      <c r="G42" t="str">
        <f t="shared" ca="1" si="1"/>
        <v>Checkmark</v>
      </c>
      <c r="H42" t="b">
        <v>1</v>
      </c>
    </row>
    <row r="43" spans="1:8">
      <c r="A43" t="s">
        <v>417</v>
      </c>
      <c r="B43" t="s">
        <v>446</v>
      </c>
      <c r="C43" s="1">
        <v>45507</v>
      </c>
      <c r="D43" s="1">
        <v>46267</v>
      </c>
      <c r="E43" t="s">
        <v>458</v>
      </c>
      <c r="G43" t="str">
        <f t="shared" ca="1" si="1"/>
        <v>Checkmark</v>
      </c>
      <c r="H43" t="b">
        <v>0</v>
      </c>
    </row>
    <row r="44" spans="1:8">
      <c r="A44" t="s">
        <v>419</v>
      </c>
      <c r="B44" t="s">
        <v>447</v>
      </c>
      <c r="C44" s="1">
        <v>45658</v>
      </c>
      <c r="D44" s="1">
        <v>46387</v>
      </c>
      <c r="E44" t="s">
        <v>339</v>
      </c>
      <c r="G44" t="str">
        <f t="shared" ca="1" si="1"/>
        <v>Checkmark</v>
      </c>
      <c r="H44" t="b">
        <v>0</v>
      </c>
    </row>
    <row r="45" spans="1:8">
      <c r="A45" t="s">
        <v>419</v>
      </c>
      <c r="B45" t="s">
        <v>448</v>
      </c>
      <c r="C45" s="1">
        <v>45659</v>
      </c>
      <c r="D45" s="1">
        <v>46388</v>
      </c>
      <c r="E45" t="s">
        <v>339</v>
      </c>
      <c r="G45" t="str">
        <f t="shared" ca="1" si="1"/>
        <v>Checkmark</v>
      </c>
      <c r="H45" t="b">
        <v>1</v>
      </c>
    </row>
    <row r="46" spans="1:8">
      <c r="A46" t="s">
        <v>419</v>
      </c>
      <c r="B46" t="s">
        <v>449</v>
      </c>
      <c r="C46" s="1">
        <v>45660</v>
      </c>
      <c r="D46" s="1">
        <v>46389</v>
      </c>
      <c r="E46" t="s">
        <v>339</v>
      </c>
      <c r="G46" t="str">
        <f t="shared" ca="1" si="1"/>
        <v>Checkmark</v>
      </c>
      <c r="H46" t="b">
        <v>0</v>
      </c>
    </row>
    <row r="47" spans="1:8">
      <c r="A47" t="s">
        <v>421</v>
      </c>
      <c r="B47" t="s">
        <v>450</v>
      </c>
      <c r="C47" s="1">
        <v>45292</v>
      </c>
      <c r="D47" s="1">
        <v>46387</v>
      </c>
      <c r="E47" t="s">
        <v>458</v>
      </c>
      <c r="G47" t="str">
        <f t="shared" ca="1" si="1"/>
        <v>Checkmark</v>
      </c>
      <c r="H47" t="b">
        <v>0</v>
      </c>
    </row>
    <row r="48" spans="1:8">
      <c r="A48" t="s">
        <v>421</v>
      </c>
      <c r="B48" t="s">
        <v>451</v>
      </c>
      <c r="C48" s="1">
        <v>45293</v>
      </c>
      <c r="D48" s="1">
        <v>46388</v>
      </c>
      <c r="E48" t="s">
        <v>426</v>
      </c>
      <c r="G48" t="str">
        <f t="shared" ca="1" si="1"/>
        <v>Checkmark</v>
      </c>
      <c r="H48" t="b">
        <v>1</v>
      </c>
    </row>
    <row r="49" spans="1:8">
      <c r="A49" t="s">
        <v>421</v>
      </c>
      <c r="B49" t="s">
        <v>452</v>
      </c>
      <c r="C49" s="1">
        <v>45294</v>
      </c>
      <c r="D49" s="1">
        <v>46389</v>
      </c>
      <c r="E49" t="s">
        <v>426</v>
      </c>
      <c r="G49" t="str">
        <f t="shared" ca="1" si="1"/>
        <v>Checkmark</v>
      </c>
      <c r="H49" t="b">
        <v>0</v>
      </c>
    </row>
    <row r="50" spans="1:8">
      <c r="A50" t="s">
        <v>423</v>
      </c>
      <c r="B50" t="s">
        <v>453</v>
      </c>
      <c r="C50" s="1">
        <v>45505</v>
      </c>
      <c r="D50" s="1">
        <v>46265</v>
      </c>
      <c r="E50" t="s">
        <v>339</v>
      </c>
      <c r="G50" t="str">
        <f t="shared" ca="1" si="1"/>
        <v>Checkmark</v>
      </c>
      <c r="H50" t="b">
        <v>0</v>
      </c>
    </row>
    <row r="51" spans="1:8">
      <c r="A51" t="s">
        <v>423</v>
      </c>
      <c r="B51" t="s">
        <v>454</v>
      </c>
      <c r="C51" s="1">
        <v>45506</v>
      </c>
      <c r="D51" s="1">
        <v>46266</v>
      </c>
      <c r="E51" t="s">
        <v>339</v>
      </c>
      <c r="G51" t="str">
        <f t="shared" ca="1" si="1"/>
        <v>Checkmark</v>
      </c>
      <c r="H51" t="b">
        <v>1</v>
      </c>
    </row>
    <row r="52" spans="1:8">
      <c r="A52" t="s">
        <v>423</v>
      </c>
      <c r="B52" t="s">
        <v>445</v>
      </c>
      <c r="C52" s="1">
        <v>45507</v>
      </c>
      <c r="D52" s="1">
        <v>46267</v>
      </c>
      <c r="E52" t="s">
        <v>339</v>
      </c>
      <c r="G52" t="str">
        <f t="shared" ca="1" si="1"/>
        <v>Checkmark</v>
      </c>
      <c r="H52" t="b">
        <v>0</v>
      </c>
    </row>
    <row r="53" spans="1:8">
      <c r="A53" t="s">
        <v>425</v>
      </c>
      <c r="B53" t="s">
        <v>446</v>
      </c>
      <c r="C53" s="1">
        <v>45658</v>
      </c>
      <c r="D53" s="1">
        <v>45688</v>
      </c>
      <c r="E53" t="s">
        <v>339</v>
      </c>
      <c r="G53" t="str">
        <f t="shared" ca="1" si="1"/>
        <v>Checkmark</v>
      </c>
      <c r="H53" t="b">
        <v>0</v>
      </c>
    </row>
    <row r="54" spans="1:8">
      <c r="A54" t="s">
        <v>425</v>
      </c>
      <c r="B54" t="s">
        <v>447</v>
      </c>
      <c r="C54" s="1">
        <v>45659</v>
      </c>
      <c r="D54" s="1">
        <v>45689</v>
      </c>
      <c r="E54" t="s">
        <v>339</v>
      </c>
      <c r="G54" t="str">
        <f t="shared" ca="1" si="1"/>
        <v>Checkmark</v>
      </c>
      <c r="H54" t="b">
        <v>1</v>
      </c>
    </row>
    <row r="55" spans="1:8">
      <c r="A55" t="s">
        <v>425</v>
      </c>
      <c r="B55" t="s">
        <v>448</v>
      </c>
      <c r="C55" s="1">
        <v>45660</v>
      </c>
      <c r="D55" s="1">
        <v>45690</v>
      </c>
      <c r="E55" t="s">
        <v>339</v>
      </c>
      <c r="G55" t="str">
        <f t="shared" ca="1" si="1"/>
        <v>Checkmark</v>
      </c>
      <c r="H55" t="b">
        <v>0</v>
      </c>
    </row>
    <row r="56" spans="1:8">
      <c r="A56" t="s">
        <v>428</v>
      </c>
      <c r="B56" t="s">
        <v>449</v>
      </c>
      <c r="C56" s="1">
        <v>45641</v>
      </c>
      <c r="D56" s="1">
        <v>45809</v>
      </c>
      <c r="E56" t="s">
        <v>339</v>
      </c>
      <c r="G56" t="str">
        <f t="shared" ca="1" si="1"/>
        <v>Checkmark</v>
      </c>
      <c r="H56" t="b">
        <v>0</v>
      </c>
    </row>
    <row r="57" spans="1:8">
      <c r="A57" t="s">
        <v>428</v>
      </c>
      <c r="B57" t="s">
        <v>450</v>
      </c>
      <c r="C57" s="1">
        <v>45642</v>
      </c>
      <c r="D57" s="1">
        <v>45810</v>
      </c>
      <c r="E57" t="s">
        <v>339</v>
      </c>
      <c r="G57" t="str">
        <f t="shared" ca="1" si="1"/>
        <v>Checkmark</v>
      </c>
      <c r="H57" t="b">
        <v>1</v>
      </c>
    </row>
    <row r="58" spans="1:8">
      <c r="A58" t="s">
        <v>428</v>
      </c>
      <c r="B58" t="s">
        <v>451</v>
      </c>
      <c r="C58" s="1">
        <v>45643</v>
      </c>
      <c r="D58" s="1">
        <v>45811</v>
      </c>
      <c r="E58" t="s">
        <v>458</v>
      </c>
      <c r="G58" t="str">
        <f t="shared" ca="1" si="1"/>
        <v>Checkmark</v>
      </c>
      <c r="H58" t="b">
        <v>0</v>
      </c>
    </row>
    <row r="59" spans="1:8">
      <c r="A59" t="s">
        <v>430</v>
      </c>
      <c r="B59" t="s">
        <v>452</v>
      </c>
      <c r="C59" s="1">
        <v>45505</v>
      </c>
      <c r="D59" s="1">
        <v>45870</v>
      </c>
      <c r="E59" t="s">
        <v>426</v>
      </c>
      <c r="G59" t="str">
        <f t="shared" ca="1" si="1"/>
        <v>Checkmark</v>
      </c>
      <c r="H59" t="b">
        <v>0</v>
      </c>
    </row>
    <row r="60" spans="1:8">
      <c r="A60" t="s">
        <v>430</v>
      </c>
      <c r="B60" t="s">
        <v>453</v>
      </c>
      <c r="C60" s="1">
        <v>45506</v>
      </c>
      <c r="D60" s="1">
        <v>45871</v>
      </c>
      <c r="E60" t="s">
        <v>426</v>
      </c>
      <c r="G60" t="str">
        <f t="shared" ca="1" si="1"/>
        <v>Checkmark</v>
      </c>
      <c r="H60" t="b">
        <v>1</v>
      </c>
    </row>
    <row r="61" spans="1:8">
      <c r="A61" t="s">
        <v>430</v>
      </c>
      <c r="B61" t="s">
        <v>454</v>
      </c>
      <c r="C61" s="1">
        <v>45507</v>
      </c>
      <c r="D61" s="1">
        <v>45872</v>
      </c>
      <c r="E61" t="s">
        <v>426</v>
      </c>
      <c r="G61" t="str">
        <f t="shared" ca="1" si="1"/>
        <v>Checkmark</v>
      </c>
      <c r="H61" t="b">
        <v>0</v>
      </c>
    </row>
    <row r="62" spans="1:8">
      <c r="A62" t="s">
        <v>432</v>
      </c>
      <c r="C62" s="1"/>
      <c r="D62" s="1"/>
      <c r="G62" t="str">
        <f t="shared" ca="1" si="1"/>
        <v>X</v>
      </c>
    </row>
    <row r="63" spans="1:8">
      <c r="A63" t="s">
        <v>432</v>
      </c>
      <c r="C63" s="1"/>
      <c r="D63" s="1"/>
      <c r="G63" t="str">
        <f t="shared" ca="1" si="1"/>
        <v>X</v>
      </c>
    </row>
    <row r="64" spans="1:8">
      <c r="A64" t="s">
        <v>432</v>
      </c>
      <c r="C64" s="1"/>
      <c r="D64" s="1"/>
      <c r="G64" t="str">
        <f t="shared" ca="1" si="1"/>
        <v>X</v>
      </c>
    </row>
    <row r="65" spans="1:7">
      <c r="A65" t="s">
        <v>434</v>
      </c>
      <c r="C65" s="1"/>
      <c r="D65" s="1"/>
      <c r="G65" t="str">
        <f t="shared" ca="1" si="1"/>
        <v>X</v>
      </c>
    </row>
    <row r="66" spans="1:7">
      <c r="A66" t="s">
        <v>434</v>
      </c>
      <c r="C66" s="1"/>
      <c r="D66" s="1"/>
      <c r="G66" t="str">
        <f t="shared" ref="G66:G73" ca="1" si="2">IF(AND(TODAY() &gt; D66, E66 &lt;&gt; "Done"), "X", IF(AND(TODAY() &lt;= D66, TODAY() &gt;= D66 - 5, E66 &lt;&gt; "Done"), "Circle", "Checkmark"))</f>
        <v>X</v>
      </c>
    </row>
    <row r="67" spans="1:7">
      <c r="A67" t="s">
        <v>434</v>
      </c>
      <c r="C67" s="1"/>
      <c r="D67" s="1"/>
      <c r="G67" t="str">
        <f t="shared" ca="1" si="2"/>
        <v>X</v>
      </c>
    </row>
    <row r="68" spans="1:7">
      <c r="A68" t="s">
        <v>436</v>
      </c>
      <c r="C68" s="1"/>
      <c r="D68" s="1"/>
      <c r="G68" t="str">
        <f t="shared" ca="1" si="2"/>
        <v>X</v>
      </c>
    </row>
    <row r="69" spans="1:7">
      <c r="A69" t="s">
        <v>436</v>
      </c>
      <c r="C69" s="1"/>
      <c r="D69" s="1"/>
      <c r="G69" t="str">
        <f t="shared" ca="1" si="2"/>
        <v>X</v>
      </c>
    </row>
    <row r="70" spans="1:7">
      <c r="A70" t="s">
        <v>436</v>
      </c>
      <c r="C70" s="1"/>
      <c r="D70" s="1"/>
      <c r="G70" t="str">
        <f t="shared" ca="1" si="2"/>
        <v>X</v>
      </c>
    </row>
    <row r="71" spans="1:7">
      <c r="A71" t="s">
        <v>438</v>
      </c>
      <c r="C71" s="1"/>
      <c r="D71" s="1"/>
      <c r="G71" t="str">
        <f t="shared" ca="1" si="2"/>
        <v>X</v>
      </c>
    </row>
    <row r="72" spans="1:7">
      <c r="A72" t="s">
        <v>438</v>
      </c>
      <c r="C72" s="1"/>
      <c r="D72" s="1"/>
      <c r="G72" t="str">
        <f t="shared" ca="1" si="2"/>
        <v>X</v>
      </c>
    </row>
    <row r="73" spans="1:7">
      <c r="A73" t="s">
        <v>438</v>
      </c>
      <c r="C73" s="1"/>
      <c r="D73" s="1"/>
      <c r="G73" t="str">
        <f t="shared" ca="1" si="2"/>
        <v>X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C25"/>
  <sheetViews>
    <sheetView workbookViewId="0">
      <selection activeCell="AA15" sqref="AA15"/>
    </sheetView>
  </sheetViews>
  <sheetFormatPr defaultRowHeight="14.25"/>
  <cols>
    <col min="1" max="1" width="19.625" bestFit="1" customWidth="1"/>
    <col min="2" max="2" width="13.875" bestFit="1" customWidth="1"/>
    <col min="3" max="3" width="16" bestFit="1" customWidth="1"/>
    <col min="4" max="4" width="14" bestFit="1" customWidth="1"/>
    <col min="5" max="5" width="11.25" bestFit="1" customWidth="1"/>
    <col min="6" max="6" width="18.375" bestFit="1" customWidth="1"/>
    <col min="7" max="7" width="13" bestFit="1" customWidth="1"/>
    <col min="8" max="8" width="23.125" bestFit="1" customWidth="1"/>
    <col min="9" max="9" width="20.75" bestFit="1" customWidth="1"/>
    <col min="10" max="10" width="23.25" bestFit="1" customWidth="1"/>
    <col min="11" max="11" width="15" bestFit="1" customWidth="1"/>
    <col min="12" max="20" width="13.25" bestFit="1" customWidth="1"/>
    <col min="21" max="21" width="14.25" bestFit="1" customWidth="1"/>
    <col min="22" max="22" width="18.375" bestFit="1" customWidth="1"/>
    <col min="23" max="26" width="5.75" bestFit="1" customWidth="1"/>
    <col min="27" max="27" width="16" bestFit="1" customWidth="1"/>
    <col min="28" max="28" width="15.625" bestFit="1" customWidth="1"/>
    <col min="29" max="29" width="18.625" bestFit="1" customWidth="1"/>
  </cols>
  <sheetData>
    <row r="1" spans="1:29">
      <c r="A1" t="s">
        <v>55</v>
      </c>
      <c r="B1" s="58" t="s">
        <v>386</v>
      </c>
      <c r="C1" t="s">
        <v>289</v>
      </c>
      <c r="D1" t="s">
        <v>290</v>
      </c>
      <c r="E1" t="s">
        <v>291</v>
      </c>
      <c r="F1" s="58" t="s">
        <v>292</v>
      </c>
      <c r="G1" s="58" t="s">
        <v>293</v>
      </c>
      <c r="H1" s="6" t="s">
        <v>444</v>
      </c>
      <c r="I1" s="58" t="s">
        <v>463</v>
      </c>
      <c r="J1" s="58" t="s">
        <v>462</v>
      </c>
      <c r="K1" s="58" t="s">
        <v>439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295</v>
      </c>
    </row>
    <row r="2" spans="1:29">
      <c r="A2" t="str">
        <f>'Project Data'!D2</f>
        <v>Study 1</v>
      </c>
      <c r="B2" s="58">
        <v>250000</v>
      </c>
      <c r="C2">
        <f>DATEDIF('Project Data'!F2,'Project Data'!G2,"m")</f>
        <v>18</v>
      </c>
      <c r="D2" s="7">
        <f>Finances[[#This Row],[LT_Budget]]/Finances[[#This Row],[Duration (mo)]]</f>
        <v>13888.888888888889</v>
      </c>
      <c r="E2" s="18">
        <f ca="1">IFERROR(DATEDIF(Projects[[#This Row],[Start Date]], TODAY(), "m"), 0)</f>
        <v>13</v>
      </c>
      <c r="F2" s="58">
        <f ca="1">Finances[[#This Row],[Accrual Unit]]*Finances[[#This Row],[Accrual '#]]</f>
        <v>180555.55555555556</v>
      </c>
      <c r="G2" s="58">
        <v>72500</v>
      </c>
      <c r="H2" s="9">
        <f>Finances[[#This Row],[Cash Out]]/Finances[[#This Row],[LT_Budget]]</f>
        <v>0.28999999999999998</v>
      </c>
      <c r="I2" s="58">
        <f ca="1">Finances[[#This Row],[Cash Out]]-Finances[[#This Row],[Accrual to Date]]</f>
        <v>-108055.55555555556</v>
      </c>
      <c r="J2" s="58">
        <f>Finances[[#This Row],[LT_Budget]]-Finances[[#This Row],[Cash Out]]</f>
        <v>177500</v>
      </c>
      <c r="K2" s="58">
        <f>MAX([LT_Budget])</f>
        <v>2000000</v>
      </c>
      <c r="L2" s="1">
        <f>Projects[[#This Row],[Start Date]]+30</f>
        <v>45113</v>
      </c>
      <c r="M2" s="1">
        <f>Finances[[#This Row],[Milestone1]]+1</f>
        <v>45114</v>
      </c>
      <c r="N2" s="1">
        <f>Finances[[#This Row],[Milestone2]]+1</f>
        <v>45115</v>
      </c>
      <c r="O2" s="1">
        <f>Finances[[#This Row],[Milestone2]]+1</f>
        <v>45115</v>
      </c>
      <c r="V2">
        <f t="shared" ref="V2:V13" si="0">COUNTA(L2:U2)</f>
        <v>4</v>
      </c>
      <c r="W2">
        <v>2</v>
      </c>
      <c r="X2">
        <v>3</v>
      </c>
      <c r="Y2">
        <v>5</v>
      </c>
      <c r="Z2">
        <v>6</v>
      </c>
      <c r="AA2">
        <v>6</v>
      </c>
      <c r="AB2" s="9">
        <f t="shared" ref="AB2:AB25" si="1">V2/AA2</f>
        <v>0.66666666666666663</v>
      </c>
      <c r="AC2" s="1">
        <f>MAX('Project Data'!F2,L2:U2)</f>
        <v>45115</v>
      </c>
    </row>
    <row r="3" spans="1:29">
      <c r="A3" t="str">
        <f>'Project Data'!D3</f>
        <v>Grant 1</v>
      </c>
      <c r="B3" s="58">
        <v>100000</v>
      </c>
      <c r="C3">
        <f>DATEDIF('Project Data'!F3,'Project Data'!G3,"m")</f>
        <v>7</v>
      </c>
      <c r="D3" s="7">
        <f>Finances[[#This Row],[LT_Budget]]/Finances[[#This Row],[Duration (mo)]]</f>
        <v>14285.714285714286</v>
      </c>
      <c r="E3" s="19">
        <f ca="1">IFERROR(DATEDIF(Projects[[#This Row],[Start Date]], TODAY(), "m"), 0)</f>
        <v>1</v>
      </c>
      <c r="F3" s="58">
        <f ca="1">Finances[[#This Row],[Accrual Unit]]*Finances[[#This Row],[Accrual '#]]</f>
        <v>14285.714285714286</v>
      </c>
      <c r="G3" s="58">
        <v>100000</v>
      </c>
      <c r="H3" s="33">
        <f>Finances[[#This Row],[Cash Out]]/Finances[[#This Row],[LT_Budget]]</f>
        <v>1</v>
      </c>
      <c r="I3" s="59">
        <f ca="1">Finances[[#This Row],[Cash Out]]-Finances[[#This Row],[Accrual to Date]]</f>
        <v>85714.28571428571</v>
      </c>
      <c r="J3" s="59">
        <f>Finances[[#This Row],[LT_Budget]]-Finances[[#This Row],[Cash Out]]</f>
        <v>0</v>
      </c>
      <c r="K3" s="58">
        <f>MAX([LT_Budget])</f>
        <v>2000000</v>
      </c>
      <c r="L3" s="1">
        <f>Projects[[#This Row],[Start Date]]+30</f>
        <v>45456</v>
      </c>
      <c r="M3" s="1">
        <f>Finances[[#This Row],[Milestone1]]+1</f>
        <v>45457</v>
      </c>
      <c r="N3" s="1">
        <f>Finances[[#This Row],[Milestone2]]+1</f>
        <v>45458</v>
      </c>
      <c r="O3" s="1">
        <f>Finances[[#This Row],[Milestone3]]+1</f>
        <v>45459</v>
      </c>
      <c r="P3" s="1">
        <f>Finances[[#This Row],[Milestone4]]+1</f>
        <v>45460</v>
      </c>
      <c r="Q3" s="1">
        <f>Finances[[#This Row],[Milestone5]]+1</f>
        <v>45461</v>
      </c>
      <c r="V3">
        <f t="shared" si="0"/>
        <v>6</v>
      </c>
      <c r="W3">
        <v>1</v>
      </c>
      <c r="X3">
        <v>3</v>
      </c>
      <c r="Y3">
        <v>4</v>
      </c>
      <c r="Z3">
        <v>6</v>
      </c>
      <c r="AA3">
        <v>6</v>
      </c>
      <c r="AB3" s="9">
        <f t="shared" si="1"/>
        <v>1</v>
      </c>
      <c r="AC3" s="1">
        <f>MAX('Project Data'!F3,L3:U3)</f>
        <v>45461</v>
      </c>
    </row>
    <row r="4" spans="1:29">
      <c r="A4" t="str">
        <f>'Project Data'!D4</f>
        <v>Workshop 1</v>
      </c>
      <c r="B4" s="58">
        <v>450000</v>
      </c>
      <c r="C4">
        <f>DATEDIF('Project Data'!F4,'Project Data'!G4,"m")</f>
        <v>5</v>
      </c>
      <c r="D4" s="7">
        <f>Finances[[#This Row],[LT_Budget]]/Finances[[#This Row],[Duration (mo)]]</f>
        <v>90000</v>
      </c>
      <c r="E4" s="19">
        <f ca="1">IFERROR(DATEDIF(Projects[[#This Row],[Start Date]], TODAY(), "m"), 0)</f>
        <v>0</v>
      </c>
      <c r="F4" s="58">
        <f ca="1">Finances[[#This Row],[Accrual Unit]]*Finances[[#This Row],[Accrual '#]]</f>
        <v>0</v>
      </c>
      <c r="G4" s="58">
        <v>211500</v>
      </c>
      <c r="H4" s="33">
        <f>Finances[[#This Row],[Cash Out]]/Finances[[#This Row],[LT_Budget]]</f>
        <v>0.47</v>
      </c>
      <c r="I4" s="59">
        <f ca="1">Finances[[#This Row],[Cash Out]]-Finances[[#This Row],[Accrual to Date]]</f>
        <v>211500</v>
      </c>
      <c r="J4" s="59">
        <f>Finances[[#This Row],[LT_Budget]]-Finances[[#This Row],[Cash Out]]</f>
        <v>238500</v>
      </c>
      <c r="K4" s="58">
        <f>MAX([LT_Budget])</f>
        <v>2000000</v>
      </c>
      <c r="L4" s="1">
        <f>Projects[[#This Row],[Start Date]]+30</f>
        <v>45506</v>
      </c>
      <c r="M4" s="1">
        <f>Finances[[#This Row],[Milestone1]]+1</f>
        <v>45507</v>
      </c>
      <c r="N4" s="1">
        <f>Finances[[#This Row],[Milestone2]]+1</f>
        <v>45508</v>
      </c>
      <c r="O4" s="1">
        <f>Finances[[#This Row],[Milestone3]]+1</f>
        <v>45509</v>
      </c>
      <c r="P4" s="1">
        <f>Finances[[#This Row],[Milestone4]]+1</f>
        <v>45510</v>
      </c>
      <c r="Q4" s="1">
        <f>Finances[[#This Row],[Milestone5]]+1</f>
        <v>45511</v>
      </c>
      <c r="R4" s="1">
        <f>Finances[[#This Row],[Milestone6]]+1</f>
        <v>45512</v>
      </c>
      <c r="S4" s="1">
        <f>Finances[[#This Row],[Milestone7]]+1</f>
        <v>45513</v>
      </c>
      <c r="V4">
        <f t="shared" si="0"/>
        <v>8</v>
      </c>
      <c r="W4">
        <v>3</v>
      </c>
      <c r="X4">
        <v>5</v>
      </c>
      <c r="Y4">
        <v>8</v>
      </c>
      <c r="Z4">
        <v>10</v>
      </c>
      <c r="AA4">
        <v>10</v>
      </c>
      <c r="AB4" s="9">
        <f t="shared" si="1"/>
        <v>0.8</v>
      </c>
      <c r="AC4" s="1">
        <f>MAX('Project Data'!F4,L4:U4)</f>
        <v>45513</v>
      </c>
    </row>
    <row r="5" spans="1:29">
      <c r="A5" t="str">
        <f>'Project Data'!D5</f>
        <v>Advisory Council</v>
      </c>
      <c r="B5" s="58">
        <v>250000</v>
      </c>
      <c r="C5">
        <f>DATEDIF('Project Data'!F5,'Project Data'!G5,"m")</f>
        <v>11</v>
      </c>
      <c r="D5" s="7">
        <f>Finances[[#This Row],[LT_Budget]]/Finances[[#This Row],[Duration (mo)]]</f>
        <v>22727.272727272728</v>
      </c>
      <c r="E5" s="19">
        <f ca="1">IFERROR(DATEDIF(Projects[[#This Row],[Start Date]], TODAY(), "m"), 0)</f>
        <v>6</v>
      </c>
      <c r="F5" s="58">
        <f ca="1">Finances[[#This Row],[Accrual Unit]]*Finances[[#This Row],[Accrual '#]]</f>
        <v>136363.63636363635</v>
      </c>
      <c r="G5" s="58">
        <v>150000</v>
      </c>
      <c r="H5" s="33">
        <f>Finances[[#This Row],[Cash Out]]/Finances[[#This Row],[LT_Budget]]</f>
        <v>0.6</v>
      </c>
      <c r="I5" s="59">
        <f ca="1">Finances[[#This Row],[Cash Out]]-Finances[[#This Row],[Accrual to Date]]</f>
        <v>13636.363636363647</v>
      </c>
      <c r="J5" s="59">
        <f>Finances[[#This Row],[LT_Budget]]-Finances[[#This Row],[Cash Out]]</f>
        <v>100000</v>
      </c>
      <c r="K5" s="58">
        <f>MAX([LT_Budget])</f>
        <v>2000000</v>
      </c>
      <c r="L5" s="1">
        <f>Projects[[#This Row],[Start Date]]+30</f>
        <v>45322</v>
      </c>
      <c r="M5" s="1">
        <f>Finances[[#This Row],[Milestone1]]+1</f>
        <v>45323</v>
      </c>
      <c r="N5" s="1">
        <f>Finances[[#This Row],[Milestone2]]+1</f>
        <v>45324</v>
      </c>
      <c r="O5" s="1">
        <f>Finances[[#This Row],[Milestone3]]+1</f>
        <v>45325</v>
      </c>
      <c r="P5" s="1">
        <f>Finances[[#This Row],[Milestone4]]+1</f>
        <v>45326</v>
      </c>
      <c r="Q5" s="1">
        <f>Finances[[#This Row],[Milestone5]]+1</f>
        <v>45327</v>
      </c>
      <c r="V5">
        <f t="shared" si="0"/>
        <v>6</v>
      </c>
      <c r="W5">
        <v>1</v>
      </c>
      <c r="X5">
        <v>3</v>
      </c>
      <c r="Y5">
        <v>4</v>
      </c>
      <c r="Z5">
        <v>7</v>
      </c>
      <c r="AA5">
        <v>7</v>
      </c>
      <c r="AB5" s="9">
        <f t="shared" si="1"/>
        <v>0.8571428571428571</v>
      </c>
      <c r="AC5" s="1">
        <f>MAX('Project Data'!F5,L5:U5)</f>
        <v>45327</v>
      </c>
    </row>
    <row r="6" spans="1:29">
      <c r="A6" t="str">
        <f>'Project Data'!D6</f>
        <v>Mentorship Pilot</v>
      </c>
      <c r="B6" s="58">
        <v>100000</v>
      </c>
      <c r="C6">
        <f>DATEDIF('Project Data'!F6,'Project Data'!G6,"m")</f>
        <v>5</v>
      </c>
      <c r="D6" s="7">
        <f>Finances[[#This Row],[LT_Budget]]/Finances[[#This Row],[Duration (mo)]]</f>
        <v>20000</v>
      </c>
      <c r="E6" s="19">
        <f ca="1">IFERROR(DATEDIF(Projects[[#This Row],[Start Date]], TODAY(), "m"), 0)</f>
        <v>0</v>
      </c>
      <c r="F6" s="58">
        <f ca="1">Finances[[#This Row],[Accrual Unit]]*Finances[[#This Row],[Accrual '#]]</f>
        <v>0</v>
      </c>
      <c r="G6" s="58">
        <v>32000</v>
      </c>
      <c r="H6" s="33">
        <f>Finances[[#This Row],[Cash Out]]/Finances[[#This Row],[LT_Budget]]</f>
        <v>0.32</v>
      </c>
      <c r="I6" s="59">
        <f ca="1">Finances[[#This Row],[Cash Out]]-Finances[[#This Row],[Accrual to Date]]</f>
        <v>32000</v>
      </c>
      <c r="J6" s="59">
        <f>Finances[[#This Row],[LT_Budget]]-Finances[[#This Row],[Cash Out]]</f>
        <v>68000</v>
      </c>
      <c r="K6" s="58">
        <f>MAX([LT_Budget])</f>
        <v>2000000</v>
      </c>
      <c r="L6" s="1">
        <f>Projects[[#This Row],[Start Date]]+30</f>
        <v>45504</v>
      </c>
      <c r="M6" s="1">
        <f>Finances[[#This Row],[Milestone1]]+1</f>
        <v>45505</v>
      </c>
      <c r="N6" s="1">
        <f>Finances[[#This Row],[Milestone2]]+1</f>
        <v>45506</v>
      </c>
      <c r="O6" s="1">
        <f>Finances[[#This Row],[Milestone3]]+1</f>
        <v>45507</v>
      </c>
      <c r="P6" s="1">
        <f>Finances[[#This Row],[Milestone4]]+1</f>
        <v>45508</v>
      </c>
      <c r="V6">
        <f t="shared" si="0"/>
        <v>5</v>
      </c>
      <c r="W6">
        <v>2</v>
      </c>
      <c r="X6">
        <v>3</v>
      </c>
      <c r="Y6">
        <v>5</v>
      </c>
      <c r="Z6">
        <v>6</v>
      </c>
      <c r="AA6">
        <v>6</v>
      </c>
      <c r="AB6" s="9">
        <f t="shared" si="1"/>
        <v>0.83333333333333337</v>
      </c>
      <c r="AC6" s="1">
        <f>MAX('Project Data'!F6,L6:U6)</f>
        <v>45508</v>
      </c>
    </row>
    <row r="7" spans="1:29">
      <c r="A7" t="str">
        <f>'Project Data'!D7</f>
        <v>RWE Study 1</v>
      </c>
      <c r="B7" s="58">
        <v>500000</v>
      </c>
      <c r="C7">
        <f>DATEDIF('Project Data'!F7,'Project Data'!G7,"m")</f>
        <v>5</v>
      </c>
      <c r="D7" s="7">
        <f>Finances[[#This Row],[LT_Budget]]/Finances[[#This Row],[Duration (mo)]]</f>
        <v>100000</v>
      </c>
      <c r="E7" s="19">
        <f ca="1">IFERROR(DATEDIF(Projects[[#This Row],[Start Date]], TODAY(), "m"), 0)</f>
        <v>0</v>
      </c>
      <c r="F7" s="58">
        <f ca="1">Finances[[#This Row],[Accrual Unit]]*Finances[[#This Row],[Accrual '#]]</f>
        <v>0</v>
      </c>
      <c r="G7" s="58">
        <v>170000</v>
      </c>
      <c r="H7" s="33">
        <f>Finances[[#This Row],[Cash Out]]/Finances[[#This Row],[LT_Budget]]</f>
        <v>0.34</v>
      </c>
      <c r="I7" s="59">
        <f ca="1">Finances[[#This Row],[Cash Out]]-Finances[[#This Row],[Accrual to Date]]</f>
        <v>170000</v>
      </c>
      <c r="J7" s="59">
        <f>Finances[[#This Row],[LT_Budget]]-Finances[[#This Row],[Cash Out]]</f>
        <v>330000</v>
      </c>
      <c r="K7" s="58">
        <f>MAX([LT_Budget])</f>
        <v>2000000</v>
      </c>
      <c r="L7" s="1">
        <f>Projects[[#This Row],[Start Date]]+30</f>
        <v>45506</v>
      </c>
      <c r="M7" s="1">
        <f>Finances[[#This Row],[Milestone1]]+1</f>
        <v>45507</v>
      </c>
      <c r="N7" s="1">
        <f>Finances[[#This Row],[Milestone2]]+1</f>
        <v>45508</v>
      </c>
      <c r="V7">
        <f t="shared" si="0"/>
        <v>3</v>
      </c>
      <c r="W7">
        <v>1</v>
      </c>
      <c r="X7">
        <v>2</v>
      </c>
      <c r="Y7">
        <v>3</v>
      </c>
      <c r="AA7">
        <v>3</v>
      </c>
      <c r="AB7" s="9">
        <f t="shared" si="1"/>
        <v>1</v>
      </c>
      <c r="AC7" s="1">
        <f>MAX('Project Data'!F7,L7:U7)</f>
        <v>45508</v>
      </c>
    </row>
    <row r="8" spans="1:29">
      <c r="A8" t="str">
        <f>'Project Data'!D8</f>
        <v>Biopsy Study</v>
      </c>
      <c r="B8" s="58">
        <v>628000</v>
      </c>
      <c r="C8">
        <f>DATEDIF('Project Data'!F8,'Project Data'!G8,"m")</f>
        <v>16</v>
      </c>
      <c r="D8" s="7">
        <f>Finances[[#This Row],[LT_Budget]]/Finances[[#This Row],[Duration (mo)]]</f>
        <v>39250</v>
      </c>
      <c r="E8" s="19">
        <f ca="1">IFERROR(DATEDIF(Projects[[#This Row],[Start Date]], TODAY(), "m"), 0)</f>
        <v>11</v>
      </c>
      <c r="F8" s="58">
        <f ca="1">Finances[[#This Row],[Accrual Unit]]*Finances[[#This Row],[Accrual '#]]</f>
        <v>431750</v>
      </c>
      <c r="G8" s="58">
        <v>488431</v>
      </c>
      <c r="H8" s="33">
        <f>Finances[[#This Row],[Cash Out]]/Finances[[#This Row],[LT_Budget]]</f>
        <v>0.77775636942675164</v>
      </c>
      <c r="I8" s="59">
        <f ca="1">Finances[[#This Row],[Cash Out]]-Finances[[#This Row],[Accrual to Date]]</f>
        <v>56681</v>
      </c>
      <c r="J8" s="59">
        <f>Finances[[#This Row],[LT_Budget]]-Finances[[#This Row],[Cash Out]]</f>
        <v>139569</v>
      </c>
      <c r="K8" s="58">
        <f>MAX([LT_Budget])</f>
        <v>2000000</v>
      </c>
      <c r="L8" s="1">
        <f>Projects[[#This Row],[Start Date]]+30</f>
        <v>45171</v>
      </c>
      <c r="M8" s="1">
        <f>Finances[[#This Row],[Milestone1]]+1</f>
        <v>45172</v>
      </c>
      <c r="N8" s="1">
        <f>Finances[[#This Row],[Milestone2]]+1</f>
        <v>45173</v>
      </c>
      <c r="O8" s="1">
        <f>Finances[[#This Row],[Milestone3]]+1</f>
        <v>45174</v>
      </c>
      <c r="P8" s="1">
        <f>Finances[[#This Row],[Milestone4]]+1</f>
        <v>45175</v>
      </c>
      <c r="Q8" s="1">
        <f>Finances[[#This Row],[Milestone5]]+1</f>
        <v>45176</v>
      </c>
      <c r="V8">
        <f t="shared" si="0"/>
        <v>6</v>
      </c>
      <c r="W8">
        <v>3</v>
      </c>
      <c r="X8">
        <v>5</v>
      </c>
      <c r="Y8">
        <v>6</v>
      </c>
      <c r="Z8">
        <v>7</v>
      </c>
      <c r="AA8">
        <v>7</v>
      </c>
      <c r="AB8" s="9">
        <f t="shared" si="1"/>
        <v>0.8571428571428571</v>
      </c>
      <c r="AC8" s="1">
        <f>MAX('Project Data'!F8,L8:U8)</f>
        <v>45176</v>
      </c>
    </row>
    <row r="9" spans="1:29">
      <c r="A9" t="str">
        <f>'Project Data'!D9</f>
        <v>Diagnostic Study</v>
      </c>
      <c r="B9" s="58">
        <v>848000</v>
      </c>
      <c r="C9">
        <f>DATEDIF('Project Data'!F9,'Project Data'!G9,"m")</f>
        <v>6</v>
      </c>
      <c r="D9" s="7">
        <f>Finances[[#This Row],[LT_Budget]]/Finances[[#This Row],[Duration (mo)]]</f>
        <v>141333.33333333334</v>
      </c>
      <c r="E9" s="19">
        <f ca="1">IFERROR(DATEDIF(Projects[[#This Row],[Start Date]], TODAY(), "m"), 0)</f>
        <v>0</v>
      </c>
      <c r="F9" s="58">
        <f ca="1">Finances[[#This Row],[Accrual Unit]]*Finances[[#This Row],[Accrual '#]]</f>
        <v>0</v>
      </c>
      <c r="G9" s="58">
        <v>339200</v>
      </c>
      <c r="H9" s="33">
        <f>Finances[[#This Row],[Cash Out]]/Finances[[#This Row],[LT_Budget]]</f>
        <v>0.4</v>
      </c>
      <c r="I9" s="59">
        <f ca="1">Finances[[#This Row],[Cash Out]]-Finances[[#This Row],[Accrual to Date]]</f>
        <v>339200</v>
      </c>
      <c r="J9" s="59">
        <f>Finances[[#This Row],[LT_Budget]]-Finances[[#This Row],[Cash Out]]</f>
        <v>508800</v>
      </c>
      <c r="K9" s="58">
        <f>MAX([LT_Budget])</f>
        <v>2000000</v>
      </c>
      <c r="L9" s="1">
        <f>Projects[[#This Row],[Start Date]]+30</f>
        <v>45534</v>
      </c>
      <c r="M9" s="1">
        <f>Finances[[#This Row],[Milestone1]]+1</f>
        <v>45535</v>
      </c>
      <c r="N9" s="1">
        <f>Finances[[#This Row],[Milestone2]]+1</f>
        <v>45536</v>
      </c>
      <c r="O9" s="1">
        <f>Finances[[#This Row],[Milestone3]]+1</f>
        <v>45537</v>
      </c>
      <c r="P9" s="1">
        <f>Finances[[#This Row],[Milestone4]]+1</f>
        <v>45538</v>
      </c>
      <c r="Q9" s="1">
        <f>Finances[[#This Row],[Milestone5]]+1</f>
        <v>45539</v>
      </c>
      <c r="R9" s="1">
        <f>Finances[[#This Row],[Milestone6]]+1</f>
        <v>45540</v>
      </c>
      <c r="V9">
        <f t="shared" si="0"/>
        <v>7</v>
      </c>
      <c r="W9">
        <v>3</v>
      </c>
      <c r="X9">
        <v>6</v>
      </c>
      <c r="Y9">
        <v>7</v>
      </c>
      <c r="Z9">
        <v>9</v>
      </c>
      <c r="AA9">
        <v>9</v>
      </c>
      <c r="AB9" s="9">
        <f t="shared" si="1"/>
        <v>0.77777777777777779</v>
      </c>
      <c r="AC9" s="1">
        <f>MAX('Project Data'!F9,L9:U9)</f>
        <v>45540</v>
      </c>
    </row>
    <row r="10" spans="1:29">
      <c r="A10" t="str">
        <f>'Project Data'!D10</f>
        <v>Collaborative Study 1</v>
      </c>
      <c r="B10" s="58">
        <v>700000</v>
      </c>
      <c r="C10">
        <f>DATEDIF('Project Data'!F10,'Project Data'!G10,"m")</f>
        <v>10</v>
      </c>
      <c r="D10" s="7">
        <f>Finances[[#This Row],[LT_Budget]]/Finances[[#This Row],[Duration (mo)]]</f>
        <v>70000</v>
      </c>
      <c r="E10" s="19">
        <f ca="1">IFERROR(DATEDIF(Projects[[#This Row],[Start Date]], TODAY(), "m"), 0)</f>
        <v>3</v>
      </c>
      <c r="F10" s="58">
        <f ca="1">Finances[[#This Row],[Accrual Unit]]*Finances[[#This Row],[Accrual '#]]</f>
        <v>210000</v>
      </c>
      <c r="G10" s="58">
        <v>183000</v>
      </c>
      <c r="H10" s="33">
        <f>Finances[[#This Row],[Cash Out]]/Finances[[#This Row],[LT_Budget]]</f>
        <v>0.26142857142857145</v>
      </c>
      <c r="I10" s="59">
        <f ca="1">Finances[[#This Row],[Cash Out]]-Finances[[#This Row],[Accrual to Date]]</f>
        <v>-27000</v>
      </c>
      <c r="J10" s="59">
        <f>Finances[[#This Row],[LT_Budget]]-Finances[[#This Row],[Cash Out]]</f>
        <v>517000</v>
      </c>
      <c r="K10" s="58">
        <f>MAX([LT_Budget])</f>
        <v>2000000</v>
      </c>
      <c r="L10" s="1">
        <f>Projects[[#This Row],[Start Date]]+30</f>
        <v>45413</v>
      </c>
      <c r="M10" s="1">
        <f>Finances[[#This Row],[Milestone1]]+1</f>
        <v>45414</v>
      </c>
      <c r="N10" s="1">
        <f>Finances[[#This Row],[Milestone2]]+1</f>
        <v>45415</v>
      </c>
      <c r="O10" s="1">
        <f>Finances[[#This Row],[Milestone3]]+1</f>
        <v>45416</v>
      </c>
      <c r="V10">
        <f t="shared" si="0"/>
        <v>4</v>
      </c>
      <c r="W10">
        <v>2</v>
      </c>
      <c r="X10">
        <v>4</v>
      </c>
      <c r="Y10">
        <v>6</v>
      </c>
      <c r="Z10">
        <v>8</v>
      </c>
      <c r="AA10">
        <v>8</v>
      </c>
      <c r="AB10" s="9">
        <f t="shared" si="1"/>
        <v>0.5</v>
      </c>
      <c r="AC10" s="1">
        <f>MAX('Project Data'!F10,L10:U10)</f>
        <v>45416</v>
      </c>
    </row>
    <row r="11" spans="1:29">
      <c r="A11" t="str">
        <f>'Project Data'!D11</f>
        <v>Investigator Study 1</v>
      </c>
      <c r="B11" s="58">
        <v>500000</v>
      </c>
      <c r="C11">
        <f>DATEDIF('Project Data'!F11,'Project Data'!G11,"m")</f>
        <v>10</v>
      </c>
      <c r="D11" s="7">
        <f>Finances[[#This Row],[LT_Budget]]/Finances[[#This Row],[Duration (mo)]]</f>
        <v>50000</v>
      </c>
      <c r="E11" s="19">
        <f ca="1">IFERROR(DATEDIF(Projects[[#This Row],[Start Date]], TODAY(), "m"), 0)</f>
        <v>1</v>
      </c>
      <c r="F11" s="58">
        <f ca="1">Finances[[#This Row],[Accrual Unit]]*Finances[[#This Row],[Accrual '#]]</f>
        <v>50000</v>
      </c>
      <c r="G11" s="58">
        <v>250000</v>
      </c>
      <c r="H11" s="33">
        <f>Finances[[#This Row],[Cash Out]]/Finances[[#This Row],[LT_Budget]]</f>
        <v>0.5</v>
      </c>
      <c r="I11" s="59">
        <f ca="1">Finances[[#This Row],[Cash Out]]-Finances[[#This Row],[Accrual to Date]]</f>
        <v>200000</v>
      </c>
      <c r="J11" s="59">
        <f>Finances[[#This Row],[LT_Budget]]-Finances[[#This Row],[Cash Out]]</f>
        <v>250000</v>
      </c>
      <c r="K11" s="58">
        <f>MAX([LT_Budget])</f>
        <v>2000000</v>
      </c>
      <c r="L11" s="1">
        <f>Projects[[#This Row],[Start Date]]+30</f>
        <v>45465</v>
      </c>
      <c r="M11" s="1">
        <f>Finances[[#This Row],[Milestone1]]+1</f>
        <v>45466</v>
      </c>
      <c r="N11" s="1">
        <f>Finances[[#This Row],[Milestone2]]+1</f>
        <v>45467</v>
      </c>
      <c r="O11" s="1">
        <f>Finances[[#This Row],[Milestone3]]+1</f>
        <v>45468</v>
      </c>
      <c r="P11" s="1">
        <f>Finances[[#This Row],[Milestone4]]+1</f>
        <v>45469</v>
      </c>
      <c r="Q11" s="1">
        <f>Finances[[#This Row],[Milestone5]]+1</f>
        <v>45470</v>
      </c>
      <c r="V11">
        <f t="shared" si="0"/>
        <v>6</v>
      </c>
      <c r="W11">
        <v>2</v>
      </c>
      <c r="X11">
        <v>5</v>
      </c>
      <c r="Y11">
        <v>7</v>
      </c>
      <c r="Z11">
        <v>10</v>
      </c>
      <c r="AA11">
        <v>10</v>
      </c>
      <c r="AB11" s="9">
        <f t="shared" si="1"/>
        <v>0.6</v>
      </c>
      <c r="AC11" s="1">
        <f>MAX('Project Data'!F11,L11:U11)</f>
        <v>45470</v>
      </c>
    </row>
    <row r="12" spans="1:29">
      <c r="A12" t="str">
        <f>'Project Data'!D12</f>
        <v>RWE Study 2</v>
      </c>
      <c r="B12" s="58">
        <v>513000</v>
      </c>
      <c r="C12">
        <f>DATEDIF('Project Data'!F12,'Project Data'!G12,"m")</f>
        <v>8</v>
      </c>
      <c r="D12" s="7">
        <f>Finances[[#This Row],[LT_Budget]]/Finances[[#This Row],[Duration (mo)]]</f>
        <v>64125</v>
      </c>
      <c r="E12" s="19">
        <f ca="1">IFERROR(DATEDIF(Projects[[#This Row],[Start Date]], TODAY(), "m"), 0)</f>
        <v>0</v>
      </c>
      <c r="F12" s="58">
        <f ca="1">Finances[[#This Row],[Accrual Unit]]*Finances[[#This Row],[Accrual '#]]</f>
        <v>0</v>
      </c>
      <c r="G12" s="58">
        <v>220590</v>
      </c>
      <c r="H12" s="33">
        <f>Finances[[#This Row],[Cash Out]]/Finances[[#This Row],[LT_Budget]]</f>
        <v>0.43</v>
      </c>
      <c r="I12" s="59">
        <f ca="1">Finances[[#This Row],[Cash Out]]-Finances[[#This Row],[Accrual to Date]]</f>
        <v>220590</v>
      </c>
      <c r="J12" s="59">
        <f>Finances[[#This Row],[LT_Budget]]-Finances[[#This Row],[Cash Out]]</f>
        <v>292410</v>
      </c>
      <c r="K12" s="58">
        <f>MAX([LT_Budget])</f>
        <v>2000000</v>
      </c>
      <c r="L12" s="1">
        <f>Projects[[#This Row],[Start Date]]+30</f>
        <v>45504</v>
      </c>
      <c r="M12" s="1">
        <f>Finances[[#This Row],[Milestone1]]+1</f>
        <v>45505</v>
      </c>
      <c r="N12" s="1">
        <f>Finances[[#This Row],[Milestone2]]+1</f>
        <v>45506</v>
      </c>
      <c r="O12" s="1">
        <f>Finances[[#This Row],[Milestone3]]+1</f>
        <v>45507</v>
      </c>
      <c r="V12">
        <f t="shared" si="0"/>
        <v>4</v>
      </c>
      <c r="W12">
        <v>1</v>
      </c>
      <c r="X12">
        <v>3</v>
      </c>
      <c r="Y12">
        <v>4</v>
      </c>
      <c r="Z12">
        <v>5</v>
      </c>
      <c r="AA12">
        <v>5</v>
      </c>
      <c r="AB12" s="9">
        <f t="shared" si="1"/>
        <v>0.8</v>
      </c>
      <c r="AC12" s="1">
        <f>MAX('Project Data'!F12,L12:U12)</f>
        <v>45507</v>
      </c>
    </row>
    <row r="13" spans="1:29">
      <c r="A13" t="str">
        <f>'Project Data'!D13</f>
        <v>Collaborative Study 2</v>
      </c>
      <c r="B13" s="58">
        <v>650000</v>
      </c>
      <c r="C13">
        <f>DATEDIF('Project Data'!F13,'Project Data'!G13,"m")</f>
        <v>28</v>
      </c>
      <c r="D13" s="7">
        <f>Finances[[#This Row],[LT_Budget]]/Finances[[#This Row],[Duration (mo)]]</f>
        <v>23214.285714285714</v>
      </c>
      <c r="E13" s="19">
        <f ca="1">IFERROR(DATEDIF(Projects[[#This Row],[Start Date]], TODAY(), "m"), 0)</f>
        <v>19</v>
      </c>
      <c r="F13" s="58">
        <f ca="1">Finances[[#This Row],[Accrual Unit]]*Finances[[#This Row],[Accrual '#]]</f>
        <v>441071.42857142858</v>
      </c>
      <c r="G13" s="58">
        <v>325000</v>
      </c>
      <c r="H13" s="33">
        <f>Finances[[#This Row],[Cash Out]]/Finances[[#This Row],[LT_Budget]]</f>
        <v>0.5</v>
      </c>
      <c r="I13" s="59">
        <f ca="1">Finances[[#This Row],[Cash Out]]-Finances[[#This Row],[Accrual to Date]]</f>
        <v>-116071.42857142858</v>
      </c>
      <c r="J13" s="59">
        <f>Finances[[#This Row],[LT_Budget]]-Finances[[#This Row],[Cash Out]]</f>
        <v>325000</v>
      </c>
      <c r="K13" s="58">
        <f>MAX([LT_Budget])</f>
        <v>2000000</v>
      </c>
      <c r="L13" s="1">
        <f>Projects[[#This Row],[Start Date]]+30</f>
        <v>44925</v>
      </c>
      <c r="M13" s="1">
        <f>Finances[[#This Row],[Milestone1]]+1</f>
        <v>44926</v>
      </c>
      <c r="N13" s="1">
        <f>Finances[[#This Row],[Milestone2]]+1</f>
        <v>44927</v>
      </c>
      <c r="O13" s="1">
        <f>Finances[[#This Row],[Milestone3]]+1</f>
        <v>44928</v>
      </c>
      <c r="P13" s="1">
        <f>Finances[[#This Row],[Milestone4]]+1</f>
        <v>44929</v>
      </c>
      <c r="V13">
        <f t="shared" si="0"/>
        <v>5</v>
      </c>
      <c r="W13">
        <v>1</v>
      </c>
      <c r="X13">
        <v>2</v>
      </c>
      <c r="Y13">
        <v>3</v>
      </c>
      <c r="Z13">
        <v>5</v>
      </c>
      <c r="AA13">
        <v>5</v>
      </c>
      <c r="AB13" s="9">
        <f t="shared" si="1"/>
        <v>1</v>
      </c>
      <c r="AC13" s="1">
        <f>MAX('Project Data'!F13,L13:U13)</f>
        <v>44929</v>
      </c>
    </row>
    <row r="14" spans="1:29">
      <c r="A14" t="str">
        <f>'Project Data'!D14</f>
        <v>RWE Study 3</v>
      </c>
      <c r="B14" s="58">
        <v>1500000</v>
      </c>
      <c r="C14">
        <f>DATEDIF('Project Data'!F14,'Project Data'!G14,"m")</f>
        <v>17</v>
      </c>
      <c r="D14" s="7">
        <f>Finances[[#This Row],[LT_Budget]]/Finances[[#This Row],[Duration (mo)]]</f>
        <v>88235.294117647063</v>
      </c>
      <c r="E14" s="19">
        <f ca="1">IFERROR(DATEDIF(Projects[[#This Row],[Start Date]], TODAY(), "m"), 0)</f>
        <v>0</v>
      </c>
      <c r="F14" s="58">
        <f ca="1">Finances[[#This Row],[Accrual Unit]]*Finances[[#This Row],[Accrual '#]]</f>
        <v>0</v>
      </c>
      <c r="G14" s="58">
        <v>585000</v>
      </c>
      <c r="H14" s="33">
        <f>Finances[[#This Row],[Cash Out]]/Finances[[#This Row],[LT_Budget]]</f>
        <v>0.39</v>
      </c>
      <c r="I14" s="59">
        <f ca="1">Finances[[#This Row],[Cash Out]]-Finances[[#This Row],[Accrual to Date]]</f>
        <v>585000</v>
      </c>
      <c r="J14" s="59">
        <f>Finances[[#This Row],[LT_Budget]]-Finances[[#This Row],[Cash Out]]</f>
        <v>915000</v>
      </c>
      <c r="K14" s="58">
        <f>MAX([LT_Budget])</f>
        <v>2000000</v>
      </c>
      <c r="L14" s="1">
        <f>Projects[[#This Row],[Start Date]]+30</f>
        <v>45506</v>
      </c>
      <c r="M14" s="1">
        <f>Finances[[#This Row],[Milestone1]]+1</f>
        <v>45507</v>
      </c>
      <c r="N14" s="1">
        <f>Finances[[#This Row],[Milestone2]]+1</f>
        <v>45508</v>
      </c>
      <c r="O14" s="1">
        <f>Finances[[#This Row],[Milestone3]]+1</f>
        <v>45509</v>
      </c>
      <c r="V14">
        <v>1</v>
      </c>
      <c r="W14">
        <v>1</v>
      </c>
      <c r="X14">
        <v>2</v>
      </c>
      <c r="Y14">
        <v>3</v>
      </c>
      <c r="Z14">
        <v>4</v>
      </c>
      <c r="AA14">
        <v>4</v>
      </c>
      <c r="AB14" s="9">
        <f t="shared" si="1"/>
        <v>0.25</v>
      </c>
      <c r="AC14" s="1">
        <f>MAX('Project Data'!F14,L14:U14)</f>
        <v>45509</v>
      </c>
    </row>
    <row r="15" spans="1:29">
      <c r="A15" t="str">
        <f>'Project Data'!D15</f>
        <v>Investigator Study 2</v>
      </c>
      <c r="B15" s="58">
        <v>848000</v>
      </c>
      <c r="C15">
        <f>DATEDIF('Project Data'!F15,'Project Data'!G15,"m")</f>
        <v>23</v>
      </c>
      <c r="D15" s="7">
        <f>Finances[[#This Row],[LT_Budget]]/Finances[[#This Row],[Duration (mo)]]</f>
        <v>36869.565217391304</v>
      </c>
      <c r="E15" s="19">
        <f ca="1">IFERROR(DATEDIF(Projects[[#This Row],[Start Date]], TODAY(), "m"), 0)</f>
        <v>6</v>
      </c>
      <c r="F15" s="58">
        <f ca="1">Finances[[#This Row],[Accrual Unit]]*Finances[[#This Row],[Accrual '#]]</f>
        <v>221217.39130434784</v>
      </c>
      <c r="G15" s="58">
        <v>305280</v>
      </c>
      <c r="H15" s="33">
        <f>Finances[[#This Row],[Cash Out]]/Finances[[#This Row],[LT_Budget]]</f>
        <v>0.36</v>
      </c>
      <c r="I15" s="59">
        <f ca="1">Finances[[#This Row],[Cash Out]]-Finances[[#This Row],[Accrual to Date]]</f>
        <v>84062.608695652161</v>
      </c>
      <c r="J15" s="59">
        <f>Finances[[#This Row],[LT_Budget]]-Finances[[#This Row],[Cash Out]]</f>
        <v>542720</v>
      </c>
      <c r="K15" s="58">
        <f>MAX([LT_Budget])</f>
        <v>2000000</v>
      </c>
      <c r="L15" s="1">
        <f>Projects[[#This Row],[Start Date]]+30</f>
        <v>45322</v>
      </c>
      <c r="M15" s="1">
        <f>Finances[[#This Row],[Milestone1]]+1</f>
        <v>45323</v>
      </c>
      <c r="N15" s="1">
        <f>Finances[[#This Row],[Milestone2]]+1</f>
        <v>45324</v>
      </c>
      <c r="V15">
        <f>COUNTA(L15:U15)</f>
        <v>3</v>
      </c>
      <c r="W15">
        <v>1</v>
      </c>
      <c r="X15">
        <v>2</v>
      </c>
      <c r="Y15">
        <v>3</v>
      </c>
      <c r="Z15">
        <v>5</v>
      </c>
      <c r="AA15">
        <v>5</v>
      </c>
      <c r="AB15" s="9">
        <f t="shared" si="1"/>
        <v>0.6</v>
      </c>
      <c r="AC15" s="1">
        <f>MAX('Project Data'!F15,L15:U15)</f>
        <v>45324</v>
      </c>
    </row>
    <row r="16" spans="1:29">
      <c r="A16" t="str">
        <f>'Project Data'!D16</f>
        <v>Collaborative Study 3</v>
      </c>
      <c r="B16" s="58">
        <v>250000</v>
      </c>
      <c r="C16">
        <f>DATEDIF('Project Data'!F16,'Project Data'!G16,"m")</f>
        <v>20</v>
      </c>
      <c r="D16" s="7">
        <f>Finances[[#This Row],[LT_Budget]]/Finances[[#This Row],[Duration (mo)]]</f>
        <v>12500</v>
      </c>
      <c r="E16" s="19">
        <f ca="1">IFERROR(DATEDIF(Projects[[#This Row],[Start Date]], TODAY(), "m"), 0)</f>
        <v>0</v>
      </c>
      <c r="F16" s="58">
        <f ca="1">Finances[[#This Row],[Accrual Unit]]*Finances[[#This Row],[Accrual '#]]</f>
        <v>0</v>
      </c>
      <c r="G16" s="58">
        <v>130000</v>
      </c>
      <c r="H16" s="33">
        <f>Finances[[#This Row],[Cash Out]]/Finances[[#This Row],[LT_Budget]]</f>
        <v>0.52</v>
      </c>
      <c r="I16" s="59">
        <f ca="1">Finances[[#This Row],[Cash Out]]-Finances[[#This Row],[Accrual to Date]]</f>
        <v>130000</v>
      </c>
      <c r="J16" s="59">
        <f>Finances[[#This Row],[LT_Budget]]-Finances[[#This Row],[Cash Out]]</f>
        <v>120000</v>
      </c>
      <c r="K16" s="58">
        <f>MAX([LT_Budget])</f>
        <v>2000000</v>
      </c>
      <c r="L16" s="1">
        <f>Projects[[#This Row],[Start Date]]+30</f>
        <v>45535</v>
      </c>
      <c r="M16" s="1">
        <f>Finances[[#This Row],[Milestone1]]+1</f>
        <v>45536</v>
      </c>
      <c r="N16" s="1">
        <f>Finances[[#This Row],[Milestone2]]+1</f>
        <v>45537</v>
      </c>
      <c r="O16" s="1">
        <f>Finances[[#This Row],[Milestone3]]+1</f>
        <v>45538</v>
      </c>
      <c r="P16" s="1">
        <f>Finances[[#This Row],[Milestone4]]+1</f>
        <v>45539</v>
      </c>
      <c r="V16">
        <f>COUNTA(L16:U16)</f>
        <v>5</v>
      </c>
      <c r="W16">
        <v>2</v>
      </c>
      <c r="X16">
        <v>3</v>
      </c>
      <c r="Y16">
        <v>5</v>
      </c>
      <c r="Z16">
        <v>8</v>
      </c>
      <c r="AA16">
        <v>8</v>
      </c>
      <c r="AB16" s="9">
        <f t="shared" si="1"/>
        <v>0.625</v>
      </c>
      <c r="AC16" s="1">
        <f>MAX('Project Data'!F16,L16:U16)</f>
        <v>45539</v>
      </c>
    </row>
    <row r="17" spans="1:29">
      <c r="A17" t="str">
        <f>'Project Data'!D17</f>
        <v>Investigator Study 3</v>
      </c>
      <c r="B17" s="58">
        <v>500000</v>
      </c>
      <c r="C17">
        <f>DATEDIF('Project Data'!F17,'Project Data'!G17,"m")</f>
        <v>24</v>
      </c>
      <c r="D17" s="7">
        <f>Finances[[#This Row],[LT_Budget]]/Finances[[#This Row],[Duration (mo)]]</f>
        <v>20833.333333333332</v>
      </c>
      <c r="E17" s="19">
        <f ca="1">IFERROR(DATEDIF(Projects[[#This Row],[Start Date]], TODAY(), "m"), 0)</f>
        <v>0</v>
      </c>
      <c r="F17" s="58">
        <f ca="1">Finances[[#This Row],[Accrual Unit]]*Finances[[#This Row],[Accrual '#]]</f>
        <v>0</v>
      </c>
      <c r="G17" s="58">
        <v>275000</v>
      </c>
      <c r="H17" s="33">
        <f>Finances[[#This Row],[Cash Out]]/Finances[[#This Row],[LT_Budget]]</f>
        <v>0.55000000000000004</v>
      </c>
      <c r="I17" s="59">
        <f ca="1">Finances[[#This Row],[Cash Out]]-Finances[[#This Row],[Accrual to Date]]</f>
        <v>275000</v>
      </c>
      <c r="J17" s="59">
        <f>Finances[[#This Row],[LT_Budget]]-Finances[[#This Row],[Cash Out]]</f>
        <v>225000</v>
      </c>
      <c r="K17" s="58">
        <f>MAX([LT_Budget])</f>
        <v>2000000</v>
      </c>
      <c r="L17" s="1">
        <f>Projects[[#This Row],[Start Date]]+30</f>
        <v>45535</v>
      </c>
      <c r="M17" s="1">
        <f>Finances[[#This Row],[Milestone1]]+1</f>
        <v>45536</v>
      </c>
      <c r="N17" s="1">
        <f>Finances[[#This Row],[Milestone2]]+1</f>
        <v>45537</v>
      </c>
      <c r="V17">
        <f>COUNTA(L17:U17)</f>
        <v>3</v>
      </c>
      <c r="W17">
        <v>3</v>
      </c>
      <c r="X17">
        <v>6</v>
      </c>
      <c r="Y17">
        <v>8</v>
      </c>
      <c r="Z17">
        <v>9</v>
      </c>
      <c r="AA17">
        <v>9</v>
      </c>
      <c r="AB17" s="9">
        <f t="shared" si="1"/>
        <v>0.33333333333333331</v>
      </c>
      <c r="AC17" s="1">
        <f>MAX('Project Data'!F17,L17:U17)</f>
        <v>45537</v>
      </c>
    </row>
    <row r="18" spans="1:29">
      <c r="A18" t="str">
        <f>'Project Data'!D18</f>
        <v>Investigator Study 4</v>
      </c>
      <c r="B18" s="58">
        <v>2000000</v>
      </c>
      <c r="C18">
        <f>DATEDIF('Project Data'!F18,'Project Data'!G18,"m")</f>
        <v>23</v>
      </c>
      <c r="D18" s="7">
        <f>Finances[[#This Row],[LT_Budget]]/Finances[[#This Row],[Duration (mo)]]</f>
        <v>86956.521739130432</v>
      </c>
      <c r="E18" s="19">
        <f ca="1">IFERROR(DATEDIF(Projects[[#This Row],[Start Date]], TODAY(), "m"), 0)</f>
        <v>0</v>
      </c>
      <c r="F18" s="58">
        <f ca="1">Finances[[#This Row],[Accrual Unit]]*Finances[[#This Row],[Accrual '#]]</f>
        <v>0</v>
      </c>
      <c r="G18" s="58">
        <v>1000000</v>
      </c>
      <c r="H18" s="33">
        <f>Finances[[#This Row],[Cash Out]]/Finances[[#This Row],[LT_Budget]]</f>
        <v>0.5</v>
      </c>
      <c r="I18" s="59">
        <f ca="1">Finances[[#This Row],[Cash Out]]-Finances[[#This Row],[Accrual to Date]]</f>
        <v>1000000</v>
      </c>
      <c r="J18" s="59">
        <f>Finances[[#This Row],[LT_Budget]]-Finances[[#This Row],[Cash Out]]</f>
        <v>1000000</v>
      </c>
      <c r="K18" s="58">
        <f>MAX([LT_Budget])</f>
        <v>2000000</v>
      </c>
      <c r="L18" s="1">
        <f>Projects[[#This Row],[Start Date]]+30</f>
        <v>45688</v>
      </c>
      <c r="M18" s="1">
        <f>Finances[[#This Row],[Milestone1]]+1</f>
        <v>45689</v>
      </c>
      <c r="N18" s="1">
        <f>Finances[[#This Row],[Milestone2]]+1</f>
        <v>45690</v>
      </c>
      <c r="O18" s="1">
        <f>Finances[[#This Row],[Milestone3]]+1</f>
        <v>45691</v>
      </c>
      <c r="P18" s="1">
        <f>Finances[[#This Row],[Milestone4]]+1</f>
        <v>45692</v>
      </c>
      <c r="Q18" s="1">
        <f>Finances[[#This Row],[Milestone5]]+1</f>
        <v>45693</v>
      </c>
      <c r="R18" s="1">
        <f>Finances[[#This Row],[Milestone6]]+1</f>
        <v>45694</v>
      </c>
      <c r="V18">
        <v>4</v>
      </c>
      <c r="W18">
        <v>1</v>
      </c>
      <c r="X18">
        <v>4</v>
      </c>
      <c r="Y18">
        <v>6</v>
      </c>
      <c r="Z18">
        <v>10</v>
      </c>
      <c r="AA18">
        <v>10</v>
      </c>
      <c r="AB18" s="9">
        <f t="shared" si="1"/>
        <v>0.4</v>
      </c>
      <c r="AC18" s="1">
        <f>MAX('Project Data'!F18,L18:U18)</f>
        <v>45694</v>
      </c>
    </row>
    <row r="19" spans="1:29">
      <c r="A19" t="str">
        <f>'Project Data'!D19</f>
        <v>Education Campaign</v>
      </c>
      <c r="B19" s="58">
        <v>275000</v>
      </c>
      <c r="C19">
        <f>DATEDIF('Project Data'!F19,'Project Data'!G19,"m")</f>
        <v>17</v>
      </c>
      <c r="D19" s="7">
        <f>Finances[[#This Row],[LT_Budget]]/Finances[[#This Row],[Duration (mo)]]</f>
        <v>16176.470588235294</v>
      </c>
      <c r="E19" s="19">
        <f ca="1">IFERROR(DATEDIF(Projects[[#This Row],[Start Date]], TODAY(), "m"), 0)</f>
        <v>0</v>
      </c>
      <c r="F19" s="58">
        <f ca="1">Finances[[#This Row],[Accrual Unit]]*Finances[[#This Row],[Accrual '#]]</f>
        <v>0</v>
      </c>
      <c r="G19" s="58">
        <v>132000</v>
      </c>
      <c r="H19" s="33">
        <f>Finances[[#This Row],[Cash Out]]/Finances[[#This Row],[LT_Budget]]</f>
        <v>0.48</v>
      </c>
      <c r="I19" s="59">
        <f ca="1">Finances[[#This Row],[Cash Out]]-Finances[[#This Row],[Accrual to Date]]</f>
        <v>132000</v>
      </c>
      <c r="J19" s="59">
        <f>Finances[[#This Row],[LT_Budget]]-Finances[[#This Row],[Cash Out]]</f>
        <v>143000</v>
      </c>
      <c r="K19" s="58">
        <f>MAX([LT_Budget])</f>
        <v>2000000</v>
      </c>
      <c r="L19" s="1">
        <f>Projects[[#This Row],[Start Date]]+30</f>
        <v>45506</v>
      </c>
      <c r="M19" s="1">
        <f>Finances[[#This Row],[Milestone1]]+1</f>
        <v>45507</v>
      </c>
      <c r="N19" s="1">
        <f>Finances[[#This Row],[Milestone2]]+1</f>
        <v>45508</v>
      </c>
      <c r="O19" s="1">
        <f>Finances[[#This Row],[Milestone3]]+1</f>
        <v>45509</v>
      </c>
      <c r="V19">
        <v>1</v>
      </c>
      <c r="W19">
        <v>3</v>
      </c>
      <c r="X19">
        <v>4</v>
      </c>
      <c r="Y19">
        <v>5</v>
      </c>
      <c r="Z19">
        <v>7</v>
      </c>
      <c r="AA19">
        <v>7</v>
      </c>
      <c r="AB19" s="9">
        <f t="shared" si="1"/>
        <v>0.14285714285714285</v>
      </c>
      <c r="AC19" s="1">
        <f>MAX('Project Data'!F19,L19:U19)</f>
        <v>45509</v>
      </c>
    </row>
    <row r="20" spans="1:29">
      <c r="A20" t="str">
        <f>'Project Data'!D20</f>
        <v>Patient Journey 1</v>
      </c>
      <c r="B20" s="58">
        <v>225000</v>
      </c>
      <c r="C20">
        <f>DATEDIF('Project Data'!F20,'Project Data'!G20,"m")</f>
        <v>23</v>
      </c>
      <c r="D20" s="7">
        <f>Finances[[#This Row],[LT_Budget]]/Finances[[#This Row],[Duration (mo)]]</f>
        <v>9782.608695652174</v>
      </c>
      <c r="E20" s="19">
        <f ca="1">IFERROR(DATEDIF(Projects[[#This Row],[Start Date]], TODAY(), "m"), 0)</f>
        <v>6</v>
      </c>
      <c r="F20" s="58">
        <f ca="1">Finances[[#This Row],[Accrual Unit]]*Finances[[#This Row],[Accrual '#]]</f>
        <v>58695.65217391304</v>
      </c>
      <c r="G20" s="58">
        <v>72000</v>
      </c>
      <c r="H20" s="33">
        <f>Finances[[#This Row],[Cash Out]]/Finances[[#This Row],[LT_Budget]]</f>
        <v>0.32</v>
      </c>
      <c r="I20" s="59">
        <f ca="1">Finances[[#This Row],[Cash Out]]-Finances[[#This Row],[Accrual to Date]]</f>
        <v>13304.34782608696</v>
      </c>
      <c r="J20" s="59">
        <f>Finances[[#This Row],[LT_Budget]]-Finances[[#This Row],[Cash Out]]</f>
        <v>153000</v>
      </c>
      <c r="K20" s="58">
        <f>MAX([LT_Budget])</f>
        <v>2000000</v>
      </c>
      <c r="L20" s="1">
        <f>Projects[[#This Row],[Start Date]]+30</f>
        <v>45322</v>
      </c>
      <c r="M20" s="1">
        <f>Finances[[#This Row],[Milestone1]]+1</f>
        <v>45323</v>
      </c>
      <c r="N20" s="1">
        <f>Finances[[#This Row],[Milestone2]]+1</f>
        <v>45324</v>
      </c>
      <c r="O20" s="1">
        <f>Finances[[#This Row],[Milestone3]]+1</f>
        <v>45325</v>
      </c>
      <c r="P20" s="1">
        <f>Finances[[#This Row],[Milestone4]]+1</f>
        <v>45326</v>
      </c>
      <c r="V20">
        <f t="shared" ref="V20:V25" si="2">COUNTA(L20:U20)</f>
        <v>5</v>
      </c>
      <c r="W20">
        <v>1</v>
      </c>
      <c r="X20">
        <v>2</v>
      </c>
      <c r="Y20">
        <v>3</v>
      </c>
      <c r="Z20">
        <v>6</v>
      </c>
      <c r="AA20">
        <v>6</v>
      </c>
      <c r="AB20" s="9">
        <f t="shared" si="1"/>
        <v>0.83333333333333337</v>
      </c>
      <c r="AC20" s="1">
        <f>MAX('Project Data'!F20,L20:U20)</f>
        <v>45326</v>
      </c>
    </row>
    <row r="21" spans="1:29">
      <c r="A21" t="str">
        <f>'Project Data'!D21</f>
        <v>Internal_Operations</v>
      </c>
      <c r="B21" s="58">
        <v>525000</v>
      </c>
      <c r="C21">
        <f>DATEDIF('Project Data'!F21,'Project Data'!G21,"m")</f>
        <v>20</v>
      </c>
      <c r="D21" s="7">
        <f>Finances[[#This Row],[LT_Budget]]/Finances[[#This Row],[Duration (mo)]]</f>
        <v>26250</v>
      </c>
      <c r="E21" s="19">
        <f ca="1">IFERROR(DATEDIF(Projects[[#This Row],[Start Date]], TODAY(), "m"), 0)</f>
        <v>0</v>
      </c>
      <c r="F21" s="58">
        <f ca="1">Finances[[#This Row],[Accrual Unit]]*Finances[[#This Row],[Accrual '#]]</f>
        <v>0</v>
      </c>
      <c r="G21" s="58">
        <v>194250</v>
      </c>
      <c r="H21" s="9">
        <f>Finances[[#This Row],[Cash Out]]/Finances[[#This Row],[LT_Budget]]</f>
        <v>0.37</v>
      </c>
      <c r="I21" s="58">
        <f ca="1">Finances[[#This Row],[Cash Out]]-Finances[[#This Row],[Accrual to Date]]</f>
        <v>194250</v>
      </c>
      <c r="J21" s="58">
        <f>Finances[[#This Row],[LT_Budget]]-Finances[[#This Row],[Cash Out]]</f>
        <v>330750</v>
      </c>
      <c r="K21" s="58">
        <f>MAX([LT_Budget])</f>
        <v>2000000</v>
      </c>
      <c r="L21" s="1">
        <f>Projects[[#This Row],[Start Date]]+30</f>
        <v>45535</v>
      </c>
      <c r="M21" s="1">
        <f>Finances[[#This Row],[Milestone1]]+1</f>
        <v>45536</v>
      </c>
      <c r="N21" s="1">
        <f>Finances[[#This Row],[Milestone2]]+1</f>
        <v>45537</v>
      </c>
      <c r="O21" s="1">
        <v>45391</v>
      </c>
      <c r="P21" s="1">
        <v>45392</v>
      </c>
      <c r="Q21" s="1">
        <v>45393</v>
      </c>
      <c r="R21" s="1">
        <v>45394</v>
      </c>
      <c r="S21" s="1">
        <v>45395</v>
      </c>
      <c r="V21">
        <f t="shared" si="2"/>
        <v>8</v>
      </c>
      <c r="W21">
        <v>4</v>
      </c>
      <c r="X21">
        <v>5</v>
      </c>
      <c r="Y21">
        <v>8</v>
      </c>
      <c r="Z21">
        <v>10</v>
      </c>
      <c r="AA21">
        <v>10</v>
      </c>
      <c r="AB21" s="9">
        <f t="shared" si="1"/>
        <v>0.8</v>
      </c>
      <c r="AC21" s="1">
        <f>MAX('Project Data'!F21,L21:U21)</f>
        <v>45537</v>
      </c>
    </row>
    <row r="22" spans="1:29">
      <c r="A22" t="str">
        <f>'Project Data'!D22</f>
        <v>Collaborative Study 4</v>
      </c>
      <c r="B22" s="58">
        <v>325000</v>
      </c>
      <c r="C22">
        <f>DATEDIF('Project Data'!F22,'Project Data'!G22,"m")</f>
        <v>24</v>
      </c>
      <c r="D22" s="7">
        <f>Finances[[#This Row],[LT_Budget]]/Finances[[#This Row],[Duration (mo)]]</f>
        <v>13541.666666666666</v>
      </c>
      <c r="E22" s="19">
        <f ca="1">IFERROR(DATEDIF(Projects[[#This Row],[Start Date]], TODAY(), "m"), 0)</f>
        <v>0</v>
      </c>
      <c r="F22" s="58">
        <f ca="1">Finances[[#This Row],[Accrual Unit]]*Finances[[#This Row],[Accrual '#]]</f>
        <v>0</v>
      </c>
      <c r="G22" s="58">
        <v>152750</v>
      </c>
      <c r="H22" s="33">
        <f>Finances[[#This Row],[Cash Out]]/Finances[[#This Row],[LT_Budget]]</f>
        <v>0.47</v>
      </c>
      <c r="I22" s="59">
        <f ca="1">Finances[[#This Row],[Cash Out]]-Finances[[#This Row],[Accrual to Date]]</f>
        <v>152750</v>
      </c>
      <c r="J22" s="59">
        <f>Finances[[#This Row],[LT_Budget]]-Finances[[#This Row],[Cash Out]]</f>
        <v>172250</v>
      </c>
      <c r="K22" s="58">
        <f>MAX([LT_Budget])</f>
        <v>2000000</v>
      </c>
      <c r="L22" s="1">
        <f>Projects[[#This Row],[Start Date]]+30</f>
        <v>45535</v>
      </c>
      <c r="M22" s="1">
        <f>Finances[[#This Row],[Milestone1]]+1</f>
        <v>45536</v>
      </c>
      <c r="N22" s="1">
        <f>Finances[[#This Row],[Milestone2]]+1</f>
        <v>45537</v>
      </c>
      <c r="O22" s="1">
        <f>Finances[[#This Row],[Milestone3]]+1</f>
        <v>45538</v>
      </c>
      <c r="P22" s="1">
        <f>Finances[[#This Row],[Milestone4]]+1</f>
        <v>45539</v>
      </c>
      <c r="V22">
        <f t="shared" si="2"/>
        <v>5</v>
      </c>
      <c r="W22">
        <v>1</v>
      </c>
      <c r="X22">
        <v>2</v>
      </c>
      <c r="Y22">
        <v>4</v>
      </c>
      <c r="Z22">
        <v>6</v>
      </c>
      <c r="AA22">
        <v>6</v>
      </c>
      <c r="AB22" s="9">
        <f t="shared" si="1"/>
        <v>0.83333333333333337</v>
      </c>
      <c r="AC22" s="1">
        <f>MAX('Project Data'!F22,L22:U22)</f>
        <v>45539</v>
      </c>
    </row>
    <row r="23" spans="1:29">
      <c r="A23" t="str">
        <f>'Project Data'!D23</f>
        <v>Completed_Projects</v>
      </c>
      <c r="B23" s="58">
        <v>575000</v>
      </c>
      <c r="C23">
        <f>DATEDIF('Project Data'!F23,'Project Data'!G23,"m")</f>
        <v>23</v>
      </c>
      <c r="D23" s="7">
        <f>Finances[[#This Row],[LT_Budget]]/Finances[[#This Row],[Duration (mo)]]</f>
        <v>25000</v>
      </c>
      <c r="E23" s="19">
        <f ca="1">IFERROR(DATEDIF(Projects[[#This Row],[Start Date]], TODAY(), "m"), 0)</f>
        <v>0</v>
      </c>
      <c r="F23" s="58">
        <f ca="1">Finances[[#This Row],[Accrual Unit]]*Finances[[#This Row],[Accrual '#]]</f>
        <v>0</v>
      </c>
      <c r="G23" s="58">
        <v>189750</v>
      </c>
      <c r="H23" s="33">
        <f>Finances[[#This Row],[Cash Out]]/Finances[[#This Row],[LT_Budget]]</f>
        <v>0.33</v>
      </c>
      <c r="I23" s="59">
        <f ca="1">Finances[[#This Row],[Cash Out]]-Finances[[#This Row],[Accrual to Date]]</f>
        <v>189750</v>
      </c>
      <c r="J23" s="59">
        <f>Finances[[#This Row],[LT_Budget]]-Finances[[#This Row],[Cash Out]]</f>
        <v>385250</v>
      </c>
      <c r="K23" s="58">
        <f>MAX([LT_Budget])</f>
        <v>2000000</v>
      </c>
      <c r="L23" s="1">
        <f>Projects[[#This Row],[Start Date]]+30</f>
        <v>45688</v>
      </c>
      <c r="M23" s="1">
        <f>Finances[[#This Row],[Milestone1]]+1</f>
        <v>45689</v>
      </c>
      <c r="N23" s="1">
        <f>Finances[[#This Row],[Milestone2]]+1</f>
        <v>45690</v>
      </c>
      <c r="O23" s="1">
        <f>Finances[[#This Row],[Milestone3]]+1</f>
        <v>45691</v>
      </c>
      <c r="P23" s="1">
        <f>Finances[[#This Row],[Milestone4]]+1</f>
        <v>45692</v>
      </c>
      <c r="Q23" s="1">
        <f>Finances[[#This Row],[Milestone5]]+1</f>
        <v>45693</v>
      </c>
      <c r="R23" s="1">
        <f>Finances[[#This Row],[Milestone6]]+1</f>
        <v>45694</v>
      </c>
      <c r="S23" s="1">
        <f>Finances[[#This Row],[Milestone7]]+1</f>
        <v>45695</v>
      </c>
      <c r="T23" s="1">
        <f>Finances[[#This Row],[Milestone8]]+1</f>
        <v>45696</v>
      </c>
      <c r="V23">
        <f t="shared" si="2"/>
        <v>9</v>
      </c>
      <c r="W23">
        <v>3</v>
      </c>
      <c r="X23">
        <v>5</v>
      </c>
      <c r="Y23">
        <v>7</v>
      </c>
      <c r="Z23">
        <v>10</v>
      </c>
      <c r="AA23">
        <v>10</v>
      </c>
      <c r="AB23" s="9">
        <f t="shared" si="1"/>
        <v>0.9</v>
      </c>
      <c r="AC23" s="1">
        <f>MAX('Project Data'!F23,L23:U23)</f>
        <v>45696</v>
      </c>
    </row>
    <row r="24" spans="1:29">
      <c r="A24" t="str">
        <f>'Project Data'!D24</f>
        <v>Collaborative Study 5</v>
      </c>
      <c r="B24" s="58">
        <v>750000</v>
      </c>
      <c r="C24">
        <f>DATEDIF('Project Data'!F24,'Project Data'!G24,"m")</f>
        <v>24</v>
      </c>
      <c r="D24" s="7">
        <f>Finances[[#This Row],[LT_Budget]]/Finances[[#This Row],[Duration (mo)]]</f>
        <v>31250</v>
      </c>
      <c r="E24" s="19">
        <f ca="1">IFERROR(DATEDIF(Projects[[#This Row],[Start Date]], TODAY(), "m"), 0)</f>
        <v>0</v>
      </c>
      <c r="F24" s="58">
        <f ca="1">Finances[[#This Row],[Accrual Unit]]*Finances[[#This Row],[Accrual '#]]</f>
        <v>0</v>
      </c>
      <c r="G24" s="58">
        <v>360000</v>
      </c>
      <c r="H24" s="33">
        <f>Finances[[#This Row],[Cash Out]]/Finances[[#This Row],[LT_Budget]]</f>
        <v>0.48</v>
      </c>
      <c r="I24" s="59">
        <f ca="1">Finances[[#This Row],[Cash Out]]-Finances[[#This Row],[Accrual to Date]]</f>
        <v>360000</v>
      </c>
      <c r="J24" s="59">
        <f>Finances[[#This Row],[LT_Budget]]-Finances[[#This Row],[Cash Out]]</f>
        <v>390000</v>
      </c>
      <c r="K24" s="58">
        <f>MAX([LT_Budget])</f>
        <v>2000000</v>
      </c>
      <c r="L24" s="1">
        <f>Projects[[#This Row],[Start Date]]+30</f>
        <v>45671</v>
      </c>
      <c r="M24" s="1">
        <f>Finances[[#This Row],[Milestone1]]+1</f>
        <v>45672</v>
      </c>
      <c r="N24" s="1">
        <f>Finances[[#This Row],[Milestone2]]+1</f>
        <v>45673</v>
      </c>
      <c r="O24" s="1">
        <f>Finances[[#This Row],[Milestone3]]+1</f>
        <v>45674</v>
      </c>
      <c r="V24">
        <f t="shared" si="2"/>
        <v>4</v>
      </c>
      <c r="W24">
        <v>1</v>
      </c>
      <c r="X24">
        <v>2</v>
      </c>
      <c r="Y24">
        <v>4</v>
      </c>
      <c r="Z24">
        <v>7</v>
      </c>
      <c r="AA24">
        <v>7</v>
      </c>
      <c r="AB24" s="9">
        <f t="shared" si="1"/>
        <v>0.5714285714285714</v>
      </c>
      <c r="AC24" s="1">
        <f>MAX('Project Data'!F24,L24:U24)</f>
        <v>45674</v>
      </c>
    </row>
    <row r="25" spans="1:29">
      <c r="A25" t="str">
        <f>'Project Data'!D25</f>
        <v>Study 2</v>
      </c>
      <c r="B25" s="58">
        <v>250000</v>
      </c>
      <c r="C25">
        <f>DATEDIF('Project Data'!F25,'Project Data'!G25,"m")</f>
        <v>24</v>
      </c>
      <c r="D25" s="7">
        <f>Finances[[#This Row],[LT_Budget]]/Finances[[#This Row],[Duration (mo)]]</f>
        <v>10416.666666666666</v>
      </c>
      <c r="E25" s="19">
        <f ca="1">IFERROR(DATEDIF(Projects[[#This Row],[Start Date]], TODAY(), "m"), 0)</f>
        <v>0</v>
      </c>
      <c r="F25" s="58">
        <f ca="1">Finances[[#This Row],[Accrual Unit]]*Finances[[#This Row],[Accrual '#]]</f>
        <v>0</v>
      </c>
      <c r="G25" s="58">
        <v>65000</v>
      </c>
      <c r="H25" s="33">
        <f>Finances[[#This Row],[Cash Out]]/Finances[[#This Row],[LT_Budget]]</f>
        <v>0.26</v>
      </c>
      <c r="I25" s="59">
        <f ca="1">Finances[[#This Row],[Cash Out]]-Finances[[#This Row],[Accrual to Date]]</f>
        <v>65000</v>
      </c>
      <c r="J25" s="59">
        <f>Finances[[#This Row],[LT_Budget]]-Finances[[#This Row],[Cash Out]]</f>
        <v>185000</v>
      </c>
      <c r="K25" s="58">
        <f>MAX([LT_Budget])</f>
        <v>2000000</v>
      </c>
      <c r="L25" s="1">
        <f>Projects[[#This Row],[Start Date]]+30</f>
        <v>45535</v>
      </c>
      <c r="M25" s="1">
        <f>Finances[[#This Row],[Milestone1]]+1</f>
        <v>45536</v>
      </c>
      <c r="N25" s="1">
        <f>Finances[[#This Row],[Milestone2]]+1</f>
        <v>45537</v>
      </c>
      <c r="O25" s="1">
        <f>Finances[[#This Row],[Milestone3]]+1</f>
        <v>45538</v>
      </c>
      <c r="P25" s="1">
        <f>Finances[[#This Row],[Milestone4]]+1</f>
        <v>45539</v>
      </c>
      <c r="Q25" s="1">
        <f>Finances[[#This Row],[Milestone5]]+1</f>
        <v>45540</v>
      </c>
      <c r="V25">
        <f t="shared" si="2"/>
        <v>6</v>
      </c>
      <c r="W25">
        <v>3</v>
      </c>
      <c r="X25">
        <v>5</v>
      </c>
      <c r="Y25">
        <v>6</v>
      </c>
      <c r="Z25">
        <v>8</v>
      </c>
      <c r="AA25">
        <v>8</v>
      </c>
      <c r="AB25" s="9">
        <f t="shared" si="1"/>
        <v>0.75</v>
      </c>
      <c r="AC25" s="1">
        <f>MAX('Project Data'!F25,L25:U25)</f>
        <v>45540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101"/>
  <sheetViews>
    <sheetView workbookViewId="0">
      <selection activeCell="K16" sqref="K16"/>
    </sheetView>
  </sheetViews>
  <sheetFormatPr defaultRowHeight="14.25"/>
  <cols>
    <col min="6" max="6" width="22" bestFit="1" customWidth="1"/>
    <col min="10" max="10" width="15.25" bestFit="1" customWidth="1"/>
    <col min="11" max="11" width="25.625" bestFit="1" customWidth="1"/>
  </cols>
  <sheetData>
    <row r="1" spans="1:11" ht="15">
      <c r="A1" s="49" t="s">
        <v>57</v>
      </c>
      <c r="B1" s="48" t="s">
        <v>58</v>
      </c>
      <c r="C1" s="48" t="s">
        <v>59</v>
      </c>
      <c r="D1" s="48" t="s">
        <v>60</v>
      </c>
      <c r="E1" s="48" t="s">
        <v>61</v>
      </c>
      <c r="F1" s="57" t="s">
        <v>62</v>
      </c>
    </row>
    <row r="2" spans="1:11">
      <c r="A2" s="60" t="s">
        <v>65</v>
      </c>
      <c r="B2" s="50">
        <v>45362</v>
      </c>
      <c r="C2" s="41" t="s">
        <v>66</v>
      </c>
      <c r="D2" s="41" t="s">
        <v>67</v>
      </c>
      <c r="E2" s="41">
        <v>3</v>
      </c>
      <c r="F2" s="61" t="s">
        <v>68</v>
      </c>
      <c r="J2" s="2" t="s">
        <v>273</v>
      </c>
      <c r="K2" t="s">
        <v>274</v>
      </c>
    </row>
    <row r="3" spans="1:11">
      <c r="A3" s="62" t="s">
        <v>69</v>
      </c>
      <c r="B3" s="51">
        <v>45140</v>
      </c>
      <c r="C3" s="40" t="s">
        <v>66</v>
      </c>
      <c r="D3" s="40" t="s">
        <v>67</v>
      </c>
      <c r="E3" s="40">
        <v>2</v>
      </c>
      <c r="F3" s="63" t="s">
        <v>70</v>
      </c>
      <c r="J3" s="3" t="s">
        <v>77</v>
      </c>
      <c r="K3" s="4">
        <v>1.925</v>
      </c>
    </row>
    <row r="4" spans="1:11">
      <c r="A4" s="60" t="s">
        <v>72</v>
      </c>
      <c r="B4" s="50">
        <v>45068</v>
      </c>
      <c r="C4" s="41" t="s">
        <v>66</v>
      </c>
      <c r="D4" s="41" t="s">
        <v>73</v>
      </c>
      <c r="E4" s="41">
        <v>2</v>
      </c>
      <c r="F4" s="61" t="s">
        <v>74</v>
      </c>
      <c r="J4" s="3" t="s">
        <v>67</v>
      </c>
      <c r="K4" s="4">
        <v>2.8181818181818183</v>
      </c>
    </row>
    <row r="5" spans="1:11">
      <c r="A5" s="62" t="s">
        <v>75</v>
      </c>
      <c r="B5" s="51">
        <v>45147</v>
      </c>
      <c r="C5" s="40" t="s">
        <v>76</v>
      </c>
      <c r="D5" s="40" t="s">
        <v>77</v>
      </c>
      <c r="E5" s="40">
        <v>2</v>
      </c>
      <c r="F5" s="63" t="s">
        <v>78</v>
      </c>
      <c r="J5" s="3" t="s">
        <v>73</v>
      </c>
      <c r="K5" s="4">
        <v>3.5925925925925926</v>
      </c>
    </row>
    <row r="6" spans="1:11">
      <c r="A6" s="60" t="s">
        <v>80</v>
      </c>
      <c r="B6" s="50">
        <v>45398</v>
      </c>
      <c r="C6" s="41" t="s">
        <v>66</v>
      </c>
      <c r="D6" s="41" t="s">
        <v>77</v>
      </c>
      <c r="E6" s="41">
        <v>3</v>
      </c>
      <c r="F6" s="61" t="s">
        <v>81</v>
      </c>
      <c r="J6" s="3" t="s">
        <v>275</v>
      </c>
      <c r="K6" s="4">
        <v>2.67</v>
      </c>
    </row>
    <row r="7" spans="1:11">
      <c r="A7" s="62" t="s">
        <v>82</v>
      </c>
      <c r="B7" s="51">
        <v>45139</v>
      </c>
      <c r="C7" s="40" t="s">
        <v>76</v>
      </c>
      <c r="D7" s="40" t="s">
        <v>77</v>
      </c>
      <c r="E7" s="40">
        <v>3</v>
      </c>
      <c r="F7" s="63" t="s">
        <v>83</v>
      </c>
    </row>
    <row r="8" spans="1:11">
      <c r="A8" s="60" t="s">
        <v>85</v>
      </c>
      <c r="B8" s="50">
        <v>45232</v>
      </c>
      <c r="C8" s="41" t="s">
        <v>76</v>
      </c>
      <c r="D8" s="41" t="s">
        <v>67</v>
      </c>
      <c r="E8" s="41">
        <v>1</v>
      </c>
      <c r="F8" s="61" t="s">
        <v>86</v>
      </c>
    </row>
    <row r="9" spans="1:11">
      <c r="A9" s="62" t="s">
        <v>87</v>
      </c>
      <c r="B9" s="51">
        <v>45361</v>
      </c>
      <c r="C9" s="40" t="s">
        <v>76</v>
      </c>
      <c r="D9" s="40" t="s">
        <v>77</v>
      </c>
      <c r="E9" s="40">
        <v>2</v>
      </c>
      <c r="F9" s="63" t="s">
        <v>88</v>
      </c>
    </row>
    <row r="10" spans="1:11">
      <c r="A10" s="60" t="s">
        <v>89</v>
      </c>
      <c r="B10" s="50">
        <v>45098</v>
      </c>
      <c r="C10" s="41" t="s">
        <v>66</v>
      </c>
      <c r="D10" s="41" t="s">
        <v>67</v>
      </c>
      <c r="E10" s="41">
        <v>3</v>
      </c>
      <c r="F10" s="61" t="s">
        <v>90</v>
      </c>
    </row>
    <row r="11" spans="1:11">
      <c r="A11" s="62" t="s">
        <v>91</v>
      </c>
      <c r="B11" s="51">
        <v>45236</v>
      </c>
      <c r="C11" s="40" t="s">
        <v>66</v>
      </c>
      <c r="D11" s="40" t="s">
        <v>77</v>
      </c>
      <c r="E11" s="40">
        <v>1</v>
      </c>
      <c r="F11" s="63" t="s">
        <v>92</v>
      </c>
    </row>
    <row r="12" spans="1:11">
      <c r="A12" s="60" t="s">
        <v>93</v>
      </c>
      <c r="B12" s="50">
        <v>45100</v>
      </c>
      <c r="C12" s="41" t="s">
        <v>66</v>
      </c>
      <c r="D12" s="41" t="s">
        <v>67</v>
      </c>
      <c r="E12" s="41">
        <v>2</v>
      </c>
      <c r="F12" s="61" t="s">
        <v>94</v>
      </c>
    </row>
    <row r="13" spans="1:11">
      <c r="A13" s="62" t="s">
        <v>95</v>
      </c>
      <c r="B13" s="51">
        <v>45363</v>
      </c>
      <c r="C13" s="40" t="s">
        <v>76</v>
      </c>
      <c r="D13" s="40" t="s">
        <v>77</v>
      </c>
      <c r="E13" s="40">
        <v>1</v>
      </c>
      <c r="F13" s="63" t="s">
        <v>96</v>
      </c>
    </row>
    <row r="14" spans="1:11">
      <c r="A14" s="60" t="s">
        <v>97</v>
      </c>
      <c r="B14" s="50">
        <v>45246</v>
      </c>
      <c r="C14" s="41" t="s">
        <v>76</v>
      </c>
      <c r="D14" s="41" t="s">
        <v>77</v>
      </c>
      <c r="E14" s="41">
        <v>1</v>
      </c>
      <c r="F14" s="61" t="s">
        <v>98</v>
      </c>
    </row>
    <row r="15" spans="1:11">
      <c r="A15" s="62" t="s">
        <v>99</v>
      </c>
      <c r="B15" s="51">
        <v>45343</v>
      </c>
      <c r="C15" s="40" t="s">
        <v>76</v>
      </c>
      <c r="D15" s="40" t="s">
        <v>67</v>
      </c>
      <c r="E15" s="40">
        <v>2</v>
      </c>
      <c r="F15" s="63" t="s">
        <v>100</v>
      </c>
    </row>
    <row r="16" spans="1:11">
      <c r="A16" s="60" t="s">
        <v>101</v>
      </c>
      <c r="B16" s="50">
        <v>45375</v>
      </c>
      <c r="C16" s="41" t="s">
        <v>76</v>
      </c>
      <c r="D16" s="41" t="s">
        <v>67</v>
      </c>
      <c r="E16" s="41">
        <v>5</v>
      </c>
      <c r="F16" s="61" t="s">
        <v>102</v>
      </c>
    </row>
    <row r="17" spans="1:6">
      <c r="A17" s="62" t="s">
        <v>103</v>
      </c>
      <c r="B17" s="51">
        <v>45357</v>
      </c>
      <c r="C17" s="40" t="s">
        <v>66</v>
      </c>
      <c r="D17" s="40" t="s">
        <v>73</v>
      </c>
      <c r="E17" s="40">
        <v>5</v>
      </c>
      <c r="F17" s="63" t="s">
        <v>104</v>
      </c>
    </row>
    <row r="18" spans="1:6">
      <c r="A18" s="60" t="s">
        <v>105</v>
      </c>
      <c r="B18" s="50">
        <v>45195</v>
      </c>
      <c r="C18" s="41" t="s">
        <v>66</v>
      </c>
      <c r="D18" s="41" t="s">
        <v>67</v>
      </c>
      <c r="E18" s="41">
        <v>3</v>
      </c>
      <c r="F18" s="61" t="s">
        <v>106</v>
      </c>
    </row>
    <row r="19" spans="1:6">
      <c r="A19" s="62" t="s">
        <v>107</v>
      </c>
      <c r="B19" s="51">
        <v>45057</v>
      </c>
      <c r="C19" s="40" t="s">
        <v>76</v>
      </c>
      <c r="D19" s="40" t="s">
        <v>67</v>
      </c>
      <c r="E19" s="40">
        <v>1</v>
      </c>
      <c r="F19" s="63" t="s">
        <v>108</v>
      </c>
    </row>
    <row r="20" spans="1:6">
      <c r="A20" s="60" t="s">
        <v>109</v>
      </c>
      <c r="B20" s="50">
        <v>45312</v>
      </c>
      <c r="C20" s="41" t="s">
        <v>66</v>
      </c>
      <c r="D20" s="41" t="s">
        <v>67</v>
      </c>
      <c r="E20" s="41">
        <v>2</v>
      </c>
      <c r="F20" s="61" t="s">
        <v>110</v>
      </c>
    </row>
    <row r="21" spans="1:6">
      <c r="A21" s="62" t="s">
        <v>111</v>
      </c>
      <c r="B21" s="51">
        <v>45210</v>
      </c>
      <c r="C21" s="40" t="s">
        <v>76</v>
      </c>
      <c r="D21" s="40" t="s">
        <v>73</v>
      </c>
      <c r="E21" s="40">
        <v>1</v>
      </c>
      <c r="F21" s="63" t="s">
        <v>112</v>
      </c>
    </row>
    <row r="22" spans="1:6">
      <c r="A22" s="60" t="s">
        <v>113</v>
      </c>
      <c r="B22" s="50">
        <v>45146</v>
      </c>
      <c r="C22" s="41" t="s">
        <v>76</v>
      </c>
      <c r="D22" s="41" t="s">
        <v>73</v>
      </c>
      <c r="E22" s="41">
        <v>4</v>
      </c>
      <c r="F22" s="61" t="s">
        <v>114</v>
      </c>
    </row>
    <row r="23" spans="1:6">
      <c r="A23" s="62" t="s">
        <v>115</v>
      </c>
      <c r="B23" s="51">
        <v>45298</v>
      </c>
      <c r="C23" s="40" t="s">
        <v>66</v>
      </c>
      <c r="D23" s="40" t="s">
        <v>67</v>
      </c>
      <c r="E23" s="40">
        <v>5</v>
      </c>
      <c r="F23" s="63" t="s">
        <v>116</v>
      </c>
    </row>
    <row r="24" spans="1:6">
      <c r="A24" s="60" t="s">
        <v>117</v>
      </c>
      <c r="B24" s="50">
        <v>45324</v>
      </c>
      <c r="C24" s="41" t="s">
        <v>76</v>
      </c>
      <c r="D24" s="41" t="s">
        <v>73</v>
      </c>
      <c r="E24" s="41">
        <v>1</v>
      </c>
      <c r="F24" s="61" t="s">
        <v>118</v>
      </c>
    </row>
    <row r="25" spans="1:6">
      <c r="A25" s="62" t="s">
        <v>119</v>
      </c>
      <c r="B25" s="51">
        <v>45037</v>
      </c>
      <c r="C25" s="40" t="s">
        <v>66</v>
      </c>
      <c r="D25" s="40" t="s">
        <v>77</v>
      </c>
      <c r="E25" s="40">
        <v>3</v>
      </c>
      <c r="F25" s="63" t="s">
        <v>120</v>
      </c>
    </row>
    <row r="26" spans="1:6">
      <c r="A26" s="60" t="s">
        <v>121</v>
      </c>
      <c r="B26" s="50">
        <v>45373</v>
      </c>
      <c r="C26" s="41" t="s">
        <v>66</v>
      </c>
      <c r="D26" s="41" t="s">
        <v>67</v>
      </c>
      <c r="E26" s="41">
        <v>3</v>
      </c>
      <c r="F26" s="61" t="s">
        <v>122</v>
      </c>
    </row>
    <row r="27" spans="1:6">
      <c r="A27" s="62" t="s">
        <v>123</v>
      </c>
      <c r="B27" s="51">
        <v>45279</v>
      </c>
      <c r="C27" s="40" t="s">
        <v>76</v>
      </c>
      <c r="D27" s="40" t="s">
        <v>67</v>
      </c>
      <c r="E27" s="40">
        <v>3</v>
      </c>
      <c r="F27" s="63" t="s">
        <v>124</v>
      </c>
    </row>
    <row r="28" spans="1:6">
      <c r="A28" s="60" t="s">
        <v>125</v>
      </c>
      <c r="B28" s="50">
        <v>45048</v>
      </c>
      <c r="C28" s="41" t="s">
        <v>66</v>
      </c>
      <c r="D28" s="41" t="s">
        <v>73</v>
      </c>
      <c r="E28" s="41">
        <v>5</v>
      </c>
      <c r="F28" s="61" t="s">
        <v>126</v>
      </c>
    </row>
    <row r="29" spans="1:6">
      <c r="A29" s="62" t="s">
        <v>127</v>
      </c>
      <c r="B29" s="51">
        <v>45254</v>
      </c>
      <c r="C29" s="40" t="s">
        <v>76</v>
      </c>
      <c r="D29" s="40" t="s">
        <v>77</v>
      </c>
      <c r="E29" s="40">
        <v>3</v>
      </c>
      <c r="F29" s="63" t="s">
        <v>128</v>
      </c>
    </row>
    <row r="30" spans="1:6">
      <c r="A30" s="60" t="s">
        <v>129</v>
      </c>
      <c r="B30" s="50">
        <v>45236</v>
      </c>
      <c r="C30" s="41" t="s">
        <v>76</v>
      </c>
      <c r="D30" s="41" t="s">
        <v>67</v>
      </c>
      <c r="E30" s="41">
        <v>5</v>
      </c>
      <c r="F30" s="61" t="s">
        <v>130</v>
      </c>
    </row>
    <row r="31" spans="1:6">
      <c r="A31" s="62" t="s">
        <v>131</v>
      </c>
      <c r="B31" s="51">
        <v>45401</v>
      </c>
      <c r="C31" s="40" t="s">
        <v>76</v>
      </c>
      <c r="D31" s="40" t="s">
        <v>77</v>
      </c>
      <c r="E31" s="40">
        <v>2</v>
      </c>
      <c r="F31" s="63" t="s">
        <v>132</v>
      </c>
    </row>
    <row r="32" spans="1:6">
      <c r="A32" s="60" t="s">
        <v>133</v>
      </c>
      <c r="B32" s="50">
        <v>45392</v>
      </c>
      <c r="C32" s="41" t="s">
        <v>66</v>
      </c>
      <c r="D32" s="41" t="s">
        <v>67</v>
      </c>
      <c r="E32" s="41">
        <v>4</v>
      </c>
      <c r="F32" s="61" t="s">
        <v>134</v>
      </c>
    </row>
    <row r="33" spans="1:6">
      <c r="A33" s="62" t="s">
        <v>135</v>
      </c>
      <c r="B33" s="51">
        <v>45311</v>
      </c>
      <c r="C33" s="40" t="s">
        <v>66</v>
      </c>
      <c r="D33" s="40" t="s">
        <v>77</v>
      </c>
      <c r="E33" s="40">
        <v>2</v>
      </c>
      <c r="F33" s="63" t="s">
        <v>136</v>
      </c>
    </row>
    <row r="34" spans="1:6">
      <c r="A34" s="60" t="s">
        <v>137</v>
      </c>
      <c r="B34" s="50">
        <v>45240</v>
      </c>
      <c r="C34" s="41" t="s">
        <v>66</v>
      </c>
      <c r="D34" s="41" t="s">
        <v>77</v>
      </c>
      <c r="E34" s="41">
        <v>2</v>
      </c>
      <c r="F34" s="61" t="s">
        <v>138</v>
      </c>
    </row>
    <row r="35" spans="1:6">
      <c r="A35" s="62" t="s">
        <v>139</v>
      </c>
      <c r="B35" s="51">
        <v>45086</v>
      </c>
      <c r="C35" s="40" t="s">
        <v>66</v>
      </c>
      <c r="D35" s="40" t="s">
        <v>67</v>
      </c>
      <c r="E35" s="40">
        <v>3</v>
      </c>
      <c r="F35" s="63" t="s">
        <v>140</v>
      </c>
    </row>
    <row r="36" spans="1:6">
      <c r="A36" s="60" t="s">
        <v>141</v>
      </c>
      <c r="B36" s="50">
        <v>45098</v>
      </c>
      <c r="C36" s="41" t="s">
        <v>66</v>
      </c>
      <c r="D36" s="41" t="s">
        <v>77</v>
      </c>
      <c r="E36" s="41">
        <v>1</v>
      </c>
      <c r="F36" s="61" t="s">
        <v>142</v>
      </c>
    </row>
    <row r="37" spans="1:6">
      <c r="A37" s="62" t="s">
        <v>143</v>
      </c>
      <c r="B37" s="51">
        <v>45354</v>
      </c>
      <c r="C37" s="40" t="s">
        <v>66</v>
      </c>
      <c r="D37" s="40" t="s">
        <v>73</v>
      </c>
      <c r="E37" s="40">
        <v>4</v>
      </c>
      <c r="F37" s="63" t="s">
        <v>144</v>
      </c>
    </row>
    <row r="38" spans="1:6">
      <c r="A38" s="60" t="s">
        <v>145</v>
      </c>
      <c r="B38" s="50">
        <v>45147</v>
      </c>
      <c r="C38" s="41" t="s">
        <v>76</v>
      </c>
      <c r="D38" s="41" t="s">
        <v>67</v>
      </c>
      <c r="E38" s="41">
        <v>3</v>
      </c>
      <c r="F38" s="61" t="s">
        <v>146</v>
      </c>
    </row>
    <row r="39" spans="1:6">
      <c r="A39" s="62" t="s">
        <v>147</v>
      </c>
      <c r="B39" s="51">
        <v>45139</v>
      </c>
      <c r="C39" s="40" t="s">
        <v>66</v>
      </c>
      <c r="D39" s="40" t="s">
        <v>73</v>
      </c>
      <c r="E39" s="40">
        <v>4</v>
      </c>
      <c r="F39" s="63" t="s">
        <v>148</v>
      </c>
    </row>
    <row r="40" spans="1:6">
      <c r="A40" s="60" t="s">
        <v>149</v>
      </c>
      <c r="B40" s="50">
        <v>45151</v>
      </c>
      <c r="C40" s="41" t="s">
        <v>66</v>
      </c>
      <c r="D40" s="41" t="s">
        <v>73</v>
      </c>
      <c r="E40" s="41">
        <v>5</v>
      </c>
      <c r="F40" s="61" t="s">
        <v>150</v>
      </c>
    </row>
    <row r="41" spans="1:6">
      <c r="A41" s="62" t="s">
        <v>151</v>
      </c>
      <c r="B41" s="51">
        <v>45319</v>
      </c>
      <c r="C41" s="40" t="s">
        <v>66</v>
      </c>
      <c r="D41" s="40" t="s">
        <v>77</v>
      </c>
      <c r="E41" s="40">
        <v>1</v>
      </c>
      <c r="F41" s="63" t="s">
        <v>152</v>
      </c>
    </row>
    <row r="42" spans="1:6">
      <c r="A42" s="60" t="s">
        <v>153</v>
      </c>
      <c r="B42" s="50">
        <v>45196</v>
      </c>
      <c r="C42" s="41" t="s">
        <v>76</v>
      </c>
      <c r="D42" s="41" t="s">
        <v>73</v>
      </c>
      <c r="E42" s="41">
        <v>1</v>
      </c>
      <c r="F42" s="61" t="s">
        <v>154</v>
      </c>
    </row>
    <row r="43" spans="1:6">
      <c r="A43" s="62" t="s">
        <v>155</v>
      </c>
      <c r="B43" s="51">
        <v>45254</v>
      </c>
      <c r="C43" s="40" t="s">
        <v>76</v>
      </c>
      <c r="D43" s="40" t="s">
        <v>73</v>
      </c>
      <c r="E43" s="40">
        <v>4</v>
      </c>
      <c r="F43" s="63" t="s">
        <v>156</v>
      </c>
    </row>
    <row r="44" spans="1:6">
      <c r="A44" s="60" t="s">
        <v>157</v>
      </c>
      <c r="B44" s="50">
        <v>45367</v>
      </c>
      <c r="C44" s="41" t="s">
        <v>66</v>
      </c>
      <c r="D44" s="41" t="s">
        <v>73</v>
      </c>
      <c r="E44" s="41">
        <v>1</v>
      </c>
      <c r="F44" s="61" t="s">
        <v>158</v>
      </c>
    </row>
    <row r="45" spans="1:6">
      <c r="A45" s="62" t="s">
        <v>159</v>
      </c>
      <c r="B45" s="51">
        <v>45215</v>
      </c>
      <c r="C45" s="40" t="s">
        <v>76</v>
      </c>
      <c r="D45" s="40" t="s">
        <v>77</v>
      </c>
      <c r="E45" s="40">
        <v>3</v>
      </c>
      <c r="F45" s="63" t="s">
        <v>160</v>
      </c>
    </row>
    <row r="46" spans="1:6">
      <c r="A46" s="60" t="s">
        <v>161</v>
      </c>
      <c r="B46" s="50">
        <v>45046</v>
      </c>
      <c r="C46" s="41" t="s">
        <v>76</v>
      </c>
      <c r="D46" s="41" t="s">
        <v>67</v>
      </c>
      <c r="E46" s="41">
        <v>5</v>
      </c>
      <c r="F46" s="61" t="s">
        <v>162</v>
      </c>
    </row>
    <row r="47" spans="1:6">
      <c r="A47" s="62" t="s">
        <v>163</v>
      </c>
      <c r="B47" s="51">
        <v>45161</v>
      </c>
      <c r="C47" s="40" t="s">
        <v>66</v>
      </c>
      <c r="D47" s="40" t="s">
        <v>77</v>
      </c>
      <c r="E47" s="40">
        <v>1</v>
      </c>
      <c r="F47" s="63" t="s">
        <v>164</v>
      </c>
    </row>
    <row r="48" spans="1:6">
      <c r="A48" s="60" t="s">
        <v>165</v>
      </c>
      <c r="B48" s="50">
        <v>45036</v>
      </c>
      <c r="C48" s="41" t="s">
        <v>76</v>
      </c>
      <c r="D48" s="41" t="s">
        <v>77</v>
      </c>
      <c r="E48" s="41">
        <v>2</v>
      </c>
      <c r="F48" s="61" t="s">
        <v>166</v>
      </c>
    </row>
    <row r="49" spans="1:6">
      <c r="A49" s="62" t="s">
        <v>167</v>
      </c>
      <c r="B49" s="51">
        <v>45185</v>
      </c>
      <c r="C49" s="40" t="s">
        <v>76</v>
      </c>
      <c r="D49" s="40" t="s">
        <v>77</v>
      </c>
      <c r="E49" s="40">
        <v>2</v>
      </c>
      <c r="F49" s="63" t="s">
        <v>168</v>
      </c>
    </row>
    <row r="50" spans="1:6">
      <c r="A50" s="60" t="s">
        <v>169</v>
      </c>
      <c r="B50" s="50">
        <v>45075</v>
      </c>
      <c r="C50" s="41" t="s">
        <v>66</v>
      </c>
      <c r="D50" s="41" t="s">
        <v>77</v>
      </c>
      <c r="E50" s="41">
        <v>1</v>
      </c>
      <c r="F50" s="61" t="s">
        <v>170</v>
      </c>
    </row>
    <row r="51" spans="1:6">
      <c r="A51" s="62" t="s">
        <v>171</v>
      </c>
      <c r="B51" s="51">
        <v>45088</v>
      </c>
      <c r="C51" s="40" t="s">
        <v>66</v>
      </c>
      <c r="D51" s="40" t="s">
        <v>77</v>
      </c>
      <c r="E51" s="40">
        <v>1</v>
      </c>
      <c r="F51" s="63" t="s">
        <v>172</v>
      </c>
    </row>
    <row r="52" spans="1:6">
      <c r="A52" s="60" t="s">
        <v>173</v>
      </c>
      <c r="B52" s="50">
        <v>45196</v>
      </c>
      <c r="C52" s="41" t="s">
        <v>66</v>
      </c>
      <c r="D52" s="41" t="s">
        <v>67</v>
      </c>
      <c r="E52" s="41">
        <v>4</v>
      </c>
      <c r="F52" s="61" t="s">
        <v>174</v>
      </c>
    </row>
    <row r="53" spans="1:6">
      <c r="A53" s="62" t="s">
        <v>175</v>
      </c>
      <c r="B53" s="51">
        <v>45127</v>
      </c>
      <c r="C53" s="40" t="s">
        <v>66</v>
      </c>
      <c r="D53" s="40" t="s">
        <v>77</v>
      </c>
      <c r="E53" s="40">
        <v>1</v>
      </c>
      <c r="F53" s="63" t="s">
        <v>176</v>
      </c>
    </row>
    <row r="54" spans="1:6">
      <c r="A54" s="60" t="s">
        <v>177</v>
      </c>
      <c r="B54" s="50">
        <v>45178</v>
      </c>
      <c r="C54" s="41" t="s">
        <v>76</v>
      </c>
      <c r="D54" s="41" t="s">
        <v>77</v>
      </c>
      <c r="E54" s="41">
        <v>2</v>
      </c>
      <c r="F54" s="61" t="s">
        <v>178</v>
      </c>
    </row>
    <row r="55" spans="1:6">
      <c r="A55" s="62" t="s">
        <v>179</v>
      </c>
      <c r="B55" s="51">
        <v>45332</v>
      </c>
      <c r="C55" s="40" t="s">
        <v>76</v>
      </c>
      <c r="D55" s="40" t="s">
        <v>77</v>
      </c>
      <c r="E55" s="40">
        <v>3</v>
      </c>
      <c r="F55" s="63" t="s">
        <v>180</v>
      </c>
    </row>
    <row r="56" spans="1:6">
      <c r="A56" s="60" t="s">
        <v>181</v>
      </c>
      <c r="B56" s="50">
        <v>45080</v>
      </c>
      <c r="C56" s="41" t="s">
        <v>76</v>
      </c>
      <c r="D56" s="41" t="s">
        <v>77</v>
      </c>
      <c r="E56" s="41">
        <v>3</v>
      </c>
      <c r="F56" s="61" t="s">
        <v>182</v>
      </c>
    </row>
    <row r="57" spans="1:6">
      <c r="A57" s="62" t="s">
        <v>183</v>
      </c>
      <c r="B57" s="51">
        <v>45223</v>
      </c>
      <c r="C57" s="40" t="s">
        <v>66</v>
      </c>
      <c r="D57" s="40" t="s">
        <v>67</v>
      </c>
      <c r="E57" s="40">
        <v>1</v>
      </c>
      <c r="F57" s="63" t="s">
        <v>184</v>
      </c>
    </row>
    <row r="58" spans="1:6">
      <c r="A58" s="60" t="s">
        <v>185</v>
      </c>
      <c r="B58" s="50">
        <v>45302</v>
      </c>
      <c r="C58" s="41" t="s">
        <v>66</v>
      </c>
      <c r="D58" s="41" t="s">
        <v>77</v>
      </c>
      <c r="E58" s="41">
        <v>2</v>
      </c>
      <c r="F58" s="61" t="s">
        <v>186</v>
      </c>
    </row>
    <row r="59" spans="1:6">
      <c r="A59" s="62" t="s">
        <v>187</v>
      </c>
      <c r="B59" s="51">
        <v>45373</v>
      </c>
      <c r="C59" s="40" t="s">
        <v>66</v>
      </c>
      <c r="D59" s="40" t="s">
        <v>77</v>
      </c>
      <c r="E59" s="40">
        <v>2</v>
      </c>
      <c r="F59" s="63" t="s">
        <v>188</v>
      </c>
    </row>
    <row r="60" spans="1:6">
      <c r="A60" s="60" t="s">
        <v>189</v>
      </c>
      <c r="B60" s="50">
        <v>45283</v>
      </c>
      <c r="C60" s="41" t="s">
        <v>76</v>
      </c>
      <c r="D60" s="41" t="s">
        <v>73</v>
      </c>
      <c r="E60" s="41">
        <v>4</v>
      </c>
      <c r="F60" s="61" t="s">
        <v>190</v>
      </c>
    </row>
    <row r="61" spans="1:6">
      <c r="A61" s="62" t="s">
        <v>191</v>
      </c>
      <c r="B61" s="51">
        <v>45244</v>
      </c>
      <c r="C61" s="40" t="s">
        <v>76</v>
      </c>
      <c r="D61" s="40" t="s">
        <v>77</v>
      </c>
      <c r="E61" s="40">
        <v>2</v>
      </c>
      <c r="F61" s="63" t="s">
        <v>192</v>
      </c>
    </row>
    <row r="62" spans="1:6">
      <c r="A62" s="60" t="s">
        <v>193</v>
      </c>
      <c r="B62" s="50">
        <v>45251</v>
      </c>
      <c r="C62" s="41" t="s">
        <v>76</v>
      </c>
      <c r="D62" s="41" t="s">
        <v>73</v>
      </c>
      <c r="E62" s="41">
        <v>4</v>
      </c>
      <c r="F62" s="61" t="s">
        <v>194</v>
      </c>
    </row>
    <row r="63" spans="1:6">
      <c r="A63" s="62" t="s">
        <v>195</v>
      </c>
      <c r="B63" s="51">
        <v>45290</v>
      </c>
      <c r="C63" s="40" t="s">
        <v>76</v>
      </c>
      <c r="D63" s="40" t="s">
        <v>77</v>
      </c>
      <c r="E63" s="40">
        <v>2</v>
      </c>
      <c r="F63" s="63" t="s">
        <v>196</v>
      </c>
    </row>
    <row r="64" spans="1:6">
      <c r="A64" s="60" t="s">
        <v>197</v>
      </c>
      <c r="B64" s="50">
        <v>45190</v>
      </c>
      <c r="C64" s="41" t="s">
        <v>76</v>
      </c>
      <c r="D64" s="41" t="s">
        <v>67</v>
      </c>
      <c r="E64" s="41">
        <v>3</v>
      </c>
      <c r="F64" s="61" t="s">
        <v>198</v>
      </c>
    </row>
    <row r="65" spans="1:6">
      <c r="A65" s="62" t="s">
        <v>199</v>
      </c>
      <c r="B65" s="51">
        <v>45339</v>
      </c>
      <c r="C65" s="40" t="s">
        <v>76</v>
      </c>
      <c r="D65" s="40" t="s">
        <v>77</v>
      </c>
      <c r="E65" s="40">
        <v>2</v>
      </c>
      <c r="F65" s="63" t="s">
        <v>200</v>
      </c>
    </row>
    <row r="66" spans="1:6">
      <c r="A66" s="60" t="s">
        <v>201</v>
      </c>
      <c r="B66" s="50">
        <v>45323</v>
      </c>
      <c r="C66" s="41" t="s">
        <v>66</v>
      </c>
      <c r="D66" s="41" t="s">
        <v>73</v>
      </c>
      <c r="E66" s="41">
        <v>5</v>
      </c>
      <c r="F66" s="61" t="s">
        <v>202</v>
      </c>
    </row>
    <row r="67" spans="1:6">
      <c r="A67" s="62" t="s">
        <v>203</v>
      </c>
      <c r="B67" s="51">
        <v>45187</v>
      </c>
      <c r="C67" s="40" t="s">
        <v>76</v>
      </c>
      <c r="D67" s="40" t="s">
        <v>73</v>
      </c>
      <c r="E67" s="40">
        <v>3</v>
      </c>
      <c r="F67" s="63" t="s">
        <v>204</v>
      </c>
    </row>
    <row r="68" spans="1:6">
      <c r="A68" s="60" t="s">
        <v>205</v>
      </c>
      <c r="B68" s="50">
        <v>45070</v>
      </c>
      <c r="C68" s="41" t="s">
        <v>76</v>
      </c>
      <c r="D68" s="41" t="s">
        <v>73</v>
      </c>
      <c r="E68" s="41">
        <v>4</v>
      </c>
      <c r="F68" s="61" t="s">
        <v>206</v>
      </c>
    </row>
    <row r="69" spans="1:6">
      <c r="A69" s="62" t="s">
        <v>207</v>
      </c>
      <c r="B69" s="51">
        <v>45153</v>
      </c>
      <c r="C69" s="40" t="s">
        <v>76</v>
      </c>
      <c r="D69" s="40" t="s">
        <v>67</v>
      </c>
      <c r="E69" s="40">
        <v>3</v>
      </c>
      <c r="F69" s="63" t="s">
        <v>208</v>
      </c>
    </row>
    <row r="70" spans="1:6">
      <c r="A70" s="60" t="s">
        <v>209</v>
      </c>
      <c r="B70" s="50">
        <v>45263</v>
      </c>
      <c r="C70" s="41" t="s">
        <v>66</v>
      </c>
      <c r="D70" s="41" t="s">
        <v>77</v>
      </c>
      <c r="E70" s="41">
        <v>1</v>
      </c>
      <c r="F70" s="61" t="s">
        <v>210</v>
      </c>
    </row>
    <row r="71" spans="1:6">
      <c r="A71" s="62" t="s">
        <v>211</v>
      </c>
      <c r="B71" s="51">
        <v>45327</v>
      </c>
      <c r="C71" s="40" t="s">
        <v>76</v>
      </c>
      <c r="D71" s="40" t="s">
        <v>73</v>
      </c>
      <c r="E71" s="40">
        <v>5</v>
      </c>
      <c r="F71" s="63" t="s">
        <v>212</v>
      </c>
    </row>
    <row r="72" spans="1:6">
      <c r="A72" s="60" t="s">
        <v>213</v>
      </c>
      <c r="B72" s="50">
        <v>45083</v>
      </c>
      <c r="C72" s="41" t="s">
        <v>66</v>
      </c>
      <c r="D72" s="41" t="s">
        <v>73</v>
      </c>
      <c r="E72" s="41">
        <v>5</v>
      </c>
      <c r="F72" s="61" t="s">
        <v>214</v>
      </c>
    </row>
    <row r="73" spans="1:6">
      <c r="A73" s="62" t="s">
        <v>215</v>
      </c>
      <c r="B73" s="51">
        <v>45285</v>
      </c>
      <c r="C73" s="40" t="s">
        <v>66</v>
      </c>
      <c r="D73" s="40" t="s">
        <v>77</v>
      </c>
      <c r="E73" s="40">
        <v>3</v>
      </c>
      <c r="F73" s="63" t="s">
        <v>216</v>
      </c>
    </row>
    <row r="74" spans="1:6">
      <c r="A74" s="60" t="s">
        <v>217</v>
      </c>
      <c r="B74" s="50">
        <v>45313</v>
      </c>
      <c r="C74" s="41" t="s">
        <v>76</v>
      </c>
      <c r="D74" s="41" t="s">
        <v>73</v>
      </c>
      <c r="E74" s="41">
        <v>5</v>
      </c>
      <c r="F74" s="61" t="s">
        <v>218</v>
      </c>
    </row>
    <row r="75" spans="1:6">
      <c r="A75" s="62" t="s">
        <v>219</v>
      </c>
      <c r="B75" s="51">
        <v>45365</v>
      </c>
      <c r="C75" s="40" t="s">
        <v>66</v>
      </c>
      <c r="D75" s="40" t="s">
        <v>73</v>
      </c>
      <c r="E75" s="40">
        <v>5</v>
      </c>
      <c r="F75" s="63" t="s">
        <v>220</v>
      </c>
    </row>
    <row r="76" spans="1:6">
      <c r="A76" s="60" t="s">
        <v>221</v>
      </c>
      <c r="B76" s="50">
        <v>45065</v>
      </c>
      <c r="C76" s="41" t="s">
        <v>66</v>
      </c>
      <c r="D76" s="41" t="s">
        <v>67</v>
      </c>
      <c r="E76" s="41">
        <v>2</v>
      </c>
      <c r="F76" s="61" t="s">
        <v>222</v>
      </c>
    </row>
    <row r="77" spans="1:6">
      <c r="A77" s="62" t="s">
        <v>223</v>
      </c>
      <c r="B77" s="51">
        <v>45313</v>
      </c>
      <c r="C77" s="40" t="s">
        <v>76</v>
      </c>
      <c r="D77" s="40" t="s">
        <v>67</v>
      </c>
      <c r="E77" s="40">
        <v>2</v>
      </c>
      <c r="F77" s="63" t="s">
        <v>224</v>
      </c>
    </row>
    <row r="78" spans="1:6">
      <c r="A78" s="60" t="s">
        <v>225</v>
      </c>
      <c r="B78" s="50">
        <v>45257</v>
      </c>
      <c r="C78" s="41" t="s">
        <v>66</v>
      </c>
      <c r="D78" s="41" t="s">
        <v>67</v>
      </c>
      <c r="E78" s="41">
        <v>2</v>
      </c>
      <c r="F78" s="61" t="s">
        <v>226</v>
      </c>
    </row>
    <row r="79" spans="1:6">
      <c r="A79" s="62" t="s">
        <v>227</v>
      </c>
      <c r="B79" s="51">
        <v>45069</v>
      </c>
      <c r="C79" s="40" t="s">
        <v>66</v>
      </c>
      <c r="D79" s="40" t="s">
        <v>67</v>
      </c>
      <c r="E79" s="40">
        <v>1</v>
      </c>
      <c r="F79" s="63" t="s">
        <v>228</v>
      </c>
    </row>
    <row r="80" spans="1:6">
      <c r="A80" s="60" t="s">
        <v>229</v>
      </c>
      <c r="B80" s="50">
        <v>45265</v>
      </c>
      <c r="C80" s="41" t="s">
        <v>66</v>
      </c>
      <c r="D80" s="41" t="s">
        <v>77</v>
      </c>
      <c r="E80" s="41">
        <v>1</v>
      </c>
      <c r="F80" s="61" t="s">
        <v>230</v>
      </c>
    </row>
    <row r="81" spans="1:6">
      <c r="A81" s="62" t="s">
        <v>231</v>
      </c>
      <c r="B81" s="51">
        <v>45065</v>
      </c>
      <c r="C81" s="40" t="s">
        <v>76</v>
      </c>
      <c r="D81" s="40" t="s">
        <v>77</v>
      </c>
      <c r="E81" s="40">
        <v>2</v>
      </c>
      <c r="F81" s="63" t="s">
        <v>232</v>
      </c>
    </row>
    <row r="82" spans="1:6">
      <c r="A82" s="60" t="s">
        <v>233</v>
      </c>
      <c r="B82" s="50">
        <v>45061</v>
      </c>
      <c r="C82" s="41" t="s">
        <v>76</v>
      </c>
      <c r="D82" s="41" t="s">
        <v>73</v>
      </c>
      <c r="E82" s="41">
        <v>4</v>
      </c>
      <c r="F82" s="61" t="s">
        <v>234</v>
      </c>
    </row>
    <row r="83" spans="1:6">
      <c r="A83" s="62" t="s">
        <v>235</v>
      </c>
      <c r="B83" s="51">
        <v>45365</v>
      </c>
      <c r="C83" s="40" t="s">
        <v>76</v>
      </c>
      <c r="D83" s="40" t="s">
        <v>77</v>
      </c>
      <c r="E83" s="40">
        <v>1</v>
      </c>
      <c r="F83" s="63" t="s">
        <v>236</v>
      </c>
    </row>
    <row r="84" spans="1:6">
      <c r="A84" s="60" t="s">
        <v>237</v>
      </c>
      <c r="B84" s="50">
        <v>45387</v>
      </c>
      <c r="C84" s="41" t="s">
        <v>76</v>
      </c>
      <c r="D84" s="41" t="s">
        <v>77</v>
      </c>
      <c r="E84" s="41">
        <v>3</v>
      </c>
      <c r="F84" s="61" t="s">
        <v>238</v>
      </c>
    </row>
    <row r="85" spans="1:6">
      <c r="A85" s="62" t="s">
        <v>239</v>
      </c>
      <c r="B85" s="51">
        <v>45117</v>
      </c>
      <c r="C85" s="40" t="s">
        <v>76</v>
      </c>
      <c r="D85" s="40" t="s">
        <v>73</v>
      </c>
      <c r="E85" s="40">
        <v>1</v>
      </c>
      <c r="F85" s="63" t="s">
        <v>240</v>
      </c>
    </row>
    <row r="86" spans="1:6">
      <c r="A86" s="60" t="s">
        <v>241</v>
      </c>
      <c r="B86" s="50">
        <v>45355</v>
      </c>
      <c r="C86" s="41" t="s">
        <v>66</v>
      </c>
      <c r="D86" s="41" t="s">
        <v>67</v>
      </c>
      <c r="E86" s="41">
        <v>2</v>
      </c>
      <c r="F86" s="61" t="s">
        <v>242</v>
      </c>
    </row>
    <row r="87" spans="1:6">
      <c r="A87" s="62" t="s">
        <v>243</v>
      </c>
      <c r="B87" s="51">
        <v>45106</v>
      </c>
      <c r="C87" s="40" t="s">
        <v>66</v>
      </c>
      <c r="D87" s="40" t="s">
        <v>77</v>
      </c>
      <c r="E87" s="40">
        <v>2</v>
      </c>
      <c r="F87" s="63" t="s">
        <v>244</v>
      </c>
    </row>
    <row r="88" spans="1:6">
      <c r="A88" s="60" t="s">
        <v>245</v>
      </c>
      <c r="B88" s="50">
        <v>45382</v>
      </c>
      <c r="C88" s="41" t="s">
        <v>76</v>
      </c>
      <c r="D88" s="41" t="s">
        <v>77</v>
      </c>
      <c r="E88" s="41">
        <v>2</v>
      </c>
      <c r="F88" s="61" t="s">
        <v>246</v>
      </c>
    </row>
    <row r="89" spans="1:6">
      <c r="A89" s="62" t="s">
        <v>247</v>
      </c>
      <c r="B89" s="51">
        <v>45287</v>
      </c>
      <c r="C89" s="40" t="s">
        <v>76</v>
      </c>
      <c r="D89" s="40" t="s">
        <v>77</v>
      </c>
      <c r="E89" s="40">
        <v>2</v>
      </c>
      <c r="F89" s="63" t="s">
        <v>248</v>
      </c>
    </row>
    <row r="90" spans="1:6">
      <c r="A90" s="60" t="s">
        <v>249</v>
      </c>
      <c r="B90" s="50">
        <v>45279</v>
      </c>
      <c r="C90" s="41" t="s">
        <v>66</v>
      </c>
      <c r="D90" s="41" t="s">
        <v>77</v>
      </c>
      <c r="E90" s="41">
        <v>1</v>
      </c>
      <c r="F90" s="61" t="s">
        <v>250</v>
      </c>
    </row>
    <row r="91" spans="1:6">
      <c r="A91" s="62" t="s">
        <v>251</v>
      </c>
      <c r="B91" s="51">
        <v>45145</v>
      </c>
      <c r="C91" s="40" t="s">
        <v>76</v>
      </c>
      <c r="D91" s="40" t="s">
        <v>67</v>
      </c>
      <c r="E91" s="40">
        <v>3</v>
      </c>
      <c r="F91" s="63" t="s">
        <v>252</v>
      </c>
    </row>
    <row r="92" spans="1:6">
      <c r="A92" s="60" t="s">
        <v>253</v>
      </c>
      <c r="B92" s="50">
        <v>45106</v>
      </c>
      <c r="C92" s="41" t="s">
        <v>66</v>
      </c>
      <c r="D92" s="41" t="s">
        <v>73</v>
      </c>
      <c r="E92" s="41">
        <v>5</v>
      </c>
      <c r="F92" s="61" t="s">
        <v>254</v>
      </c>
    </row>
    <row r="93" spans="1:6">
      <c r="A93" s="62" t="s">
        <v>255</v>
      </c>
      <c r="B93" s="51">
        <v>45343</v>
      </c>
      <c r="C93" s="40" t="s">
        <v>76</v>
      </c>
      <c r="D93" s="40" t="s">
        <v>67</v>
      </c>
      <c r="E93" s="40">
        <v>3</v>
      </c>
      <c r="F93" s="63" t="s">
        <v>256</v>
      </c>
    </row>
    <row r="94" spans="1:6">
      <c r="A94" s="60" t="s">
        <v>257</v>
      </c>
      <c r="B94" s="50">
        <v>45371</v>
      </c>
      <c r="C94" s="41" t="s">
        <v>76</v>
      </c>
      <c r="D94" s="41" t="s">
        <v>67</v>
      </c>
      <c r="E94" s="41">
        <v>2</v>
      </c>
      <c r="F94" s="61" t="s">
        <v>258</v>
      </c>
    </row>
    <row r="95" spans="1:6">
      <c r="A95" s="62" t="s">
        <v>259</v>
      </c>
      <c r="B95" s="51">
        <v>45323</v>
      </c>
      <c r="C95" s="40" t="s">
        <v>76</v>
      </c>
      <c r="D95" s="40" t="s">
        <v>77</v>
      </c>
      <c r="E95" s="40">
        <v>3</v>
      </c>
      <c r="F95" s="63" t="s">
        <v>260</v>
      </c>
    </row>
    <row r="96" spans="1:6">
      <c r="A96" s="60" t="s">
        <v>261</v>
      </c>
      <c r="B96" s="50">
        <v>45139</v>
      </c>
      <c r="C96" s="41" t="s">
        <v>76</v>
      </c>
      <c r="D96" s="41" t="s">
        <v>73</v>
      </c>
      <c r="E96" s="41">
        <v>3</v>
      </c>
      <c r="F96" s="61" t="s">
        <v>262</v>
      </c>
    </row>
    <row r="97" spans="1:6">
      <c r="A97" s="62" t="s">
        <v>263</v>
      </c>
      <c r="B97" s="51">
        <v>45158</v>
      </c>
      <c r="C97" s="40" t="s">
        <v>76</v>
      </c>
      <c r="D97" s="40" t="s">
        <v>67</v>
      </c>
      <c r="E97" s="40">
        <v>5</v>
      </c>
      <c r="F97" s="63" t="s">
        <v>264</v>
      </c>
    </row>
    <row r="98" spans="1:6">
      <c r="A98" s="60" t="s">
        <v>265</v>
      </c>
      <c r="B98" s="50">
        <v>45333</v>
      </c>
      <c r="C98" s="41" t="s">
        <v>76</v>
      </c>
      <c r="D98" s="41" t="s">
        <v>67</v>
      </c>
      <c r="E98" s="41">
        <v>4</v>
      </c>
      <c r="F98" s="61" t="s">
        <v>266</v>
      </c>
    </row>
    <row r="99" spans="1:6">
      <c r="A99" s="62" t="s">
        <v>267</v>
      </c>
      <c r="B99" s="51">
        <v>45195</v>
      </c>
      <c r="C99" s="40" t="s">
        <v>76</v>
      </c>
      <c r="D99" s="40" t="s">
        <v>67</v>
      </c>
      <c r="E99" s="40">
        <v>1</v>
      </c>
      <c r="F99" s="63" t="s">
        <v>268</v>
      </c>
    </row>
    <row r="100" spans="1:6">
      <c r="A100" s="60" t="s">
        <v>269</v>
      </c>
      <c r="B100" s="50">
        <v>45332</v>
      </c>
      <c r="C100" s="41" t="s">
        <v>66</v>
      </c>
      <c r="D100" s="41" t="s">
        <v>73</v>
      </c>
      <c r="E100" s="41">
        <v>5</v>
      </c>
      <c r="F100" s="61" t="s">
        <v>270</v>
      </c>
    </row>
    <row r="101" spans="1:6">
      <c r="A101" s="62" t="s">
        <v>271</v>
      </c>
      <c r="B101" s="51">
        <v>45185</v>
      </c>
      <c r="C101" s="40" t="s">
        <v>76</v>
      </c>
      <c r="D101" s="40" t="s">
        <v>73</v>
      </c>
      <c r="E101" s="40">
        <v>2</v>
      </c>
      <c r="F101" s="63" t="s"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H9" sqref="H9"/>
    </sheetView>
  </sheetViews>
  <sheetFormatPr defaultRowHeight="14.25"/>
  <cols>
    <col min="1" max="1" width="42.75" bestFit="1" customWidth="1"/>
    <col min="2" max="2" width="10.25" bestFit="1" customWidth="1"/>
    <col min="3" max="3" width="11" bestFit="1" customWidth="1"/>
    <col min="4" max="6" width="10.25" bestFit="1" customWidth="1"/>
  </cols>
  <sheetData>
    <row r="1" spans="1:9" ht="15">
      <c r="A1" t="s">
        <v>0</v>
      </c>
      <c r="G1" s="10" t="s">
        <v>1</v>
      </c>
      <c r="H1" t="s">
        <v>2</v>
      </c>
      <c r="I1" s="21" t="s">
        <v>29</v>
      </c>
    </row>
    <row r="2" spans="1:9">
      <c r="A2" s="11" t="s">
        <v>3</v>
      </c>
      <c r="B2" s="11" t="s">
        <v>4</v>
      </c>
      <c r="C2" s="13" t="s">
        <v>5</v>
      </c>
      <c r="D2" s="13" t="s">
        <v>6</v>
      </c>
      <c r="E2" s="12" t="s">
        <v>7</v>
      </c>
      <c r="F2" s="12" t="s">
        <v>8</v>
      </c>
    </row>
    <row r="3" spans="1:9" ht="15">
      <c r="A3" s="20" t="s">
        <v>9</v>
      </c>
    </row>
    <row r="6" spans="1:9">
      <c r="A6" t="s">
        <v>30</v>
      </c>
    </row>
    <row r="7" spans="1:9" ht="15">
      <c r="A7" s="9">
        <v>0.75</v>
      </c>
      <c r="B7">
        <v>4</v>
      </c>
      <c r="C7" s="14" t="s">
        <v>31</v>
      </c>
      <c r="D7" t="s">
        <v>32</v>
      </c>
    </row>
    <row r="8" spans="1:9" ht="15">
      <c r="A8" s="9">
        <v>0.5</v>
      </c>
      <c r="B8">
        <v>3</v>
      </c>
      <c r="C8" s="17" t="s">
        <v>31</v>
      </c>
      <c r="D8" t="s">
        <v>33</v>
      </c>
    </row>
    <row r="9" spans="1:9" ht="15">
      <c r="A9" s="9">
        <v>0.25</v>
      </c>
      <c r="B9">
        <v>2</v>
      </c>
      <c r="C9" s="16" t="s">
        <v>31</v>
      </c>
      <c r="D9" t="s">
        <v>34</v>
      </c>
    </row>
    <row r="10" spans="1:9" ht="15">
      <c r="A10" s="9">
        <v>0</v>
      </c>
      <c r="B10">
        <v>1</v>
      </c>
      <c r="C10" s="15" t="s">
        <v>31</v>
      </c>
    </row>
    <row r="13" spans="1:9" ht="15">
      <c r="C13" t="s">
        <v>35</v>
      </c>
      <c r="E13" s="37" t="s">
        <v>36</v>
      </c>
    </row>
    <row r="14" spans="1:9" ht="18">
      <c r="B14" t="s">
        <v>37</v>
      </c>
      <c r="C14" s="38" t="s">
        <v>38</v>
      </c>
      <c r="D14" t="s">
        <v>39</v>
      </c>
    </row>
    <row r="15" spans="1:9" ht="18">
      <c r="B15" t="s">
        <v>40</v>
      </c>
      <c r="C15" s="39" t="s">
        <v>41</v>
      </c>
    </row>
    <row r="16" spans="1:9" ht="18">
      <c r="B16" t="s">
        <v>42</v>
      </c>
      <c r="C16" s="38" t="s">
        <v>43</v>
      </c>
      <c r="D16" t="s">
        <v>44</v>
      </c>
      <c r="E16" t="s">
        <v>45</v>
      </c>
    </row>
    <row r="17" spans="2:4" ht="18">
      <c r="B17" t="s">
        <v>46</v>
      </c>
      <c r="C17" s="38" t="s">
        <v>47</v>
      </c>
      <c r="D17" t="s">
        <v>48</v>
      </c>
    </row>
  </sheetData>
  <hyperlinks>
    <hyperlink ref="I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A2" sqref="A2"/>
    </sheetView>
  </sheetViews>
  <sheetFormatPr defaultRowHeight="14.25"/>
  <cols>
    <col min="1" max="1" width="19.625" bestFit="1" customWidth="1"/>
    <col min="2" max="2" width="17.75" customWidth="1"/>
    <col min="5" max="5" width="19.625" bestFit="1" customWidth="1"/>
    <col min="6" max="6" width="12.125" bestFit="1" customWidth="1"/>
    <col min="7" max="7" width="11.125" customWidth="1"/>
    <col min="9" max="9" width="10.75" customWidth="1"/>
    <col min="12" max="12" width="21.75" customWidth="1"/>
    <col min="15" max="15" width="20.125" bestFit="1" customWidth="1"/>
    <col min="16" max="16" width="14" customWidth="1"/>
  </cols>
  <sheetData>
    <row r="1" spans="1:2">
      <c r="A1" t="s">
        <v>55</v>
      </c>
      <c r="B1" t="s">
        <v>464</v>
      </c>
    </row>
    <row r="2" spans="1:2">
      <c r="A2" t="str">
        <f>'Project Data'!D2</f>
        <v>Study 1</v>
      </c>
      <c r="B2">
        <f ca="1">TODAY()-'Project Data'!G2</f>
        <v>-163</v>
      </c>
    </row>
    <row r="3" spans="1:2">
      <c r="A3" t="str">
        <f>'Project Data'!D3</f>
        <v>Grant 1</v>
      </c>
      <c r="B3">
        <f ca="1">TODAY()-'Project Data'!G3</f>
        <v>-172</v>
      </c>
    </row>
    <row r="4" spans="1:2">
      <c r="A4" t="str">
        <f>'Project Data'!D4</f>
        <v>Workshop 1</v>
      </c>
      <c r="B4">
        <f ca="1">TODAY()-'Project Data'!G4</f>
        <v>-173</v>
      </c>
    </row>
    <row r="5" spans="1:2">
      <c r="A5" t="str">
        <f>'Project Data'!D5</f>
        <v>Advisory Council</v>
      </c>
      <c r="B5">
        <f ca="1">TODAY()-'Project Data'!G5</f>
        <v>-176</v>
      </c>
    </row>
    <row r="6" spans="1:2">
      <c r="A6" t="str">
        <f>'Project Data'!D6</f>
        <v>Mentorship Pilot</v>
      </c>
      <c r="B6">
        <f ca="1">TODAY()-'Project Data'!G6</f>
        <v>-176</v>
      </c>
    </row>
    <row r="7" spans="1:2">
      <c r="A7" t="str">
        <f>'Project Data'!D7</f>
        <v>RWE Study 1</v>
      </c>
      <c r="B7">
        <f ca="1">TODAY()-'Project Data'!G7</f>
        <v>-176</v>
      </c>
    </row>
    <row r="8" spans="1:2">
      <c r="A8" t="str">
        <f>'Project Data'!D8</f>
        <v>Biopsy Study</v>
      </c>
      <c r="B8">
        <f ca="1">TODAY()-'Project Data'!G8</f>
        <v>-176</v>
      </c>
    </row>
    <row r="9" spans="1:2">
      <c r="A9" t="str">
        <f>'Project Data'!D9</f>
        <v>Diagnostic Study</v>
      </c>
      <c r="B9">
        <f ca="1">TODAY()-'Project Data'!G9</f>
        <v>-207</v>
      </c>
    </row>
    <row r="10" spans="1:2">
      <c r="A10" t="str">
        <f>'Project Data'!D10</f>
        <v>Collaborative Study 1</v>
      </c>
      <c r="B10">
        <f ca="1">TODAY()-'Project Data'!G10</f>
        <v>-223</v>
      </c>
    </row>
    <row r="11" spans="1:2">
      <c r="A11" t="str">
        <f>'Project Data'!D11</f>
        <v>Investigator Study 1</v>
      </c>
      <c r="B11">
        <f ca="1">TODAY()-'Project Data'!G11</f>
        <v>-266</v>
      </c>
    </row>
    <row r="12" spans="1:2">
      <c r="A12" t="str">
        <f>'Project Data'!D12</f>
        <v>RWE Study 2</v>
      </c>
      <c r="B12">
        <f ca="1">TODAY()-'Project Data'!G12</f>
        <v>-266</v>
      </c>
    </row>
    <row r="13" spans="1:2">
      <c r="A13" t="str">
        <f>'Project Data'!D13</f>
        <v>Collaborative Study 2</v>
      </c>
      <c r="B13">
        <f ca="1">TODAY()-'Project Data'!G13</f>
        <v>-266</v>
      </c>
    </row>
    <row r="14" spans="1:2">
      <c r="A14" t="str">
        <f>'Project Data'!D14</f>
        <v>RWE Study 3</v>
      </c>
      <c r="B14">
        <f ca="1">TODAY()-'Project Data'!G14</f>
        <v>-541</v>
      </c>
    </row>
    <row r="15" spans="1:2">
      <c r="A15" t="str">
        <f>'Project Data'!D15</f>
        <v>Investigator Study 2</v>
      </c>
      <c r="B15">
        <f ca="1">TODAY()-'Project Data'!G15</f>
        <v>-541</v>
      </c>
    </row>
    <row r="16" spans="1:2">
      <c r="A16" t="str">
        <f>'Project Data'!D16</f>
        <v>Collaborative Study 3</v>
      </c>
      <c r="B16">
        <f ca="1">TODAY()-'Project Data'!G16</f>
        <v>-635</v>
      </c>
    </row>
    <row r="17" spans="1:2">
      <c r="A17" t="str">
        <f>'Project Data'!D17</f>
        <v>Investigator Study 3</v>
      </c>
      <c r="B17">
        <f ca="1">TODAY()-'Project Data'!G17</f>
        <v>-784</v>
      </c>
    </row>
    <row r="18" spans="1:2">
      <c r="A18" t="str">
        <f>'Project Data'!D18</f>
        <v>Investigator Study 4</v>
      </c>
      <c r="B18">
        <f ca="1">TODAY()-'Project Data'!G18</f>
        <v>-906</v>
      </c>
    </row>
    <row r="19" spans="1:2">
      <c r="A19" t="str">
        <f>'Project Data'!D19</f>
        <v>Education Campaign</v>
      </c>
      <c r="B19">
        <f ca="1">TODAY()-'Project Data'!G19</f>
        <v>-541</v>
      </c>
    </row>
    <row r="20" spans="1:2">
      <c r="A20" t="str">
        <f>'Project Data'!D20</f>
        <v>Patient Journey 1</v>
      </c>
      <c r="B20">
        <f ca="1">TODAY()-'Project Data'!G20</f>
        <v>-541</v>
      </c>
    </row>
    <row r="21" spans="1:2">
      <c r="A21" t="str">
        <f>'Project Data'!D21</f>
        <v>Internal_Operations</v>
      </c>
      <c r="B21">
        <f ca="1">TODAY()-'Project Data'!G21</f>
        <v>-635</v>
      </c>
    </row>
    <row r="22" spans="1:2">
      <c r="A22" t="str">
        <f>'Project Data'!D22</f>
        <v>Collaborative Study 4</v>
      </c>
      <c r="B22">
        <f ca="1">TODAY()-'Project Data'!G22</f>
        <v>-784</v>
      </c>
    </row>
    <row r="23" spans="1:2">
      <c r="A23" t="str">
        <f>'Project Data'!D23</f>
        <v>Completed_Projects</v>
      </c>
      <c r="B23">
        <f ca="1">TODAY()-'Project Data'!G23</f>
        <v>-906</v>
      </c>
    </row>
    <row r="24" spans="1:2">
      <c r="A24" t="str">
        <f>'Project Data'!D24</f>
        <v>Collaborative Study 5</v>
      </c>
      <c r="B24">
        <f ca="1">TODAY()-'Project Data'!G24</f>
        <v>-906</v>
      </c>
    </row>
    <row r="25" spans="1:2">
      <c r="A25" t="str">
        <f>'Project Data'!D25</f>
        <v>Study 2</v>
      </c>
      <c r="B25">
        <f ca="1">TODAY()-'Project Data'!G25</f>
        <v>-784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Q5" sqref="Q5"/>
    </sheetView>
  </sheetViews>
  <sheetFormatPr defaultRowHeight="14.25"/>
  <sheetData>
    <row r="1" spans="1:2">
      <c r="A1" s="22" t="s">
        <v>277</v>
      </c>
      <c r="B1" t="s">
        <v>278</v>
      </c>
    </row>
    <row r="2" spans="1:2">
      <c r="A2" s="22" t="s">
        <v>280</v>
      </c>
      <c r="B2" s="22">
        <v>76</v>
      </c>
    </row>
    <row r="3" spans="1:2">
      <c r="A3" s="22" t="s">
        <v>281</v>
      </c>
      <c r="B3" s="22">
        <v>55</v>
      </c>
    </row>
    <row r="4" spans="1:2">
      <c r="A4" s="22" t="s">
        <v>282</v>
      </c>
      <c r="B4" s="22">
        <v>40</v>
      </c>
    </row>
    <row r="5" spans="1:2">
      <c r="A5" s="22" t="s">
        <v>283</v>
      </c>
      <c r="B5" s="22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C6" sqref="C6"/>
    </sheetView>
  </sheetViews>
  <sheetFormatPr defaultRowHeight="14.25"/>
  <sheetData>
    <row r="1" spans="1:2">
      <c r="A1" t="s">
        <v>466</v>
      </c>
      <c r="B1" t="s">
        <v>276</v>
      </c>
    </row>
    <row r="2" spans="1:2">
      <c r="A2" t="s">
        <v>79</v>
      </c>
      <c r="B2">
        <f>COUNTIF(Projects[Type],'Project Types'!A2)</f>
        <v>7</v>
      </c>
    </row>
    <row r="3" spans="1:2">
      <c r="A3" t="s">
        <v>64</v>
      </c>
      <c r="B3">
        <f>COUNTIF(Projects[Type],'Project Types'!A3)</f>
        <v>6</v>
      </c>
    </row>
    <row r="4" spans="1:2">
      <c r="A4" t="s">
        <v>384</v>
      </c>
      <c r="B4">
        <f>COUNTIF(Projects[Type],'Project Types'!A4)</f>
        <v>4</v>
      </c>
    </row>
    <row r="5" spans="1:2">
      <c r="A5" t="s">
        <v>84</v>
      </c>
      <c r="B5">
        <f>COUNTIF(Projects[Type],'Project Types'!A5)</f>
        <v>3</v>
      </c>
    </row>
    <row r="6" spans="1:2">
      <c r="A6" t="s">
        <v>279</v>
      </c>
      <c r="B6">
        <f>COUNTIF(Projects[Type],'Project Types'!A6)</f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P25"/>
  <sheetViews>
    <sheetView workbookViewId="0">
      <selection activeCell="H1" sqref="H1"/>
    </sheetView>
  </sheetViews>
  <sheetFormatPr defaultRowHeight="14.25"/>
  <sheetData>
    <row r="1" spans="1:16">
      <c r="A1" t="s">
        <v>55</v>
      </c>
      <c r="B1" t="s">
        <v>465</v>
      </c>
      <c r="C1" t="s">
        <v>49</v>
      </c>
      <c r="D1" t="s">
        <v>50</v>
      </c>
      <c r="E1" t="s">
        <v>28</v>
      </c>
      <c r="F1" t="s">
        <v>51</v>
      </c>
      <c r="G1" t="s">
        <v>27</v>
      </c>
      <c r="H1" t="s">
        <v>25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</row>
    <row r="2" spans="1:16">
      <c r="A2" t="str">
        <f>'Project Data'!D2</f>
        <v>Study 1</v>
      </c>
      <c r="B2">
        <f>CHOOSE(ROUNDUP('Financials Data'!AB2/0.25,0),1,2,3,4)</f>
        <v>3</v>
      </c>
      <c r="C2">
        <f>IF(PM_Status[[#This Row],[Scope Bin]]&lt;=2,3,IF(PM_Status[[#This Row],[Scope Bin]]=3,2,IF(PM_Status[[#This Row],[Scope Bin]]=4,1,0)))</f>
        <v>2</v>
      </c>
      <c r="D2">
        <f ca="1">IF(AND(DateDiffs!B2 &gt; 0, 'Project Data'!E3 &lt;&gt; "Done"), 3,   IF(AND(DateDiffs!B2 &gt; -7, 'Project Data'!E3 &lt;&gt; "Done"), 2,   IF('Project Data'!E3 = "Done", 1, 1)))</f>
        <v>1</v>
      </c>
      <c r="E2">
        <f>IF('Financials Data'!H2&gt;0.75, 3, IF('Financials Data'!H2&gt;0.5, 2, 1))</f>
        <v>1</v>
      </c>
      <c r="F2">
        <f t="shared" ref="F2:F25" ca="1" si="0">ROUND(AVERAGE(C2:E2), 0)</f>
        <v>1</v>
      </c>
      <c r="G2">
        <f>CHOOSE(ROUNDUP(Finances[[#This Row],[% Completed]]/0.25,0),1,2,3,4)</f>
        <v>3</v>
      </c>
      <c r="H2">
        <f>Finances[[#This Row],[Total Possible]]</f>
        <v>6</v>
      </c>
      <c r="K2" t="s">
        <v>286</v>
      </c>
      <c r="L2">
        <f>COUNTIF('[1]Project Data'!$P$30:$P$49, 3)</f>
        <v>4</v>
      </c>
      <c r="M2">
        <f>COUNTIF('[1]Project Data'!$P$30:$P$49, 2)</f>
        <v>12</v>
      </c>
      <c r="N2">
        <f>COUNTIF('[1]Project Data'!$P$30:$P$49, 1)</f>
        <v>4</v>
      </c>
      <c r="O2" s="41">
        <f>COUNTIF('[1]Project Data'!$P$30:$P$49, '[1]Project Data'!$Z$10)</f>
        <v>0</v>
      </c>
      <c r="P2">
        <f>SUM(Table925[[#This Row],[Red]:[Gray]])</f>
        <v>20</v>
      </c>
    </row>
    <row r="3" spans="1:16">
      <c r="A3" t="str">
        <f>'Project Data'!D3</f>
        <v>Grant 1</v>
      </c>
      <c r="B3">
        <f>CHOOSE(ROUNDUP('Financials Data'!AB3/0.25,0),1,2,3,4)</f>
        <v>4</v>
      </c>
      <c r="C3">
        <f>IF(PM_Status[[#This Row],[Scope Bin]]&lt;=2,3,IF(PM_Status[[#This Row],[Scope Bin]]=3,2,IF(PM_Status[[#This Row],[Scope Bin]]=4,1,0)))</f>
        <v>1</v>
      </c>
      <c r="D3">
        <f ca="1">IF(AND(DateDiffs!B3 &gt; 0, 'Project Data'!E4 &lt;&gt; "Done"), 3,   IF(AND(DateDiffs!B3 &gt; -7, 'Project Data'!E4 &lt;&gt; "Done"), 2,   IF('Project Data'!E4 = "Done", 1, 1)))</f>
        <v>1</v>
      </c>
      <c r="E3">
        <f>IF('Financials Data'!H3&gt;0.75, 3, IF('Financials Data'!H3&gt;0.5, 2, 1))</f>
        <v>3</v>
      </c>
      <c r="F3">
        <f t="shared" ca="1" si="0"/>
        <v>2</v>
      </c>
      <c r="G3">
        <f>CHOOSE(ROUNDUP(Finances[[#This Row],[% Completed]]/0.25,0),1,2,3,4)</f>
        <v>4</v>
      </c>
      <c r="H3">
        <f>Finances[[#This Row],[Total Possible]]</f>
        <v>6</v>
      </c>
      <c r="K3" t="s">
        <v>49</v>
      </c>
      <c r="L3">
        <f>COUNTIF('[1]Project Dashboard'!$M$34:$M$53, '[1]Project Data'!$AA$9)</f>
        <v>8</v>
      </c>
      <c r="M3">
        <f>COUNTIF('[1]Project Dashboard'!$M$34:$M$53, '[1]Project Data'!$AA$8)</f>
        <v>2</v>
      </c>
      <c r="N3">
        <f>COUNTIF('[1]Project Dashboard'!$M$34:$M$53, '[1]Project Data'!$AA$7)</f>
        <v>9</v>
      </c>
      <c r="O3" s="40">
        <f>COUNTIF('[1]Project Dashboard'!$M$34:$M$53,'[1]Project Data'!$Z$10)</f>
        <v>0</v>
      </c>
      <c r="P3">
        <f>SUM(Table925[[#This Row],[Red]:[Gray]])</f>
        <v>19</v>
      </c>
    </row>
    <row r="4" spans="1:16">
      <c r="A4" t="str">
        <f>'Project Data'!D4</f>
        <v>Workshop 1</v>
      </c>
      <c r="B4">
        <f>CHOOSE(ROUNDUP('Financials Data'!AB4/0.25,0),1,2,3,4)</f>
        <v>4</v>
      </c>
      <c r="C4">
        <f>IF(PM_Status[[#This Row],[Scope Bin]]&lt;=2,3,IF(PM_Status[[#This Row],[Scope Bin]]=3,2,IF(PM_Status[[#This Row],[Scope Bin]]=4,1,0)))</f>
        <v>1</v>
      </c>
      <c r="D4">
        <f ca="1">IF(AND(DateDiffs!B4 &gt; 0, 'Project Data'!E5 &lt;&gt; "Done"), 3,   IF(AND(DateDiffs!B4 &gt; -7, 'Project Data'!E5 &lt;&gt; "Done"), 2,   IF('Project Data'!E5 = "Done", 1, 1)))</f>
        <v>1</v>
      </c>
      <c r="E4">
        <f>IF('Financials Data'!H4&gt;0.75, 3, IF('Financials Data'!H4&gt;0.5, 2, 1))</f>
        <v>1</v>
      </c>
      <c r="F4">
        <f t="shared" ca="1" si="0"/>
        <v>1</v>
      </c>
      <c r="G4">
        <f>CHOOSE(ROUNDUP(Finances[[#This Row],[% Completed]]/0.25,0),1,2,3,4)</f>
        <v>4</v>
      </c>
      <c r="H4">
        <f>Finances[[#This Row],[Total Possible]]</f>
        <v>10</v>
      </c>
      <c r="K4" t="s">
        <v>50</v>
      </c>
      <c r="L4">
        <f>COUNTIF('[1]Project Dashboard'!$N$34:$N$53, '[1]Project Data'!$AA$9)</f>
        <v>5</v>
      </c>
      <c r="M4">
        <f>COUNTIF('[1]Project Dashboard'!$N$34:$N$53, '[1]Project Data'!$AA$8)</f>
        <v>5</v>
      </c>
      <c r="N4">
        <f>COUNTIF('[1]Project Dashboard'!$N$34:$N$53, '[1]Project Data'!$AA$7)</f>
        <v>10</v>
      </c>
      <c r="O4" s="41">
        <f>COUNTIF('[1]Project Dashboard'!$N$34:$N$53, '[1]Project Data'!$Z$10)</f>
        <v>0</v>
      </c>
      <c r="P4">
        <f>SUM(Table925[[#This Row],[Red]:[Gray]])</f>
        <v>20</v>
      </c>
    </row>
    <row r="5" spans="1:16">
      <c r="A5" t="str">
        <f>'Project Data'!D5</f>
        <v>Advisory Council</v>
      </c>
      <c r="B5">
        <f>CHOOSE(ROUNDUP('Financials Data'!AB5/0.25,0),1,2,3,4)</f>
        <v>4</v>
      </c>
      <c r="C5">
        <f>IF(PM_Status[[#This Row],[Scope Bin]]&lt;=2,3,IF(PM_Status[[#This Row],[Scope Bin]]=3,2,IF(PM_Status[[#This Row],[Scope Bin]]=4,1,0)))</f>
        <v>1</v>
      </c>
      <c r="D5">
        <f ca="1">IF(AND(DateDiffs!B5 &gt; 0, 'Project Data'!E6 &lt;&gt; "Done"), 3,   IF(AND(DateDiffs!B5 &gt; -7, 'Project Data'!E6 &lt;&gt; "Done"), 2,   IF('Project Data'!E6 = "Done", 1, 1)))</f>
        <v>1</v>
      </c>
      <c r="E5">
        <f>IF('Financials Data'!H5&gt;0.75, 3, IF('Financials Data'!H5&gt;0.5, 2, 1))</f>
        <v>2</v>
      </c>
      <c r="F5">
        <f t="shared" ca="1" si="0"/>
        <v>1</v>
      </c>
      <c r="G5">
        <f>CHOOSE(ROUNDUP(Finances[[#This Row],[% Completed]]/0.25,0),1,2,3,4)</f>
        <v>4</v>
      </c>
      <c r="H5">
        <f>Finances[[#This Row],[Total Possible]]</f>
        <v>7</v>
      </c>
      <c r="K5" t="s">
        <v>28</v>
      </c>
      <c r="L5">
        <f>COUNTIF('[1]Project Dashboard'!$O$34:$O$53, '[1]Project Data'!$AA$9)</f>
        <v>11</v>
      </c>
      <c r="M5">
        <f>COUNTIF('[1]Project Dashboard'!$O$34:$O$53, '[1]Project Data'!$AA$8)</f>
        <v>4</v>
      </c>
      <c r="N5">
        <f>COUNTIF('[1]Project Dashboard'!$O$34:$O$53, '[1]Project Data'!$AA$7)</f>
        <v>5</v>
      </c>
      <c r="O5" s="40">
        <f>COUNTIF('[1]Project Dashboard'!$O$34:$O$53, '[1]Project Data'!$Z$10)</f>
        <v>0</v>
      </c>
      <c r="P5">
        <f>SUM(Table925[[#This Row],[Red]:[Gray]])</f>
        <v>20</v>
      </c>
    </row>
    <row r="6" spans="1:16">
      <c r="A6" t="str">
        <f>'Project Data'!D6</f>
        <v>Mentorship Pilot</v>
      </c>
      <c r="B6">
        <f>CHOOSE(ROUNDUP('Financials Data'!AB6/0.25,0),1,2,3,4)</f>
        <v>4</v>
      </c>
      <c r="C6">
        <f>IF(PM_Status[[#This Row],[Scope Bin]]&lt;=2,3,IF(PM_Status[[#This Row],[Scope Bin]]=3,2,IF(PM_Status[[#This Row],[Scope Bin]]=4,1,0)))</f>
        <v>1</v>
      </c>
      <c r="D6">
        <f ca="1">IF(AND(DateDiffs!B6 &gt; 0, 'Project Data'!E7 &lt;&gt; "Done"), 3,   IF(AND(DateDiffs!B6 &gt; -7, 'Project Data'!E7 &lt;&gt; "Done"), 2,   IF('Project Data'!E7 = "Done", 1, 1)))</f>
        <v>1</v>
      </c>
      <c r="E6">
        <f>IF('Financials Data'!H6&gt;0.75, 3, IF('Financials Data'!H6&gt;0.5, 2, 1))</f>
        <v>1</v>
      </c>
      <c r="F6">
        <f t="shared" ca="1" si="0"/>
        <v>1</v>
      </c>
      <c r="G6">
        <f>CHOOSE(ROUNDUP(Finances[[#This Row],[% Completed]]/0.25,0),1,2,3,4)</f>
        <v>4</v>
      </c>
      <c r="H6">
        <f>Finances[[#This Row],[Total Possible]]</f>
        <v>6</v>
      </c>
    </row>
    <row r="7" spans="1:16">
      <c r="A7" t="str">
        <f>'Project Data'!D7</f>
        <v>RWE Study 1</v>
      </c>
      <c r="B7">
        <f>CHOOSE(ROUNDUP('Financials Data'!AB7/0.25,0),1,2,3,4)</f>
        <v>4</v>
      </c>
      <c r="C7">
        <f>IF(PM_Status[[#This Row],[Scope Bin]]&lt;=2,3,IF(PM_Status[[#This Row],[Scope Bin]]=3,2,IF(PM_Status[[#This Row],[Scope Bin]]=4,1,0)))</f>
        <v>1</v>
      </c>
      <c r="D7">
        <f ca="1">IF(AND(DateDiffs!B7 &gt; 0, 'Project Data'!E8 &lt;&gt; "Done"), 3,   IF(AND(DateDiffs!B7 &gt; -7, 'Project Data'!E8 &lt;&gt; "Done"), 2,   IF('Project Data'!E8 = "Done", 1, 1)))</f>
        <v>1</v>
      </c>
      <c r="E7">
        <f>IF('Financials Data'!H7&gt;0.75, 3, IF('Financials Data'!H7&gt;0.5, 2, 1))</f>
        <v>1</v>
      </c>
      <c r="F7">
        <f t="shared" ca="1" si="0"/>
        <v>1</v>
      </c>
      <c r="G7">
        <f>CHOOSE(ROUNDUP(Finances[[#This Row],[% Completed]]/0.25,0),1,2,3,4)</f>
        <v>4</v>
      </c>
      <c r="H7">
        <f>Finances[[#This Row],[Total Possible]]</f>
        <v>3</v>
      </c>
    </row>
    <row r="8" spans="1:16">
      <c r="A8" t="str">
        <f>'Project Data'!D8</f>
        <v>Biopsy Study</v>
      </c>
      <c r="B8">
        <f>CHOOSE(ROUNDUP('Financials Data'!AB8/0.25,0),1,2,3,4)</f>
        <v>4</v>
      </c>
      <c r="C8">
        <f>IF(PM_Status[[#This Row],[Scope Bin]]&lt;=2,3,IF(PM_Status[[#This Row],[Scope Bin]]=3,2,IF(PM_Status[[#This Row],[Scope Bin]]=4,1,0)))</f>
        <v>1</v>
      </c>
      <c r="D8">
        <f ca="1">IF(AND(DateDiffs!B8 &gt; 0, 'Project Data'!E9 &lt;&gt; "Done"), 3,   IF(AND(DateDiffs!B8 &gt; -7, 'Project Data'!E9 &lt;&gt; "Done"), 2,   IF('Project Data'!E9 = "Done", 1, 1)))</f>
        <v>1</v>
      </c>
      <c r="E8">
        <f>IF('Financials Data'!H8&gt;0.75, 3, IF('Financials Data'!H8&gt;0.5, 2, 1))</f>
        <v>3</v>
      </c>
      <c r="F8">
        <f t="shared" ca="1" si="0"/>
        <v>2</v>
      </c>
      <c r="G8">
        <f>CHOOSE(ROUNDUP(Finances[[#This Row],[% Completed]]/0.25,0),1,2,3,4)</f>
        <v>4</v>
      </c>
      <c r="H8">
        <f>Finances[[#This Row],[Total Possible]]</f>
        <v>7</v>
      </c>
    </row>
    <row r="9" spans="1:16">
      <c r="A9" t="str">
        <f>'Project Data'!D9</f>
        <v>Diagnostic Study</v>
      </c>
      <c r="B9">
        <f>CHOOSE(ROUNDUP('Financials Data'!AB9/0.25,0),1,2,3,4)</f>
        <v>4</v>
      </c>
      <c r="C9">
        <f>IF(PM_Status[[#This Row],[Scope Bin]]&lt;=2,3,IF(PM_Status[[#This Row],[Scope Bin]]=3,2,IF(PM_Status[[#This Row],[Scope Bin]]=4,1,0)))</f>
        <v>1</v>
      </c>
      <c r="D9">
        <f ca="1">IF(AND(DateDiffs!B9 &gt; 0, 'Project Data'!E10 &lt;&gt; "Done"), 3,   IF(AND(DateDiffs!B9 &gt; -7, 'Project Data'!E10 &lt;&gt; "Done"), 2,   IF('Project Data'!E10 = "Done", 1, 1)))</f>
        <v>1</v>
      </c>
      <c r="E9">
        <f>IF('Financials Data'!H9&gt;0.75, 3, IF('Financials Data'!H9&gt;0.5, 2, 1))</f>
        <v>1</v>
      </c>
      <c r="F9">
        <f t="shared" ca="1" si="0"/>
        <v>1</v>
      </c>
      <c r="G9">
        <f>CHOOSE(ROUNDUP(Finances[[#This Row],[% Completed]]/0.25,0),1,2,3,4)</f>
        <v>4</v>
      </c>
      <c r="H9">
        <f>Finances[[#This Row],[Total Possible]]</f>
        <v>9</v>
      </c>
    </row>
    <row r="10" spans="1:16">
      <c r="A10" t="str">
        <f>'Project Data'!D10</f>
        <v>Collaborative Study 1</v>
      </c>
      <c r="B10">
        <f>CHOOSE(ROUNDUP('Financials Data'!AB10/0.25,0),1,2,3,4)</f>
        <v>2</v>
      </c>
      <c r="C10">
        <f>IF(PM_Status[[#This Row],[Scope Bin]]&lt;=2,3,IF(PM_Status[[#This Row],[Scope Bin]]=3,2,IF(PM_Status[[#This Row],[Scope Bin]]=4,1,0)))</f>
        <v>3</v>
      </c>
      <c r="D10">
        <f ca="1">IF(AND(DateDiffs!B10 &gt; 0, 'Project Data'!E11 &lt;&gt; "Done"), 3,   IF(AND(DateDiffs!B10 &gt; -7, 'Project Data'!E11 &lt;&gt; "Done"), 2,   IF('Project Data'!E11 = "Done", 1, 1)))</f>
        <v>1</v>
      </c>
      <c r="E10">
        <f>IF('Financials Data'!H10&gt;0.75, 3, IF('Financials Data'!H10&gt;0.5, 2, 1))</f>
        <v>1</v>
      </c>
      <c r="F10">
        <f t="shared" ca="1" si="0"/>
        <v>2</v>
      </c>
      <c r="G10">
        <f>CHOOSE(ROUNDUP(Finances[[#This Row],[% Completed]]/0.25,0),1,2,3,4)</f>
        <v>2</v>
      </c>
      <c r="H10">
        <f>Finances[[#This Row],[Total Possible]]</f>
        <v>8</v>
      </c>
    </row>
    <row r="11" spans="1:16">
      <c r="A11" t="str">
        <f>'Project Data'!D11</f>
        <v>Investigator Study 1</v>
      </c>
      <c r="B11">
        <f>CHOOSE(ROUNDUP('Financials Data'!AB11/0.25,0),1,2,3,4)</f>
        <v>3</v>
      </c>
      <c r="C11">
        <f>IF(PM_Status[[#This Row],[Scope Bin]]&lt;=2,3,IF(PM_Status[[#This Row],[Scope Bin]]=3,2,IF(PM_Status[[#This Row],[Scope Bin]]=4,1,0)))</f>
        <v>2</v>
      </c>
      <c r="D11">
        <f ca="1">IF(AND(DateDiffs!B11 &gt; 0, 'Project Data'!E12 &lt;&gt; "Done"), 3,   IF(AND(DateDiffs!B11 &gt; -7, 'Project Data'!E12 &lt;&gt; "Done"), 2,   IF('Project Data'!E12 = "Done", 1, 1)))</f>
        <v>1</v>
      </c>
      <c r="E11">
        <f>IF('Financials Data'!H11&gt;0.75, 3, IF('Financials Data'!H11&gt;0.5, 2, 1))</f>
        <v>1</v>
      </c>
      <c r="F11">
        <f t="shared" ca="1" si="0"/>
        <v>1</v>
      </c>
      <c r="G11">
        <f>CHOOSE(ROUNDUP(Finances[[#This Row],[% Completed]]/0.25,0),1,2,3,4)</f>
        <v>3</v>
      </c>
      <c r="H11">
        <f>Finances[[#This Row],[Total Possible]]</f>
        <v>10</v>
      </c>
    </row>
    <row r="12" spans="1:16">
      <c r="A12" t="str">
        <f>'Project Data'!D12</f>
        <v>RWE Study 2</v>
      </c>
      <c r="B12">
        <f>CHOOSE(ROUNDUP('Financials Data'!AB12/0.25,0),1,2,3,4)</f>
        <v>4</v>
      </c>
      <c r="C12">
        <f>IF(PM_Status[[#This Row],[Scope Bin]]&lt;=2,3,IF(PM_Status[[#This Row],[Scope Bin]]=3,2,IF(PM_Status[[#This Row],[Scope Bin]]=4,1,0)))</f>
        <v>1</v>
      </c>
      <c r="D12">
        <f ca="1">IF(AND(DateDiffs!B12 &gt; 0, 'Project Data'!E13 &lt;&gt; "Done"), 3,   IF(AND(DateDiffs!B12 &gt; -7, 'Project Data'!E13 &lt;&gt; "Done"), 2,   IF('Project Data'!E13 = "Done", 1, 1)))</f>
        <v>1</v>
      </c>
      <c r="E12">
        <f>IF('Financials Data'!H12&gt;0.75, 3, IF('Financials Data'!H12&gt;0.5, 2, 1))</f>
        <v>1</v>
      </c>
      <c r="F12">
        <f t="shared" ca="1" si="0"/>
        <v>1</v>
      </c>
      <c r="G12">
        <f>CHOOSE(ROUNDUP(Finances[[#This Row],[% Completed]]/0.25,0),1,2,3,4)</f>
        <v>4</v>
      </c>
      <c r="H12">
        <f>Finances[[#This Row],[Total Possible]]</f>
        <v>5</v>
      </c>
    </row>
    <row r="13" spans="1:16">
      <c r="A13" t="str">
        <f>'Project Data'!D13</f>
        <v>Collaborative Study 2</v>
      </c>
      <c r="B13">
        <f>CHOOSE(ROUNDUP('Financials Data'!AB13/0.25,0),1,2,3,4)</f>
        <v>4</v>
      </c>
      <c r="C13">
        <f>IF(PM_Status[[#This Row],[Scope Bin]]&lt;=2,3,IF(PM_Status[[#This Row],[Scope Bin]]=3,2,IF(PM_Status[[#This Row],[Scope Bin]]=4,1,0)))</f>
        <v>1</v>
      </c>
      <c r="D13">
        <f ca="1">IF(AND(DateDiffs!B13 &gt; 0, 'Project Data'!E14 &lt;&gt; "Done"), 3,   IF(AND(DateDiffs!B13 &gt; -7, 'Project Data'!E14 &lt;&gt; "Done"), 2,   IF('Project Data'!E14 = "Done", 1, 1)))</f>
        <v>1</v>
      </c>
      <c r="E13">
        <f>IF('Financials Data'!H13&gt;0.75, 3, IF('Financials Data'!H13&gt;0.5, 2, 1))</f>
        <v>1</v>
      </c>
      <c r="F13">
        <f t="shared" ca="1" si="0"/>
        <v>1</v>
      </c>
      <c r="G13">
        <f>CHOOSE(ROUNDUP(Finances[[#This Row],[% Completed]]/0.25,0),1,2,3,4)</f>
        <v>4</v>
      </c>
      <c r="H13">
        <f>Finances[[#This Row],[Total Possible]]</f>
        <v>5</v>
      </c>
    </row>
    <row r="14" spans="1:16">
      <c r="A14" t="str">
        <f>'Project Data'!D14</f>
        <v>RWE Study 3</v>
      </c>
      <c r="B14">
        <f>CHOOSE(ROUNDUP('Financials Data'!AB14/0.25,0),1,2,3,4)</f>
        <v>1</v>
      </c>
      <c r="C14">
        <f>IF(PM_Status[[#This Row],[Scope Bin]]&lt;=2,3,IF(PM_Status[[#This Row],[Scope Bin]]=3,2,IF(PM_Status[[#This Row],[Scope Bin]]=4,1,0)))</f>
        <v>3</v>
      </c>
      <c r="D14">
        <f ca="1">IF(AND(DateDiffs!B14 &gt; 0, 'Project Data'!E15 &lt;&gt; "Done"), 3,   IF(AND(DateDiffs!B14 &gt; -7, 'Project Data'!E15 &lt;&gt; "Done"), 2,   IF('Project Data'!E15 = "Done", 1, 1)))</f>
        <v>1</v>
      </c>
      <c r="E14">
        <f>IF('Financials Data'!H14&gt;0.75, 3, IF('Financials Data'!H14&gt;0.5, 2, 1))</f>
        <v>1</v>
      </c>
      <c r="F14">
        <f t="shared" ca="1" si="0"/>
        <v>2</v>
      </c>
      <c r="G14">
        <f>CHOOSE(ROUNDUP(Finances[[#This Row],[% Completed]]/0.25,0),1,2,3,4)</f>
        <v>1</v>
      </c>
      <c r="H14">
        <f>Finances[[#This Row],[Total Possible]]</f>
        <v>4</v>
      </c>
    </row>
    <row r="15" spans="1:16">
      <c r="A15" t="str">
        <f>'Project Data'!D15</f>
        <v>Investigator Study 2</v>
      </c>
      <c r="B15">
        <f>CHOOSE(ROUNDUP('Financials Data'!AB15/0.25,0),1,2,3,4)</f>
        <v>3</v>
      </c>
      <c r="C15">
        <f>IF(PM_Status[[#This Row],[Scope Bin]]&lt;=2,3,IF(PM_Status[[#This Row],[Scope Bin]]=3,2,IF(PM_Status[[#This Row],[Scope Bin]]=4,1,0)))</f>
        <v>2</v>
      </c>
      <c r="D15">
        <f ca="1">IF(AND(DateDiffs!B15 &gt; 0, 'Project Data'!E16 &lt;&gt; "Done"), 3,   IF(AND(DateDiffs!B15 &gt; -7, 'Project Data'!E16 &lt;&gt; "Done"), 2,   IF('Project Data'!E16 = "Done", 1, 1)))</f>
        <v>1</v>
      </c>
      <c r="E15">
        <f>IF('Financials Data'!H15&gt;0.75, 3, IF('Financials Data'!H15&gt;0.5, 2, 1))</f>
        <v>1</v>
      </c>
      <c r="F15">
        <f t="shared" ca="1" si="0"/>
        <v>1</v>
      </c>
      <c r="G15">
        <f>CHOOSE(ROUNDUP(Finances[[#This Row],[% Completed]]/0.25,0),1,2,3,4)</f>
        <v>3</v>
      </c>
      <c r="H15">
        <f>Finances[[#This Row],[Total Possible]]</f>
        <v>5</v>
      </c>
    </row>
    <row r="16" spans="1:16">
      <c r="A16" t="str">
        <f>'Project Data'!D16</f>
        <v>Collaborative Study 3</v>
      </c>
      <c r="B16">
        <f>CHOOSE(ROUNDUP('Financials Data'!AB16/0.25,0),1,2,3,4)</f>
        <v>3</v>
      </c>
      <c r="C16">
        <f>IF(PM_Status[[#This Row],[Scope Bin]]&lt;=2,3,IF(PM_Status[[#This Row],[Scope Bin]]=3,2,IF(PM_Status[[#This Row],[Scope Bin]]=4,1,0)))</f>
        <v>2</v>
      </c>
      <c r="D16">
        <f ca="1">IF(AND(DateDiffs!B16 &gt; 0, 'Project Data'!E17 &lt;&gt; "Done"), 3,   IF(AND(DateDiffs!B16 &gt; -7, 'Project Data'!E17 &lt;&gt; "Done"), 2,   IF('Project Data'!E17 = "Done", 1, 1)))</f>
        <v>1</v>
      </c>
      <c r="E16">
        <f>IF('Financials Data'!H16&gt;0.75, 3, IF('Financials Data'!H16&gt;0.5, 2, 1))</f>
        <v>2</v>
      </c>
      <c r="F16">
        <f t="shared" ca="1" si="0"/>
        <v>2</v>
      </c>
      <c r="G16">
        <f>CHOOSE(ROUNDUP(Finances[[#This Row],[% Completed]]/0.25,0),1,2,3,4)</f>
        <v>3</v>
      </c>
      <c r="H16">
        <f>Finances[[#This Row],[Total Possible]]</f>
        <v>8</v>
      </c>
    </row>
    <row r="17" spans="1:8">
      <c r="A17" t="str">
        <f>'Project Data'!D17</f>
        <v>Investigator Study 3</v>
      </c>
      <c r="B17">
        <f>CHOOSE(ROUNDUP('Financials Data'!AB17/0.25,0),1,2,3,4)</f>
        <v>2</v>
      </c>
      <c r="C17">
        <f>IF(PM_Status[[#This Row],[Scope Bin]]&lt;=2,3,IF(PM_Status[[#This Row],[Scope Bin]]=3,2,IF(PM_Status[[#This Row],[Scope Bin]]=4,1,0)))</f>
        <v>3</v>
      </c>
      <c r="D17">
        <f ca="1">IF(AND(DateDiffs!B17 &gt; 0, 'Project Data'!E18 &lt;&gt; "Done"), 3,   IF(AND(DateDiffs!B17 &gt; -7, 'Project Data'!E18 &lt;&gt; "Done"), 2,   IF('Project Data'!E18 = "Done", 1, 1)))</f>
        <v>1</v>
      </c>
      <c r="E17">
        <f>IF('Financials Data'!H17&gt;0.75, 3, IF('Financials Data'!H17&gt;0.5, 2, 1))</f>
        <v>2</v>
      </c>
      <c r="F17">
        <f t="shared" ca="1" si="0"/>
        <v>2</v>
      </c>
      <c r="G17">
        <f>CHOOSE(ROUNDUP(Finances[[#This Row],[% Completed]]/0.25,0),1,2,3,4)</f>
        <v>2</v>
      </c>
      <c r="H17">
        <f>Finances[[#This Row],[Total Possible]]</f>
        <v>9</v>
      </c>
    </row>
    <row r="18" spans="1:8">
      <c r="A18" t="str">
        <f>'Project Data'!D18</f>
        <v>Investigator Study 4</v>
      </c>
      <c r="B18">
        <f>CHOOSE(ROUNDUP('Financials Data'!AB18/0.25,0),1,2,3,4)</f>
        <v>2</v>
      </c>
      <c r="C18">
        <f>IF(PM_Status[[#This Row],[Scope Bin]]&lt;=2,3,IF(PM_Status[[#This Row],[Scope Bin]]=3,2,IF(PM_Status[[#This Row],[Scope Bin]]=4,1,0)))</f>
        <v>3</v>
      </c>
      <c r="D18">
        <f ca="1">IF(AND(DateDiffs!B18 &gt; 0, 'Project Data'!E19 &lt;&gt; "Done"), 3,   IF(AND(DateDiffs!B18 &gt; -7, 'Project Data'!E19 &lt;&gt; "Done"), 2,   IF('Project Data'!E19 = "Done", 1, 1)))</f>
        <v>1</v>
      </c>
      <c r="E18">
        <f>IF('Financials Data'!H18&gt;0.75, 3, IF('Financials Data'!H18&gt;0.5, 2, 1))</f>
        <v>1</v>
      </c>
      <c r="F18">
        <f t="shared" ca="1" si="0"/>
        <v>2</v>
      </c>
      <c r="G18">
        <f>CHOOSE(ROUNDUP(Finances[[#This Row],[% Completed]]/0.25,0),1,2,3,4)</f>
        <v>2</v>
      </c>
      <c r="H18">
        <f>Finances[[#This Row],[Total Possible]]</f>
        <v>10</v>
      </c>
    </row>
    <row r="19" spans="1:8">
      <c r="A19" t="str">
        <f>'Project Data'!D19</f>
        <v>Education Campaign</v>
      </c>
      <c r="B19">
        <f>CHOOSE(ROUNDUP('Financials Data'!AB19/0.25,0),1,2,3,4)</f>
        <v>1</v>
      </c>
      <c r="C19">
        <f>IF(PM_Status[[#This Row],[Scope Bin]]&lt;=2,3,IF(PM_Status[[#This Row],[Scope Bin]]=3,2,IF(PM_Status[[#This Row],[Scope Bin]]=4,1,0)))</f>
        <v>3</v>
      </c>
      <c r="D19">
        <f ca="1">IF(AND(DateDiffs!B19 &gt; 0, 'Project Data'!E20 &lt;&gt; "Done"), 3,   IF(AND(DateDiffs!B19 &gt; -7, 'Project Data'!E20 &lt;&gt; "Done"), 2,   IF('Project Data'!E20 = "Done", 1, 1)))</f>
        <v>1</v>
      </c>
      <c r="E19">
        <f>IF('Financials Data'!H19&gt;0.75, 3, IF('Financials Data'!H19&gt;0.5, 2, 1))</f>
        <v>1</v>
      </c>
      <c r="F19">
        <f t="shared" ca="1" si="0"/>
        <v>2</v>
      </c>
      <c r="G19">
        <f>CHOOSE(ROUNDUP(Finances[[#This Row],[% Completed]]/0.25,0),1,2,3,4)</f>
        <v>1</v>
      </c>
      <c r="H19">
        <f>Finances[[#This Row],[Total Possible]]</f>
        <v>7</v>
      </c>
    </row>
    <row r="20" spans="1:8">
      <c r="A20" t="str">
        <f>'Project Data'!D20</f>
        <v>Patient Journey 1</v>
      </c>
      <c r="B20">
        <f>CHOOSE(ROUNDUP('Financials Data'!AB20/0.25,0),1,2,3,4)</f>
        <v>4</v>
      </c>
      <c r="C20">
        <f>IF(PM_Status[[#This Row],[Scope Bin]]&lt;=2,3,IF(PM_Status[[#This Row],[Scope Bin]]=3,2,IF(PM_Status[[#This Row],[Scope Bin]]=4,1,0)))</f>
        <v>1</v>
      </c>
      <c r="D20">
        <f ca="1">IF(AND(DateDiffs!B20 &gt; 0, 'Project Data'!E21 &lt;&gt; "Done"), 3,   IF(AND(DateDiffs!B20 &gt; -7, 'Project Data'!E21 &lt;&gt; "Done"), 2,   IF('Project Data'!E21 = "Done", 1, 1)))</f>
        <v>1</v>
      </c>
      <c r="E20">
        <f>IF('Financials Data'!H20&gt;0.75, 3, IF('Financials Data'!H20&gt;0.5, 2, 1))</f>
        <v>1</v>
      </c>
      <c r="F20">
        <f t="shared" ca="1" si="0"/>
        <v>1</v>
      </c>
      <c r="G20">
        <f>CHOOSE(ROUNDUP(Finances[[#This Row],[% Completed]]/0.25,0),1,2,3,4)</f>
        <v>4</v>
      </c>
      <c r="H20">
        <f>Finances[[#This Row],[Total Possible]]</f>
        <v>6</v>
      </c>
    </row>
    <row r="21" spans="1:8">
      <c r="A21" t="str">
        <f>'Project Data'!D21</f>
        <v>Internal_Operations</v>
      </c>
      <c r="B21">
        <f>CHOOSE(ROUNDUP('Financials Data'!AB21/0.25,0),1,2,3,4)</f>
        <v>4</v>
      </c>
      <c r="C21">
        <f>IF(PM_Status[[#This Row],[Scope Bin]]&lt;=2,3,IF(PM_Status[[#This Row],[Scope Bin]]=3,2,IF(PM_Status[[#This Row],[Scope Bin]]=4,1,0)))</f>
        <v>1</v>
      </c>
      <c r="D21">
        <f ca="1">IF(AND(DateDiffs!B21 &gt; 0, 'Project Data'!E22 &lt;&gt; "Done"), 3,   IF(AND(DateDiffs!B21 &gt; -7, 'Project Data'!E22 &lt;&gt; "Done"), 2,   IF('Project Data'!E22 = "Done", 1, 1)))</f>
        <v>1</v>
      </c>
      <c r="E21">
        <f>IF('Financials Data'!H21&gt;0.75, 3, IF('Financials Data'!H21&gt;0.5, 2, 1))</f>
        <v>1</v>
      </c>
      <c r="F21">
        <f t="shared" ca="1" si="0"/>
        <v>1</v>
      </c>
      <c r="G21">
        <f>CHOOSE(ROUNDUP(Finances[[#This Row],[% Completed]]/0.25,0),1,2,3,4)</f>
        <v>4</v>
      </c>
      <c r="H21">
        <f>Finances[[#This Row],[Total Possible]]</f>
        <v>10</v>
      </c>
    </row>
    <row r="22" spans="1:8">
      <c r="A22" t="str">
        <f>'Project Data'!D22</f>
        <v>Collaborative Study 4</v>
      </c>
      <c r="B22">
        <f>CHOOSE(ROUNDUP('Financials Data'!AB22/0.25,0),1,2,3,4)</f>
        <v>4</v>
      </c>
      <c r="C22">
        <f>IF(PM_Status[[#This Row],[Scope Bin]]&lt;=2,3,IF(PM_Status[[#This Row],[Scope Bin]]=3,2,IF(PM_Status[[#This Row],[Scope Bin]]=4,1,0)))</f>
        <v>1</v>
      </c>
      <c r="D22">
        <f ca="1">IF(AND(DateDiffs!B22 &gt; 0, 'Project Data'!E23 &lt;&gt; "Done"), 3,   IF(AND(DateDiffs!B22 &gt; -7, 'Project Data'!E23 &lt;&gt; "Done"), 2,   IF('Project Data'!E23 = "Done", 1, 1)))</f>
        <v>1</v>
      </c>
      <c r="E22">
        <f>IF('Financials Data'!H22&gt;0.75, 3, IF('Financials Data'!H22&gt;0.5, 2, 1))</f>
        <v>1</v>
      </c>
      <c r="F22">
        <f t="shared" ca="1" si="0"/>
        <v>1</v>
      </c>
      <c r="G22">
        <f>CHOOSE(ROUNDUP(Finances[[#This Row],[% Completed]]/0.25,0),1,2,3,4)</f>
        <v>4</v>
      </c>
      <c r="H22">
        <f>Finances[[#This Row],[Total Possible]]</f>
        <v>6</v>
      </c>
    </row>
    <row r="23" spans="1:8">
      <c r="A23" t="str">
        <f>'Project Data'!D23</f>
        <v>Completed_Projects</v>
      </c>
      <c r="B23">
        <f>CHOOSE(ROUNDUP('Financials Data'!AB23/0.25,0),1,2,3,4)</f>
        <v>4</v>
      </c>
      <c r="C23">
        <f>IF(PM_Status[[#This Row],[Scope Bin]]&lt;=2,3,IF(PM_Status[[#This Row],[Scope Bin]]=3,2,IF(PM_Status[[#This Row],[Scope Bin]]=4,1,0)))</f>
        <v>1</v>
      </c>
      <c r="D23">
        <f ca="1">IF(AND(DateDiffs!B23 &gt; 0, 'Project Data'!E24 &lt;&gt; "Done"), 3,   IF(AND(DateDiffs!B23 &gt; -7, 'Project Data'!E24 &lt;&gt; "Done"), 2,   IF('Project Data'!E24 = "Done", 1, 1)))</f>
        <v>1</v>
      </c>
      <c r="E23">
        <f>IF('Financials Data'!H23&gt;0.75, 3, IF('Financials Data'!H23&gt;0.5, 2, 1))</f>
        <v>1</v>
      </c>
      <c r="F23">
        <f t="shared" ca="1" si="0"/>
        <v>1</v>
      </c>
      <c r="G23">
        <f>CHOOSE(ROUNDUP(Finances[[#This Row],[% Completed]]/0.25,0),1,2,3,4)</f>
        <v>4</v>
      </c>
      <c r="H23">
        <f>Finances[[#This Row],[Total Possible]]</f>
        <v>10</v>
      </c>
    </row>
    <row r="24" spans="1:8">
      <c r="A24" t="str">
        <f>'Project Data'!D24</f>
        <v>Collaborative Study 5</v>
      </c>
      <c r="B24">
        <f>CHOOSE(ROUNDUP('Financials Data'!AB24/0.25,0),1,2,3,4)</f>
        <v>3</v>
      </c>
      <c r="C24">
        <f>IF(PM_Status[[#This Row],[Scope Bin]]&lt;=2,3,IF(PM_Status[[#This Row],[Scope Bin]]=3,2,IF(PM_Status[[#This Row],[Scope Bin]]=4,1,0)))</f>
        <v>2</v>
      </c>
      <c r="D24">
        <f ca="1">IF(AND(DateDiffs!B24 &gt; 0, 'Project Data'!E25 &lt;&gt; "Done"), 3,   IF(AND(DateDiffs!B24 &gt; -7, 'Project Data'!E25 &lt;&gt; "Done"), 2,   IF('Project Data'!E25 = "Done", 1, 1)))</f>
        <v>1</v>
      </c>
      <c r="E24">
        <f>IF('Financials Data'!H24&gt;0.75, 3, IF('Financials Data'!H24&gt;0.5, 2, 1))</f>
        <v>1</v>
      </c>
      <c r="F24">
        <f t="shared" ca="1" si="0"/>
        <v>1</v>
      </c>
      <c r="G24">
        <f>CHOOSE(ROUNDUP(Finances[[#This Row],[% Completed]]/0.25,0),1,2,3,4)</f>
        <v>3</v>
      </c>
      <c r="H24">
        <f>Finances[[#This Row],[Total Possible]]</f>
        <v>7</v>
      </c>
    </row>
    <row r="25" spans="1:8">
      <c r="A25" t="str">
        <f>'Project Data'!D25</f>
        <v>Study 2</v>
      </c>
      <c r="B25">
        <f>CHOOSE(ROUNDUP('Financials Data'!AB25/0.25,0),1,2,3,4)</f>
        <v>3</v>
      </c>
      <c r="C25">
        <f>IF(PM_Status[[#This Row],[Scope Bin]]&lt;=2,3,IF(PM_Status[[#This Row],[Scope Bin]]=3,2,IF(PM_Status[[#This Row],[Scope Bin]]=4,1,0)))</f>
        <v>2</v>
      </c>
      <c r="D25">
        <f ca="1">IF(AND(DateDiffs!B25 &gt; 0, 'Project Data'!E26 &lt;&gt; "Done"), 3,   IF(AND(DateDiffs!B25 &gt; -7, 'Project Data'!E26 &lt;&gt; "Done"), 2,   IF('Project Data'!E26 = "Done", 1, 1)))</f>
        <v>1</v>
      </c>
      <c r="E25">
        <f>IF('Financials Data'!H25&gt;0.75, 3, IF('Financials Data'!H25&gt;0.5, 2, 1))</f>
        <v>1</v>
      </c>
      <c r="F25">
        <f t="shared" ca="1" si="0"/>
        <v>1</v>
      </c>
      <c r="G25">
        <f>CHOOSE(ROUNDUP(Finances[[#This Row],[% Completed]]/0.25,0),1,2,3,4)</f>
        <v>3</v>
      </c>
      <c r="H25">
        <f>Finances[[#This Row],[Total Possible]]</f>
        <v>8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F A A B Q S w M E F A A C A A g A R E 7 j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R E 7 j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R O 4 1 j R 4 l z S B Q I A A M k E A A A T A B w A R m 9 y b X V s Y X M v U 2 V j d G l v b j E u b S C i G A A o o B Q A A A A A A A A A A A A A A A A A A A A A A A A A A A B 1 U 8 t u 2 z A Q v B v I P y z U i w 0 I B m L 0 A T T Q Q Z A a V E C T x p F 7 i o O C o d Y 2 a 5 F U + V B r G P n 3 r m y l e Y j W Q Q / O a D k z 3 L X I n d A K y u P z / G I 0 s h t m s A K p + d Y 3 P y v m G C R Q o z s b A V 2 l 9 o Y j r W S 2 n e a a e 4 n K j S 9 F j d N M K 0 c f d h x l n 5 c / L B q 7 L J l c 5 v q P q j W r 7 P J F y S m 3 b T S J 7 3 K s h R Q O T R L F U Q y Z r r 1 U N p l 9 i u G L 4 r o S a p 2 c z z 7 M Y p h 7 7 b B 0 u x q T 5 9 f p t V Z 4 P 4 m P 2 t 5 F N 0 Z L w i r 4 i q w i A R E J X b A H I v Z I v z 4 + 2 o j h r l 9 P 6 7 r k r G b G J s 7 4 l y W z D V N r q r j Y N f h c b m G Y s i t t 5 F F x B 9 p x Y P 9 4 v 4 8 K Z Z 1 w / p D z N Z N I P h 3 x w e F f 9 x j D P r p E r B 4 Y 3 0 L O 3 H + U U s L X 6 E H B y X 8 z 4 q + 1 E W h P c 0 q u T V e i U O 7 j + 2 l X 7 4 D P P a u F Y 0 6 0 C E / c Q Z E b w u l 0 o a j o L l Y C z Y B S e t P i L u y C k v l F P Q a 3 u E K D i g + d 9 H / P P d o u q q G N n n C L t i E 4 4 P O 7 d 1 x L h C t k 1 p s A Y c H s F r S B w q G E I h / g h R J O s M N B B U 1 k W j Y 0 C S f x 3 G M Y K C l d H 9 A j S G 3 Z U K D D Q y m / p X D Y T 7 B Q W j Q 4 r M u C 2 V B U T 2 k H P G b M b o C S C g t N O T f U D Z B K 7 U O q r m j Q r a O h g 5 R v B L Y o j + L f N J x X 3 e S S v N / d a d p h n b R p j G 5 p o x P J 9 N 2 8 e w U 8 T s 5 G Q g U H 8 + I f U E s B A i 0 A F A A C A A g A R E 7 j W E U A 6 P u k A A A A 9 g A A A B I A A A A A A A A A A A A A A A A A A A A A A E N v b m Z p Z y 9 Q Y W N r Y W d l L n h t b F B L A Q I t A B Q A A g A I A E R O 4 1 h T c j g s m w A A A O E A A A A T A A A A A A A A A A A A A A A A A P A A A A B b Q 2 9 u d G V u d F 9 U e X B l c 1 0 u e G 1 s U E s B A i 0 A F A A C A A g A R E 7 j W N H i X N I F A g A A y Q Q A A B M A A A A A A A A A A A A A A A A A 2 A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x o A A A A A A A C d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W 9 j a 3 V w X 2 R h d G E 8 L 0 l 0 Z W 1 Q Y X R o P j w v S X R l b U x v Y 2 F 0 a W 9 u P j x T d G F i b G V F b n R y a W V z P j x F b n R y e S B U e X B l P S J G a W x s Q 2 9 s d W 1 u T m F t Z X M i I F Z h b H V l P S J z W y Z x d W 9 0 O 0 l u c 3 R p d H V 0 a W 9 u I E 5 h b W U m c X V v d D s s J n F 1 b 3 Q 7 R m V l Z G J h Y 2 s g R G F 0 Z S Z x d W 9 0 O y w m c X V v d D t G Z W V k Y m F j a y B U e X B l J n F 1 b 3 Q 7 L C Z x d W 9 0 O 0 Z l Z W R i Y W N r I E N h d G V n b 3 J p Z X M m c X V v d D s s J n F 1 b 3 Q 7 R m V l Z G J h Y 2 s g U 2 N v c m U m c X V v d D s s J n F 1 b 3 Q 7 U X V h b G l 0 Y X R p d m U g R m V l Z G J h Y 2 s m c X V v d D s s J n F 1 b 3 Q 7 U G F 0 a W V u d C B J Z G V u d G l m a W V y J n F 1 b 3 Q 7 L C Z x d W 9 0 O 1 N 1 c n Z l e S B E Y X R l J n F 1 b 3 Q 7 L C Z x d W 9 0 O 1 B y b 2 p l Y 3 Q g U m V m Z X J l b m N l J n F 1 b 3 Q 7 L C Z x d W 9 0 O 1 N 1 c n Z l e S B R d W V z d G l v b n M m c X V v d D s s J n F 1 b 3 Q 7 U 3 V y d m V 5 I F J l c 3 B v b n N l c y Z x d W 9 0 O y w m c X V v d D t P d X R j b 2 1 l I E 1 l Y X N 1 c m V z J n F 1 b 3 Q 7 L C Z x d W 9 0 O 1 R h c 2 s g b 3 I g S X R l b S B J R C Z x d W 9 0 O y w m c X V v d D t J b m l 0 a W F 0 a W 9 u I E R h d G U m c X V v d D s s J n F 1 b 3 Q 7 Q 2 9 t c G x l d G l v b i B E Y X R l J n F 1 b 3 Q 7 L C Z x d W 9 0 O 0 R 1 Z S B E Y X R l J n F 1 b 3 Q 7 L C Z x d W 9 0 O 1 N 0 Y X R 1 c y Z x d W 9 0 O y w m c X V v d D t U a W 1 l I F N w Z W 5 0 J n F 1 b 3 Q 7 L C Z x d W 9 0 O 1 N M Q S B D b 2 1 w b G l h b m N l J n F 1 b 3 Q 7 L C Z x d W 9 0 O 0 R l b G F 5 I F J l Y X N v b n M m c X V v d D s s J n F 1 b 3 Q 7 U H J v a m V j d C B J R C Z x d W 9 0 O y w m c X V v d D t D Y X N o I E 9 1 d C B E Y X R l J n F 1 b 3 Q 7 L C Z x d W 9 0 O 0 F j Y 3 J 1 Y W w g Q W 1 v d W 5 0 J n F 1 b 3 Q 7 L C Z x d W 9 0 O 0 1 p b G V z d G 9 u Z S B B Y 2 h p Z X Z l b W V u d C Z x d W 9 0 O y w m c X V v d D t G d W 5 k a W 5 n I F J l c X V l c 3 R z J n F 1 b 3 Q 7 L C Z x d W 9 0 O 0 F w c H J v d m F s I F N 0 Y X R 1 c y Z x d W 9 0 O y w m c X V v d D t D Y X R l Z 2 9 y e S Z x d W 9 0 O 1 0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D b 2 x 1 b W 5 U e X B l c y I g V m F s d W U 9 I n N C Z 2 t H Q m d N R 0 J n a 0 d C Z 1 l H Q m d r S k N R W U R C Z 1 l H Q 1 F N R 0 F 3 W U c i I C 8 + P E V u d H J 5 I F R 5 c G U 9 I k Z p b G x M Y X N 0 V X B k Y X R l Z C I g V m F s d W U 9 I m Q y M D I 0 L T A 1 L T A x V D I w O j A z O j I x L j Q 4 M T M 2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G Y y N 2 I 4 Y m U t Y m J h O S 0 0 N 2 R k L W J m Y 2 Y t N T E z Z T N i N G J m N T A y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j a 3 V w X 2 R h d G E v Q X V 0 b 1 J l b W 9 2 Z W R D b 2 x 1 b W 5 z M S 5 7 S W 5 z d G l 0 d X R p b 2 4 g T m F t Z S w w f S Z x d W 9 0 O y w m c X V v d D t T Z W N 0 a W 9 u M S 9 t b 2 N r d X B f Z G F 0 Y S 9 B d X R v U m V t b 3 Z l Z E N v b H V t b n M x L n t G Z W V k Y m F j a y B E Y X R l L D F 9 J n F 1 b 3 Q 7 L C Z x d W 9 0 O 1 N l Y 3 R p b 2 4 x L 2 1 v Y 2 t 1 c F 9 k Y X R h L 0 F 1 d G 9 S Z W 1 v d m V k Q 2 9 s d W 1 u c z E u e 0 Z l Z W R i Y W N r I F R 5 c G U s M n 0 m c X V v d D s s J n F 1 b 3 Q 7 U 2 V j d G l v b j E v b W 9 j a 3 V w X 2 R h d G E v Q X V 0 b 1 J l b W 9 2 Z W R D b 2 x 1 b W 5 z M S 5 7 R m V l Z G J h Y 2 s g Q 2 F 0 Z W d v c m l l c y w z f S Z x d W 9 0 O y w m c X V v d D t T Z W N 0 a W 9 u M S 9 t b 2 N r d X B f Z G F 0 Y S 9 B d X R v U m V t b 3 Z l Z E N v b H V t b n M x L n t G Z W V k Y m F j a y B T Y 2 9 y Z S w 0 f S Z x d W 9 0 O y w m c X V v d D t T Z W N 0 a W 9 u M S 9 t b 2 N r d X B f Z G F 0 Y S 9 B d X R v U m V t b 3 Z l Z E N v b H V t b n M x L n t R d W F s a X R h d G l 2 Z S B G Z W V k Y m F j a y w 1 f S Z x d W 9 0 O y w m c X V v d D t T Z W N 0 a W 9 u M S 9 t b 2 N r d X B f Z G F 0 Y S 9 B d X R v U m V t b 3 Z l Z E N v b H V t b n M x L n t Q Y X R p Z W 5 0 I E l k Z W 5 0 a W Z p Z X I s N n 0 m c X V v d D s s J n F 1 b 3 Q 7 U 2 V j d G l v b j E v b W 9 j a 3 V w X 2 R h d G E v Q X V 0 b 1 J l b W 9 2 Z W R D b 2 x 1 b W 5 z M S 5 7 U 3 V y d m V 5 I E R h d G U s N 3 0 m c X V v d D s s J n F 1 b 3 Q 7 U 2 V j d G l v b j E v b W 9 j a 3 V w X 2 R h d G E v Q X V 0 b 1 J l b W 9 2 Z W R D b 2 x 1 b W 5 z M S 5 7 U H J v a m V j d C B S Z W Z l c m V u Y 2 U s O H 0 m c X V v d D s s J n F 1 b 3 Q 7 U 2 V j d G l v b j E v b W 9 j a 3 V w X 2 R h d G E v Q X V 0 b 1 J l b W 9 2 Z W R D b 2 x 1 b W 5 z M S 5 7 U 3 V y d m V 5 I F F 1 Z X N 0 a W 9 u c y w 5 f S Z x d W 9 0 O y w m c X V v d D t T Z W N 0 a W 9 u M S 9 t b 2 N r d X B f Z G F 0 Y S 9 B d X R v U m V t b 3 Z l Z E N v b H V t b n M x L n t T d X J 2 Z X k g U m V z c G 9 u c 2 V z L D E w f S Z x d W 9 0 O y w m c X V v d D t T Z W N 0 a W 9 u M S 9 t b 2 N r d X B f Z G F 0 Y S 9 B d X R v U m V t b 3 Z l Z E N v b H V t b n M x L n t P d X R j b 2 1 l I E 1 l Y X N 1 c m V z L D E x f S Z x d W 9 0 O y w m c X V v d D t T Z W N 0 a W 9 u M S 9 t b 2 N r d X B f Z G F 0 Y S 9 B d X R v U m V t b 3 Z l Z E N v b H V t b n M x L n t U Y X N r I G 9 y I E l 0 Z W 0 g S U Q s M T J 9 J n F 1 b 3 Q 7 L C Z x d W 9 0 O 1 N l Y 3 R p b 2 4 x L 2 1 v Y 2 t 1 c F 9 k Y X R h L 0 F 1 d G 9 S Z W 1 v d m V k Q 2 9 s d W 1 u c z E u e 0 l u a X R p Y X R p b 2 4 g R G F 0 Z S w x M 3 0 m c X V v d D s s J n F 1 b 3 Q 7 U 2 V j d G l v b j E v b W 9 j a 3 V w X 2 R h d G E v Q X V 0 b 1 J l b W 9 2 Z W R D b 2 x 1 b W 5 z M S 5 7 Q 2 9 t c G x l d G l v b i B E Y X R l L D E 0 f S Z x d W 9 0 O y w m c X V v d D t T Z W N 0 a W 9 u M S 9 t b 2 N r d X B f Z G F 0 Y S 9 B d X R v U m V t b 3 Z l Z E N v b H V t b n M x L n t E d W U g R G F 0 Z S w x N X 0 m c X V v d D s s J n F 1 b 3 Q 7 U 2 V j d G l v b j E v b W 9 j a 3 V w X 2 R h d G E v Q X V 0 b 1 J l b W 9 2 Z W R D b 2 x 1 b W 5 z M S 5 7 U 3 R h d H V z L D E 2 f S Z x d W 9 0 O y w m c X V v d D t T Z W N 0 a W 9 u M S 9 t b 2 N r d X B f Z G F 0 Y S 9 B d X R v U m V t b 3 Z l Z E N v b H V t b n M x L n t U a W 1 l I F N w Z W 5 0 L D E 3 f S Z x d W 9 0 O y w m c X V v d D t T Z W N 0 a W 9 u M S 9 t b 2 N r d X B f Z G F 0 Y S 9 B d X R v U m V t b 3 Z l Z E N v b H V t b n M x L n t T T E E g Q 2 9 t c G x p Y W 5 j Z S w x O H 0 m c X V v d D s s J n F 1 b 3 Q 7 U 2 V j d G l v b j E v b W 9 j a 3 V w X 2 R h d G E v Q X V 0 b 1 J l b W 9 2 Z W R D b 2 x 1 b W 5 z M S 5 7 R G V s Y X k g U m V h c 2 9 u c y w x O X 0 m c X V v d D s s J n F 1 b 3 Q 7 U 2 V j d G l v b j E v b W 9 j a 3 V w X 2 R h d G E v Q X V 0 b 1 J l b W 9 2 Z W R D b 2 x 1 b W 5 z M S 5 7 U H J v a m V j d C B J R C w y M H 0 m c X V v d D s s J n F 1 b 3 Q 7 U 2 V j d G l v b j E v b W 9 j a 3 V w X 2 R h d G E v Q X V 0 b 1 J l b W 9 2 Z W R D b 2 x 1 b W 5 z M S 5 7 Q 2 F z a C B P d X Q g R G F 0 Z S w y M X 0 m c X V v d D s s J n F 1 b 3 Q 7 U 2 V j d G l v b j E v b W 9 j a 3 V w X 2 R h d G E v Q X V 0 b 1 J l b W 9 2 Z W R D b 2 x 1 b W 5 z M S 5 7 Q W N j c n V h b C B B b W 9 1 b n Q s M j J 9 J n F 1 b 3 Q 7 L C Z x d W 9 0 O 1 N l Y 3 R p b 2 4 x L 2 1 v Y 2 t 1 c F 9 k Y X R h L 0 F 1 d G 9 S Z W 1 v d m V k Q 2 9 s d W 1 u c z E u e 0 1 p b G V z d G 9 u Z S B B Y 2 h p Z X Z l b W V u d C w y M 3 0 m c X V v d D s s J n F 1 b 3 Q 7 U 2 V j d G l v b j E v b W 9 j a 3 V w X 2 R h d G E v Q X V 0 b 1 J l b W 9 2 Z W R D b 2 x 1 b W 5 z M S 5 7 R n V u Z G l u Z y B S Z X F 1 Z X N 0 c y w y N H 0 m c X V v d D s s J n F 1 b 3 Q 7 U 2 V j d G l v b j E v b W 9 j a 3 V w X 2 R h d G E v Q X V 0 b 1 J l b W 9 2 Z W R D b 2 x 1 b W 5 z M S 5 7 Q X B w c m 9 2 Y W w g U 3 R h d H V z L D I 1 f S Z x d W 9 0 O y w m c X V v d D t T Z W N 0 a W 9 u M S 9 t b 2 N r d X B f Z G F 0 Y S 9 B d X R v U m V t b 3 Z l Z E N v b H V t b n M x L n t D Y X R l Z 2 9 y e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1 v Y 2 t 1 c F 9 k Y X R h L 0 F 1 d G 9 S Z W 1 v d m V k Q 2 9 s d W 1 u c z E u e 0 l u c 3 R p d H V 0 a W 9 u I E 5 h b W U s M H 0 m c X V v d D s s J n F 1 b 3 Q 7 U 2 V j d G l v b j E v b W 9 j a 3 V w X 2 R h d G E v Q X V 0 b 1 J l b W 9 2 Z W R D b 2 x 1 b W 5 z M S 5 7 R m V l Z G J h Y 2 s g R G F 0 Z S w x f S Z x d W 9 0 O y w m c X V v d D t T Z W N 0 a W 9 u M S 9 t b 2 N r d X B f Z G F 0 Y S 9 B d X R v U m V t b 3 Z l Z E N v b H V t b n M x L n t G Z W V k Y m F j a y B U e X B l L D J 9 J n F 1 b 3 Q 7 L C Z x d W 9 0 O 1 N l Y 3 R p b 2 4 x L 2 1 v Y 2 t 1 c F 9 k Y X R h L 0 F 1 d G 9 S Z W 1 v d m V k Q 2 9 s d W 1 u c z E u e 0 Z l Z W R i Y W N r I E N h d G V n b 3 J p Z X M s M 3 0 m c X V v d D s s J n F 1 b 3 Q 7 U 2 V j d G l v b j E v b W 9 j a 3 V w X 2 R h d G E v Q X V 0 b 1 J l b W 9 2 Z W R D b 2 x 1 b W 5 z M S 5 7 R m V l Z G J h Y 2 s g U 2 N v c m U s N H 0 m c X V v d D s s J n F 1 b 3 Q 7 U 2 V j d G l v b j E v b W 9 j a 3 V w X 2 R h d G E v Q X V 0 b 1 J l b W 9 2 Z W R D b 2 x 1 b W 5 z M S 5 7 U X V h b G l 0 Y X R p d m U g R m V l Z G J h Y 2 s s N X 0 m c X V v d D s s J n F 1 b 3 Q 7 U 2 V j d G l v b j E v b W 9 j a 3 V w X 2 R h d G E v Q X V 0 b 1 J l b W 9 2 Z W R D b 2 x 1 b W 5 z M S 5 7 U G F 0 a W V u d C B J Z G V u d G l m a W V y L D Z 9 J n F 1 b 3 Q 7 L C Z x d W 9 0 O 1 N l Y 3 R p b 2 4 x L 2 1 v Y 2 t 1 c F 9 k Y X R h L 0 F 1 d G 9 S Z W 1 v d m V k Q 2 9 s d W 1 u c z E u e 1 N 1 c n Z l e S B E Y X R l L D d 9 J n F 1 b 3 Q 7 L C Z x d W 9 0 O 1 N l Y 3 R p b 2 4 x L 2 1 v Y 2 t 1 c F 9 k Y X R h L 0 F 1 d G 9 S Z W 1 v d m V k Q 2 9 s d W 1 u c z E u e 1 B y b 2 p l Y 3 Q g U m V m Z X J l b m N l L D h 9 J n F 1 b 3 Q 7 L C Z x d W 9 0 O 1 N l Y 3 R p b 2 4 x L 2 1 v Y 2 t 1 c F 9 k Y X R h L 0 F 1 d G 9 S Z W 1 v d m V k Q 2 9 s d W 1 u c z E u e 1 N 1 c n Z l e S B R d W V z d G l v b n M s O X 0 m c X V v d D s s J n F 1 b 3 Q 7 U 2 V j d G l v b j E v b W 9 j a 3 V w X 2 R h d G E v Q X V 0 b 1 J l b W 9 2 Z W R D b 2 x 1 b W 5 z M S 5 7 U 3 V y d m V 5 I F J l c 3 B v b n N l c y w x M H 0 m c X V v d D s s J n F 1 b 3 Q 7 U 2 V j d G l v b j E v b W 9 j a 3 V w X 2 R h d G E v Q X V 0 b 1 J l b W 9 2 Z W R D b 2 x 1 b W 5 z M S 5 7 T 3 V 0 Y 2 9 t Z S B N Z W F z d X J l c y w x M X 0 m c X V v d D s s J n F 1 b 3 Q 7 U 2 V j d G l v b j E v b W 9 j a 3 V w X 2 R h d G E v Q X V 0 b 1 J l b W 9 2 Z W R D b 2 x 1 b W 5 z M S 5 7 V G F z a y B v c i B J d G V t I E l E L D E y f S Z x d W 9 0 O y w m c X V v d D t T Z W N 0 a W 9 u M S 9 t b 2 N r d X B f Z G F 0 Y S 9 B d X R v U m V t b 3 Z l Z E N v b H V t b n M x L n t J b m l 0 a W F 0 a W 9 u I E R h d G U s M T N 9 J n F 1 b 3 Q 7 L C Z x d W 9 0 O 1 N l Y 3 R p b 2 4 x L 2 1 v Y 2 t 1 c F 9 k Y X R h L 0 F 1 d G 9 S Z W 1 v d m V k Q 2 9 s d W 1 u c z E u e 0 N v b X B s Z X R p b 2 4 g R G F 0 Z S w x N H 0 m c X V v d D s s J n F 1 b 3 Q 7 U 2 V j d G l v b j E v b W 9 j a 3 V w X 2 R h d G E v Q X V 0 b 1 J l b W 9 2 Z W R D b 2 x 1 b W 5 z M S 5 7 R H V l I E R h d G U s M T V 9 J n F 1 b 3 Q 7 L C Z x d W 9 0 O 1 N l Y 3 R p b 2 4 x L 2 1 v Y 2 t 1 c F 9 k Y X R h L 0 F 1 d G 9 S Z W 1 v d m V k Q 2 9 s d W 1 u c z E u e 1 N 0 Y X R 1 c y w x N n 0 m c X V v d D s s J n F 1 b 3 Q 7 U 2 V j d G l v b j E v b W 9 j a 3 V w X 2 R h d G E v Q X V 0 b 1 J l b W 9 2 Z W R D b 2 x 1 b W 5 z M S 5 7 V G l t Z S B T c G V u d C w x N 3 0 m c X V v d D s s J n F 1 b 3 Q 7 U 2 V j d G l v b j E v b W 9 j a 3 V w X 2 R h d G E v Q X V 0 b 1 J l b W 9 2 Z W R D b 2 x 1 b W 5 z M S 5 7 U 0 x B I E N v b X B s a W F u Y 2 U s M T h 9 J n F 1 b 3 Q 7 L C Z x d W 9 0 O 1 N l Y 3 R p b 2 4 x L 2 1 v Y 2 t 1 c F 9 k Y X R h L 0 F 1 d G 9 S Z W 1 v d m V k Q 2 9 s d W 1 u c z E u e 0 R l b G F 5 I F J l Y X N v b n M s M T l 9 J n F 1 b 3 Q 7 L C Z x d W 9 0 O 1 N l Y 3 R p b 2 4 x L 2 1 v Y 2 t 1 c F 9 k Y X R h L 0 F 1 d G 9 S Z W 1 v d m V k Q 2 9 s d W 1 u c z E u e 1 B y b 2 p l Y 3 Q g S U Q s M j B 9 J n F 1 b 3 Q 7 L C Z x d W 9 0 O 1 N l Y 3 R p b 2 4 x L 2 1 v Y 2 t 1 c F 9 k Y X R h L 0 F 1 d G 9 S Z W 1 v d m V k Q 2 9 s d W 1 u c z E u e 0 N h c 2 g g T 3 V 0 I E R h d G U s M j F 9 J n F 1 b 3 Q 7 L C Z x d W 9 0 O 1 N l Y 3 R p b 2 4 x L 2 1 v Y 2 t 1 c F 9 k Y X R h L 0 F 1 d G 9 S Z W 1 v d m V k Q 2 9 s d W 1 u c z E u e 0 F j Y 3 J 1 Y W w g Q W 1 v d W 5 0 L D I y f S Z x d W 9 0 O y w m c X V v d D t T Z W N 0 a W 9 u M S 9 t b 2 N r d X B f Z G F 0 Y S 9 B d X R v U m V t b 3 Z l Z E N v b H V t b n M x L n t N a W x l c 3 R v b m U g Q W N o a W V 2 Z W 1 l b n Q s M j N 9 J n F 1 b 3 Q 7 L C Z x d W 9 0 O 1 N l Y 3 R p b 2 4 x L 2 1 v Y 2 t 1 c F 9 k Y X R h L 0 F 1 d G 9 S Z W 1 v d m V k Q 2 9 s d W 1 u c z E u e 0 Z 1 b m R p b m c g U m V x d W V z d H M s M j R 9 J n F 1 b 3 Q 7 L C Z x d W 9 0 O 1 N l Y 3 R p b 2 4 x L 2 1 v Y 2 t 1 c F 9 k Y X R h L 0 F 1 d G 9 S Z W 1 v d m V k Q 2 9 s d W 1 u c z E u e 0 F w c H J v d m F s I F N 0 Y X R 1 c y w y N X 0 m c X V v d D s s J n F 1 b 3 Q 7 U 2 V j d G l v b j E v b W 9 j a 3 V w X 2 R h d G E v Q X V 0 b 1 J l b W 9 2 Z W R D b 2 x 1 b W 5 z M S 5 7 Q 2 F 0 Z W d v c n k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N r d X B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r d X B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r d X B f Z G F 0 Y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E L v C T t B 3 E 2 Z P M B B 1 Z 2 Y Z g A A A A A C A A A A A A A Q Z g A A A A E A A C A A A A D Q 8 S x W s B 6 2 + l + o + n l 6 N 9 Z o w J J X h q f H e 7 / E W F a P 8 0 9 b p g A A A A A O g A A A A A I A A C A A A A A Y k v F m S 4 c C C s Z 0 t U I f a N x s p v 4 G v S B P i A 6 0 P w r a 3 0 w Q Z 1 A A A A B S 3 n g Y + u N 3 O c j 1 1 j U E s 5 K X e k Z F 7 r C l Z E L t i 0 V t Q S Z n J L s d s b z L 1 b l j 7 E y u p P M c z D Q I u K a G H B t l + g x 6 h / u 1 J t w G n m I N s D E m g y y i X 5 6 B h 9 d / t k A A A A A 2 q Q P o / T X s l a W Q 8 Y X C D 6 T n 9 l 4 F 7 h l R x H Y m / T o u W O G F g c l g g K Y 2 s Y 8 K s y Y X p 0 z P h q U M i 0 0 L f 8 V I W y K T + 2 z n R z 8 o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34715CB0097F43A2A63E4A043BB2C4" ma:contentTypeVersion="12" ma:contentTypeDescription="Create a new document." ma:contentTypeScope="" ma:versionID="5a8e1bc814d307c1235849f4880a6cf3">
  <xsd:schema xmlns:xsd="http://www.w3.org/2001/XMLSchema" xmlns:xs="http://www.w3.org/2001/XMLSchema" xmlns:p="http://schemas.microsoft.com/office/2006/metadata/properties" xmlns:ns2="f51cf1fb-941e-49cc-bb6a-50fa067e798e" xmlns:ns3="cdd845c3-580e-42da-aa44-d2b6e1510078" targetNamespace="http://schemas.microsoft.com/office/2006/metadata/properties" ma:root="true" ma:fieldsID="4b95a850df93c9ebb69e319d7b82ef2c" ns2:_="" ns3:_="">
    <xsd:import namespace="f51cf1fb-941e-49cc-bb6a-50fa067e798e"/>
    <xsd:import namespace="cdd845c3-580e-42da-aa44-d2b6e151007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cf1fb-941e-49cc-bb6a-50fa067e798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845c3-580e-42da-aa44-d2b6e15100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47EA03-9114-4682-993A-C91B29EC445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2C6A661-BA72-417C-93C5-F75408CCB4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E7F523-F424-456F-B0AE-E6D8F0716D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1cf1fb-941e-49cc-bb6a-50fa067e798e"/>
    <ds:schemaRef ds:uri="cdd845c3-580e-42da-aa44-d2b6e15100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66F4ACA-EFCE-430E-AA30-AF7D97DCD00F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cdd845c3-580e-42da-aa44-d2b6e1510078"/>
    <ds:schemaRef ds:uri="f51cf1fb-941e-49cc-bb6a-50fa067e798e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Project Data</vt:lpstr>
      <vt:lpstr>Task Health Data</vt:lpstr>
      <vt:lpstr>Financials Data</vt:lpstr>
      <vt:lpstr>Feedback</vt:lpstr>
      <vt:lpstr>Icons</vt:lpstr>
      <vt:lpstr>DateDiffs</vt:lpstr>
      <vt:lpstr>Funnel</vt:lpstr>
      <vt:lpstr>Project Types</vt:lpstr>
      <vt:lpstr>PM Defined Status</vt:lpstr>
      <vt:lpstr>Gauges</vt:lpstr>
      <vt:lpstr>Total Risk</vt:lpstr>
      <vt:lpstr>Resources Risk</vt:lpstr>
      <vt:lpstr>Pace Risk</vt:lpstr>
      <vt:lpstr>Execution Risk</vt:lpstr>
      <vt:lpstr>Ext. Feedback</vt:lpstr>
      <vt:lpstr>Issues</vt:lpstr>
      <vt:lpstr>Project Status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Wang</dc:creator>
  <cp:lastModifiedBy>Admin</cp:lastModifiedBy>
  <cp:revision/>
  <dcterms:created xsi:type="dcterms:W3CDTF">2024-04-19T17:18:02Z</dcterms:created>
  <dcterms:modified xsi:type="dcterms:W3CDTF">2024-07-08T07:43:13Z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0x0101005034715CB0097F43A2A63E4A043BB2C4</vt:lpwstr>
  </property>
</Properties>
</file>