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Backup Files\Thesis\Naive Bayes Classifier\Discretized Data\SL_Excel Files\38-38\DIANE\"/>
    </mc:Choice>
  </mc:AlternateContent>
  <bookViews>
    <workbookView xWindow="0" yWindow="0" windowWidth="28800" windowHeight="18000" firstSheet="1" activeTab="4"/>
  </bookViews>
  <sheets>
    <sheet name="Sheet1" sheetId="1" r:id="rId1"/>
    <sheet name="Discretization" sheetId="2" r:id="rId2"/>
    <sheet name="Pivot Tables" sheetId="5" r:id="rId3"/>
    <sheet name="Data Training" sheetId="3" r:id="rId4"/>
    <sheet name="Data Validation" sheetId="6" r:id="rId5"/>
  </sheets>
  <calcPr calcId="152511"/>
  <pivotCaches>
    <pivotCache cacheId="4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2" i="6"/>
  <c r="J33" i="6"/>
  <c r="J34" i="6"/>
  <c r="J35" i="6"/>
  <c r="J36" i="6"/>
  <c r="J37" i="6"/>
  <c r="J38" i="6"/>
  <c r="J39" i="6"/>
  <c r="J40" i="6"/>
  <c r="J31" i="6"/>
  <c r="I3" i="6" l="1"/>
  <c r="B2" i="6" a="1"/>
  <c r="B2" i="6" s="1"/>
  <c r="K11" i="6"/>
  <c r="I10" i="6"/>
  <c r="O5" i="6"/>
  <c r="M4" i="6"/>
  <c r="K3" i="6"/>
  <c r="O9" i="6"/>
  <c r="N3" i="3"/>
  <c r="M19" i="3"/>
  <c r="M3" i="3"/>
  <c r="M9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M4" i="3"/>
  <c r="M5" i="3"/>
  <c r="M6" i="3"/>
  <c r="M7" i="3"/>
  <c r="M8" i="3"/>
  <c r="M10" i="3"/>
  <c r="M11" i="3"/>
  <c r="M12" i="3"/>
  <c r="M13" i="3"/>
  <c r="M14" i="3"/>
  <c r="M15" i="3"/>
  <c r="M16" i="3"/>
  <c r="M17" i="3"/>
  <c r="M18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P3" i="3"/>
  <c r="O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3" i="3"/>
  <c r="J3" i="3"/>
  <c r="I3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B2" i="3" a="1"/>
  <c r="B2" i="3" s="1"/>
  <c r="N77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8" i="2"/>
  <c r="N79" i="2"/>
  <c r="N80" i="2"/>
  <c r="N81" i="2"/>
  <c r="N82" i="2"/>
  <c r="N83" i="2"/>
  <c r="N46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B45" i="2" a="1"/>
  <c r="B45" i="2" s="1"/>
  <c r="I45" i="2" s="1" a="1"/>
  <c r="I45" i="2" s="1"/>
  <c r="G46" i="2"/>
  <c r="N42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G5" i="2"/>
  <c r="R17" i="3"/>
  <c r="S4" i="3"/>
  <c r="S36" i="3"/>
  <c r="S18" i="3"/>
  <c r="S31" i="3"/>
  <c r="R35" i="3"/>
  <c r="R5" i="3"/>
  <c r="R20" i="3"/>
  <c r="S38" i="3"/>
  <c r="R13" i="3"/>
  <c r="S23" i="3"/>
  <c r="R31" i="3"/>
  <c r="S27" i="3"/>
  <c r="R11" i="3"/>
  <c r="S8" i="3"/>
  <c r="S22" i="3"/>
  <c r="S37" i="3"/>
  <c r="S35" i="3"/>
  <c r="R39" i="3"/>
  <c r="R6" i="3"/>
  <c r="R10" i="3"/>
  <c r="R24" i="3"/>
  <c r="R26" i="3"/>
  <c r="R25" i="3"/>
  <c r="R28" i="3"/>
  <c r="S3" i="3"/>
  <c r="R4" i="3"/>
  <c r="S10" i="3"/>
  <c r="R15" i="3"/>
  <c r="S17" i="3"/>
  <c r="S12" i="3"/>
  <c r="S5" i="3"/>
  <c r="S26" i="3"/>
  <c r="S39" i="3"/>
  <c r="R36" i="3"/>
  <c r="S13" i="3"/>
  <c r="R18" i="3"/>
  <c r="S14" i="3"/>
  <c r="R16" i="3"/>
  <c r="S21" i="3"/>
  <c r="S30" i="3"/>
  <c r="S11" i="3"/>
  <c r="S9" i="3"/>
  <c r="R27" i="3"/>
  <c r="R14" i="3"/>
  <c r="R23" i="3"/>
  <c r="S29" i="3"/>
  <c r="R19" i="3"/>
  <c r="S19" i="3"/>
  <c r="S28" i="3"/>
  <c r="R3" i="3"/>
  <c r="R12" i="3"/>
  <c r="S32" i="3"/>
  <c r="R34" i="3"/>
  <c r="R7" i="3"/>
  <c r="R29" i="3"/>
  <c r="R8" i="3"/>
  <c r="S7" i="3"/>
  <c r="S33" i="3"/>
  <c r="R30" i="3"/>
  <c r="S6" i="3"/>
  <c r="S15" i="3"/>
  <c r="S24" i="3"/>
  <c r="S40" i="3"/>
  <c r="R21" i="3"/>
  <c r="R37" i="3"/>
  <c r="S16" i="3"/>
  <c r="S25" i="3"/>
  <c r="R22" i="3"/>
  <c r="R38" i="3"/>
  <c r="R9" i="3"/>
  <c r="S34" i="3"/>
  <c r="R32" i="3"/>
  <c r="R40" i="3"/>
  <c r="S20" i="3"/>
  <c r="R33" i="3"/>
  <c r="U3" i="3" l="1"/>
  <c r="V3" i="3" s="1"/>
  <c r="W3" i="3" s="1"/>
  <c r="X3" i="3" s="1"/>
  <c r="U24" i="3"/>
  <c r="V24" i="3" s="1"/>
  <c r="W24" i="3" s="1"/>
  <c r="X24" i="3" s="1"/>
  <c r="U20" i="3"/>
  <c r="V20" i="3" s="1"/>
  <c r="W20" i="3" s="1"/>
  <c r="X20" i="3" s="1"/>
  <c r="U16" i="3"/>
  <c r="V16" i="3" s="1"/>
  <c r="W16" i="3" s="1"/>
  <c r="X16" i="3" s="1"/>
  <c r="U8" i="3"/>
  <c r="V8" i="3" s="1"/>
  <c r="W8" i="3" s="1"/>
  <c r="X8" i="3" s="1"/>
  <c r="U4" i="3"/>
  <c r="V4" i="3" s="1"/>
  <c r="W4" i="3" s="1"/>
  <c r="X4" i="3" s="1"/>
  <c r="U37" i="3"/>
  <c r="V37" i="3" s="1"/>
  <c r="W37" i="3" s="1"/>
  <c r="X37" i="3" s="1"/>
  <c r="U33" i="3"/>
  <c r="V33" i="3" s="1"/>
  <c r="W33" i="3" s="1"/>
  <c r="X33" i="3" s="1"/>
  <c r="U11" i="3"/>
  <c r="V11" i="3" s="1"/>
  <c r="W11" i="3" s="1"/>
  <c r="X11" i="3" s="1"/>
  <c r="U29" i="3"/>
  <c r="V29" i="3" s="1"/>
  <c r="W29" i="3" s="1"/>
  <c r="X29" i="3" s="1"/>
  <c r="U12" i="3"/>
  <c r="V12" i="3" s="1"/>
  <c r="W12" i="3" s="1"/>
  <c r="X12" i="3" s="1"/>
  <c r="U22" i="3"/>
  <c r="V22" i="3" s="1"/>
  <c r="W22" i="3" s="1"/>
  <c r="X22" i="3" s="1"/>
  <c r="U6" i="3"/>
  <c r="V6" i="3" s="1"/>
  <c r="W6" i="3" s="1"/>
  <c r="X6" i="3" s="1"/>
  <c r="U25" i="3"/>
  <c r="V25" i="3" s="1"/>
  <c r="W25" i="3" s="1"/>
  <c r="X25" i="3" s="1"/>
  <c r="U9" i="3"/>
  <c r="V9" i="3" s="1"/>
  <c r="W9" i="3" s="1"/>
  <c r="X9" i="3" s="1"/>
  <c r="U40" i="3"/>
  <c r="V40" i="3" s="1"/>
  <c r="W40" i="3" s="1"/>
  <c r="X40" i="3" s="1"/>
  <c r="U31" i="3"/>
  <c r="V31" i="3" s="1"/>
  <c r="W31" i="3" s="1"/>
  <c r="X31" i="3" s="1"/>
  <c r="U10" i="3"/>
  <c r="V10" i="3" s="1"/>
  <c r="W10" i="3" s="1"/>
  <c r="X10" i="3" s="1"/>
  <c r="U28" i="3"/>
  <c r="V28" i="3" s="1"/>
  <c r="W28" i="3" s="1"/>
  <c r="X28" i="3" s="1"/>
  <c r="U27" i="3"/>
  <c r="V27" i="3" s="1"/>
  <c r="W27" i="3" s="1"/>
  <c r="X27" i="3" s="1"/>
  <c r="U38" i="3"/>
  <c r="V38" i="3" s="1"/>
  <c r="W38" i="3" s="1"/>
  <c r="X38" i="3" s="1"/>
  <c r="U5" i="3"/>
  <c r="V5" i="3" s="1"/>
  <c r="W5" i="3" s="1"/>
  <c r="X5" i="3" s="1"/>
  <c r="U36" i="3"/>
  <c r="V36" i="3" s="1"/>
  <c r="W36" i="3" s="1"/>
  <c r="X36" i="3" s="1"/>
  <c r="U26" i="3"/>
  <c r="V26" i="3" s="1"/>
  <c r="W26" i="3" s="1"/>
  <c r="X26" i="3" s="1"/>
  <c r="U13" i="3"/>
  <c r="V13" i="3" s="1"/>
  <c r="W13" i="3" s="1"/>
  <c r="X13" i="3" s="1"/>
  <c r="U34" i="3"/>
  <c r="V34" i="3" s="1"/>
  <c r="W34" i="3" s="1"/>
  <c r="X34" i="3" s="1"/>
  <c r="U7" i="3"/>
  <c r="V7" i="3" s="1"/>
  <c r="W7" i="3" s="1"/>
  <c r="X7" i="3" s="1"/>
  <c r="U39" i="3"/>
  <c r="V39" i="3" s="1"/>
  <c r="W39" i="3" s="1"/>
  <c r="X39" i="3" s="1"/>
  <c r="U23" i="3"/>
  <c r="V23" i="3" s="1"/>
  <c r="W23" i="3" s="1"/>
  <c r="X23" i="3" s="1"/>
  <c r="U18" i="3"/>
  <c r="V18" i="3" s="1"/>
  <c r="W18" i="3" s="1"/>
  <c r="X18" i="3" s="1"/>
  <c r="U21" i="3"/>
  <c r="V21" i="3" s="1"/>
  <c r="W21" i="3" s="1"/>
  <c r="X21" i="3" s="1"/>
  <c r="U35" i="3"/>
  <c r="V35" i="3" s="1"/>
  <c r="W35" i="3" s="1"/>
  <c r="X35" i="3" s="1"/>
  <c r="U19" i="3"/>
  <c r="V19" i="3" s="1"/>
  <c r="W19" i="3" s="1"/>
  <c r="X19" i="3" s="1"/>
  <c r="U30" i="3"/>
  <c r="V30" i="3" s="1"/>
  <c r="W30" i="3" s="1"/>
  <c r="X30" i="3" s="1"/>
  <c r="U14" i="3"/>
  <c r="V14" i="3" s="1"/>
  <c r="W14" i="3" s="1"/>
  <c r="X14" i="3" s="1"/>
  <c r="U17" i="3"/>
  <c r="V17" i="3" s="1"/>
  <c r="W17" i="3" s="1"/>
  <c r="X17" i="3" s="1"/>
  <c r="U15" i="3"/>
  <c r="V15" i="3" s="1"/>
  <c r="W15" i="3" s="1"/>
  <c r="X15" i="3" s="1"/>
  <c r="U32" i="3"/>
  <c r="V32" i="3" s="1"/>
  <c r="W32" i="3" s="1"/>
  <c r="X32" i="3" s="1"/>
  <c r="O3" i="6"/>
  <c r="I8" i="6"/>
  <c r="K9" i="6"/>
  <c r="M10" i="6"/>
  <c r="O11" i="6"/>
  <c r="I6" i="6"/>
  <c r="K7" i="6"/>
  <c r="M8" i="6"/>
  <c r="N40" i="6"/>
  <c r="P39" i="6"/>
  <c r="L39" i="6"/>
  <c r="N38" i="6"/>
  <c r="P37" i="6"/>
  <c r="L37" i="6"/>
  <c r="N36" i="6"/>
  <c r="P35" i="6"/>
  <c r="L35" i="6"/>
  <c r="N34" i="6"/>
  <c r="P33" i="6"/>
  <c r="L33" i="6"/>
  <c r="N32" i="6"/>
  <c r="P31" i="6"/>
  <c r="L31" i="6"/>
  <c r="N30" i="6"/>
  <c r="P29" i="6"/>
  <c r="L29" i="6"/>
  <c r="N28" i="6"/>
  <c r="P27" i="6"/>
  <c r="L27" i="6"/>
  <c r="N26" i="6"/>
  <c r="P25" i="6"/>
  <c r="L25" i="6"/>
  <c r="N24" i="6"/>
  <c r="P23" i="6"/>
  <c r="L23" i="6"/>
  <c r="N22" i="6"/>
  <c r="P21" i="6"/>
  <c r="L21" i="6"/>
  <c r="N20" i="6"/>
  <c r="P19" i="6"/>
  <c r="L19" i="6"/>
  <c r="N18" i="6"/>
  <c r="P17" i="6"/>
  <c r="L17" i="6"/>
  <c r="M40" i="6"/>
  <c r="I40" i="6"/>
  <c r="O39" i="6"/>
  <c r="K39" i="6"/>
  <c r="M38" i="6"/>
  <c r="I38" i="6"/>
  <c r="O37" i="6"/>
  <c r="K37" i="6"/>
  <c r="M36" i="6"/>
  <c r="I36" i="6"/>
  <c r="O35" i="6"/>
  <c r="K35" i="6"/>
  <c r="M34" i="6"/>
  <c r="I34" i="6"/>
  <c r="O33" i="6"/>
  <c r="K33" i="6"/>
  <c r="M32" i="6"/>
  <c r="I32" i="6"/>
  <c r="O31" i="6"/>
  <c r="K31" i="6"/>
  <c r="M30" i="6"/>
  <c r="I30" i="6"/>
  <c r="O29" i="6"/>
  <c r="K29" i="6"/>
  <c r="M28" i="6"/>
  <c r="I28" i="6"/>
  <c r="O27" i="6"/>
  <c r="K27" i="6"/>
  <c r="M26" i="6"/>
  <c r="I26" i="6"/>
  <c r="O25" i="6"/>
  <c r="K25" i="6"/>
  <c r="M24" i="6"/>
  <c r="I24" i="6"/>
  <c r="O23" i="6"/>
  <c r="K23" i="6"/>
  <c r="M22" i="6"/>
  <c r="I22" i="6"/>
  <c r="O21" i="6"/>
  <c r="K21" i="6"/>
  <c r="M20" i="6"/>
  <c r="I20" i="6"/>
  <c r="O19" i="6"/>
  <c r="K19" i="6"/>
  <c r="M18" i="6"/>
  <c r="I18" i="6"/>
  <c r="O17" i="6"/>
  <c r="K17" i="6"/>
  <c r="L40" i="6"/>
  <c r="P38" i="6"/>
  <c r="N37" i="6"/>
  <c r="L36" i="6"/>
  <c r="P34" i="6"/>
  <c r="N33" i="6"/>
  <c r="L32" i="6"/>
  <c r="P30" i="6"/>
  <c r="N29" i="6"/>
  <c r="L28" i="6"/>
  <c r="P26" i="6"/>
  <c r="N25" i="6"/>
  <c r="L24" i="6"/>
  <c r="P22" i="6"/>
  <c r="N21" i="6"/>
  <c r="L20" i="6"/>
  <c r="P18" i="6"/>
  <c r="N17" i="6"/>
  <c r="P16" i="6"/>
  <c r="L16" i="6"/>
  <c r="N15" i="6"/>
  <c r="P14" i="6"/>
  <c r="L14" i="6"/>
  <c r="N13" i="6"/>
  <c r="P12" i="6"/>
  <c r="L12" i="6"/>
  <c r="N11" i="6"/>
  <c r="P10" i="6"/>
  <c r="L10" i="6"/>
  <c r="N9" i="6"/>
  <c r="P8" i="6"/>
  <c r="L8" i="6"/>
  <c r="N7" i="6"/>
  <c r="P6" i="6"/>
  <c r="L6" i="6"/>
  <c r="N5" i="6"/>
  <c r="P4" i="6"/>
  <c r="L4" i="6"/>
  <c r="N3" i="6"/>
  <c r="N39" i="6"/>
  <c r="L38" i="6"/>
  <c r="P36" i="6"/>
  <c r="N31" i="6"/>
  <c r="L30" i="6"/>
  <c r="P28" i="6"/>
  <c r="N16" i="6"/>
  <c r="P15" i="6"/>
  <c r="N14" i="6"/>
  <c r="P13" i="6"/>
  <c r="N12" i="6"/>
  <c r="P11" i="6"/>
  <c r="L9" i="6"/>
  <c r="L7" i="6"/>
  <c r="N6" i="6"/>
  <c r="P5" i="6"/>
  <c r="N4" i="6"/>
  <c r="P3" i="6"/>
  <c r="K38" i="6"/>
  <c r="I37" i="6"/>
  <c r="O36" i="6"/>
  <c r="M35" i="6"/>
  <c r="K34" i="6"/>
  <c r="I33" i="6"/>
  <c r="O32" i="6"/>
  <c r="M31" i="6"/>
  <c r="K30" i="6"/>
  <c r="I29" i="6"/>
  <c r="O28" i="6"/>
  <c r="M27" i="6"/>
  <c r="K26" i="6"/>
  <c r="I25" i="6"/>
  <c r="O24" i="6"/>
  <c r="M19" i="6"/>
  <c r="K18" i="6"/>
  <c r="I17" i="6"/>
  <c r="I16" i="6"/>
  <c r="O15" i="6"/>
  <c r="M14" i="6"/>
  <c r="I14" i="6"/>
  <c r="O13" i="6"/>
  <c r="M12" i="6"/>
  <c r="K40" i="6"/>
  <c r="I39" i="6"/>
  <c r="O38" i="6"/>
  <c r="M37" i="6"/>
  <c r="K36" i="6"/>
  <c r="I35" i="6"/>
  <c r="O34" i="6"/>
  <c r="M33" i="6"/>
  <c r="K32" i="6"/>
  <c r="I31" i="6"/>
  <c r="O30" i="6"/>
  <c r="M29" i="6"/>
  <c r="K28" i="6"/>
  <c r="I27" i="6"/>
  <c r="O26" i="6"/>
  <c r="M25" i="6"/>
  <c r="K24" i="6"/>
  <c r="I23" i="6"/>
  <c r="O22" i="6"/>
  <c r="M21" i="6"/>
  <c r="K20" i="6"/>
  <c r="I19" i="6"/>
  <c r="O18" i="6"/>
  <c r="M17" i="6"/>
  <c r="O16" i="6"/>
  <c r="K16" i="6"/>
  <c r="M15" i="6"/>
  <c r="I15" i="6"/>
  <c r="O14" i="6"/>
  <c r="K14" i="6"/>
  <c r="M13" i="6"/>
  <c r="I13" i="6"/>
  <c r="O12" i="6"/>
  <c r="K12" i="6"/>
  <c r="M11" i="6"/>
  <c r="I11" i="6"/>
  <c r="O10" i="6"/>
  <c r="K10" i="6"/>
  <c r="M9" i="6"/>
  <c r="I9" i="6"/>
  <c r="O8" i="6"/>
  <c r="K8" i="6"/>
  <c r="M7" i="6"/>
  <c r="I7" i="6"/>
  <c r="O6" i="6"/>
  <c r="K6" i="6"/>
  <c r="M5" i="6"/>
  <c r="I5" i="6"/>
  <c r="O4" i="6"/>
  <c r="K4" i="6"/>
  <c r="M3" i="6"/>
  <c r="P40" i="6"/>
  <c r="N35" i="6"/>
  <c r="L34" i="6"/>
  <c r="P32" i="6"/>
  <c r="N27" i="6"/>
  <c r="L26" i="6"/>
  <c r="P24" i="6"/>
  <c r="N23" i="6"/>
  <c r="L22" i="6"/>
  <c r="P20" i="6"/>
  <c r="N19" i="6"/>
  <c r="L18" i="6"/>
  <c r="L15" i="6"/>
  <c r="L13" i="6"/>
  <c r="L11" i="6"/>
  <c r="N10" i="6"/>
  <c r="P9" i="6"/>
  <c r="N8" i="6"/>
  <c r="P7" i="6"/>
  <c r="L5" i="6"/>
  <c r="L3" i="6"/>
  <c r="O40" i="6"/>
  <c r="M39" i="6"/>
  <c r="M23" i="6"/>
  <c r="K22" i="6"/>
  <c r="I21" i="6"/>
  <c r="O20" i="6"/>
  <c r="M16" i="6"/>
  <c r="K15" i="6"/>
  <c r="K13" i="6"/>
  <c r="I4" i="6"/>
  <c r="K5" i="6"/>
  <c r="M6" i="6"/>
  <c r="O7" i="6"/>
  <c r="I12" i="6"/>
  <c r="R22" i="6"/>
  <c r="R20" i="6"/>
  <c r="R5" i="6"/>
  <c r="R18" i="6"/>
  <c r="S31" i="6"/>
  <c r="R40" i="6"/>
  <c r="R24" i="6"/>
  <c r="S12" i="6"/>
  <c r="S19" i="6"/>
  <c r="S37" i="6"/>
  <c r="S33" i="6"/>
  <c r="R34" i="6"/>
  <c r="R10" i="6"/>
  <c r="S23" i="6"/>
  <c r="R32" i="6"/>
  <c r="R3" i="6"/>
  <c r="S25" i="6"/>
  <c r="R36" i="6"/>
  <c r="R28" i="6"/>
  <c r="S6" i="6"/>
  <c r="S4" i="6"/>
  <c r="R26" i="6"/>
  <c r="S21" i="6"/>
  <c r="S17" i="6"/>
  <c r="R9" i="6"/>
  <c r="R29" i="6"/>
  <c r="S3" i="6"/>
  <c r="R21" i="6"/>
  <c r="S27" i="6"/>
  <c r="R15" i="6"/>
  <c r="R37" i="6"/>
  <c r="S11" i="6"/>
  <c r="S20" i="6"/>
  <c r="S35" i="6"/>
  <c r="S29" i="6"/>
  <c r="R7" i="6"/>
  <c r="S9" i="6"/>
  <c r="R11" i="6"/>
  <c r="U9" i="6" l="1"/>
  <c r="V9" i="6" s="1"/>
  <c r="W9" i="6" s="1"/>
  <c r="X9" i="6" s="1"/>
  <c r="U29" i="6"/>
  <c r="V29" i="6" s="1"/>
  <c r="W29" i="6" s="1"/>
  <c r="X29" i="6" s="1"/>
  <c r="U37" i="6"/>
  <c r="V37" i="6" s="1"/>
  <c r="W37" i="6" s="1"/>
  <c r="X37" i="6" s="1"/>
  <c r="U21" i="6"/>
  <c r="V21" i="6" s="1"/>
  <c r="W21" i="6" s="1"/>
  <c r="X21" i="6" s="1"/>
  <c r="U3" i="6"/>
  <c r="V3" i="6" s="1"/>
  <c r="W3" i="6" s="1"/>
  <c r="X3" i="6" s="1"/>
  <c r="U11" i="6"/>
  <c r="V11" i="6" s="1"/>
  <c r="W11" i="6" s="1"/>
  <c r="X11" i="6" s="1"/>
  <c r="U20" i="6"/>
  <c r="V20" i="6" s="1"/>
  <c r="W20" i="6" s="1"/>
  <c r="X20" i="6" s="1"/>
  <c r="S8" i="6"/>
  <c r="S34" i="6"/>
  <c r="S13" i="6"/>
  <c r="R12" i="6"/>
  <c r="R8" i="6"/>
  <c r="R33" i="6"/>
  <c r="R6" i="6"/>
  <c r="S36" i="6"/>
  <c r="S18" i="6"/>
  <c r="R19" i="6"/>
  <c r="S5" i="6"/>
  <c r="S14" i="6"/>
  <c r="R4" i="6"/>
  <c r="S40" i="6"/>
  <c r="S30" i="6"/>
  <c r="S39" i="6"/>
  <c r="S16" i="6"/>
  <c r="R27" i="6"/>
  <c r="R25" i="6"/>
  <c r="S15" i="6"/>
  <c r="S10" i="6"/>
  <c r="R14" i="6"/>
  <c r="R13" i="6"/>
  <c r="R31" i="6"/>
  <c r="R16" i="6"/>
  <c r="S26" i="6"/>
  <c r="R38" i="6"/>
  <c r="S24" i="6"/>
  <c r="S38" i="6"/>
  <c r="S28" i="6"/>
  <c r="R39" i="6"/>
  <c r="R30" i="6"/>
  <c r="S32" i="6"/>
  <c r="S7" i="6"/>
  <c r="S22" i="6"/>
  <c r="R35" i="6"/>
  <c r="R23" i="6"/>
  <c r="R17" i="6"/>
  <c r="U39" i="6" l="1"/>
  <c r="V39" i="6" s="1"/>
  <c r="W39" i="6" s="1"/>
  <c r="X39" i="6" s="1"/>
  <c r="U23" i="6"/>
  <c r="V23" i="6" s="1"/>
  <c r="W23" i="6" s="1"/>
  <c r="X23" i="6" s="1"/>
  <c r="U22" i="6"/>
  <c r="V22" i="6" s="1"/>
  <c r="W22" i="6" s="1"/>
  <c r="X22" i="6" s="1"/>
  <c r="U6" i="6"/>
  <c r="V6" i="6" s="1"/>
  <c r="W6" i="6" s="1"/>
  <c r="X6" i="6" s="1"/>
  <c r="U12" i="6"/>
  <c r="V12" i="6" s="1"/>
  <c r="W12" i="6" s="1"/>
  <c r="X12" i="6" s="1"/>
  <c r="U25" i="6"/>
  <c r="V25" i="6" s="1"/>
  <c r="W25" i="6" s="1"/>
  <c r="X25" i="6" s="1"/>
  <c r="U19" i="6"/>
  <c r="V19" i="6" s="1"/>
  <c r="W19" i="6" s="1"/>
  <c r="X19" i="6" s="1"/>
  <c r="U28" i="6"/>
  <c r="V28" i="6" s="1"/>
  <c r="W28" i="6" s="1"/>
  <c r="X28" i="6" s="1"/>
  <c r="U18" i="6"/>
  <c r="V18" i="6" s="1"/>
  <c r="W18" i="6" s="1"/>
  <c r="X18" i="6" s="1"/>
  <c r="U10" i="6"/>
  <c r="V10" i="6" s="1"/>
  <c r="W10" i="6" s="1"/>
  <c r="X10" i="6" s="1"/>
  <c r="U17" i="6"/>
  <c r="V17" i="6" s="1"/>
  <c r="W17" i="6" s="1"/>
  <c r="X17" i="6" s="1"/>
  <c r="U31" i="6"/>
  <c r="V31" i="6" s="1"/>
  <c r="W31" i="6" s="1"/>
  <c r="X31" i="6" s="1"/>
  <c r="U34" i="6"/>
  <c r="V34" i="6" s="1"/>
  <c r="W34" i="6" s="1"/>
  <c r="X34" i="6" s="1"/>
  <c r="U26" i="6"/>
  <c r="V26" i="6" s="1"/>
  <c r="W26" i="6" s="1"/>
  <c r="X26" i="6" s="1"/>
  <c r="U7" i="6"/>
  <c r="V7" i="6" s="1"/>
  <c r="W7" i="6" s="1"/>
  <c r="X7" i="6" s="1"/>
  <c r="U30" i="6"/>
  <c r="V30" i="6" s="1"/>
  <c r="W30" i="6" s="1"/>
  <c r="X30" i="6" s="1"/>
  <c r="U4" i="6"/>
  <c r="V4" i="6" s="1"/>
  <c r="W4" i="6" s="1"/>
  <c r="X4" i="6" s="1"/>
  <c r="U33" i="6"/>
  <c r="V33" i="6" s="1"/>
  <c r="W33" i="6" s="1"/>
  <c r="X33" i="6" s="1"/>
  <c r="U5" i="6"/>
  <c r="V5" i="6" s="1"/>
  <c r="W5" i="6" s="1"/>
  <c r="X5" i="6" s="1"/>
  <c r="U35" i="6"/>
  <c r="V35" i="6" s="1"/>
  <c r="W35" i="6" s="1"/>
  <c r="X35" i="6" s="1"/>
  <c r="U36" i="6"/>
  <c r="V36" i="6" s="1"/>
  <c r="W36" i="6" s="1"/>
  <c r="X36" i="6" s="1"/>
  <c r="U15" i="6"/>
  <c r="V15" i="6" s="1"/>
  <c r="W15" i="6" s="1"/>
  <c r="X15" i="6" s="1"/>
  <c r="U38" i="6"/>
  <c r="V38" i="6" s="1"/>
  <c r="W38" i="6" s="1"/>
  <c r="X38" i="6" s="1"/>
  <c r="U16" i="6"/>
  <c r="V16" i="6" s="1"/>
  <c r="W16" i="6" s="1"/>
  <c r="X16" i="6" s="1"/>
  <c r="U14" i="6"/>
  <c r="V14" i="6" s="1"/>
  <c r="W14" i="6" s="1"/>
  <c r="X14" i="6" s="1"/>
  <c r="U27" i="6"/>
  <c r="V27" i="6" s="1"/>
  <c r="W27" i="6" s="1"/>
  <c r="X27" i="6" s="1"/>
  <c r="U40" i="6"/>
  <c r="V40" i="6" s="1"/>
  <c r="W40" i="6" s="1"/>
  <c r="X40" i="6" s="1"/>
  <c r="U32" i="6"/>
  <c r="V32" i="6" s="1"/>
  <c r="W32" i="6" s="1"/>
  <c r="X32" i="6" s="1"/>
  <c r="U24" i="6"/>
  <c r="V24" i="6" s="1"/>
  <c r="W24" i="6" s="1"/>
  <c r="X24" i="6" s="1"/>
  <c r="U8" i="6"/>
  <c r="V8" i="6" s="1"/>
  <c r="W8" i="6" s="1"/>
  <c r="X8" i="6" s="1"/>
  <c r="U13" i="6"/>
  <c r="V13" i="6" s="1"/>
  <c r="W13" i="6" s="1"/>
  <c r="X13" i="6" s="1"/>
  <c r="B46" i="2" l="1" a="1"/>
  <c r="B46" i="2" s="1"/>
  <c r="I46" i="2" s="1" a="1"/>
  <c r="I46" i="2" s="1"/>
  <c r="B5" i="2" a="1"/>
  <c r="B5" i="2" s="1"/>
  <c r="F4" i="2"/>
  <c r="E4" i="2"/>
  <c r="D4" i="2"/>
  <c r="B4" i="2" a="1"/>
  <c r="B4" i="2" s="1"/>
  <c r="E22" i="2" l="1"/>
  <c r="L22" i="2" s="1"/>
  <c r="E35" i="2"/>
  <c r="L35" i="2" s="1"/>
  <c r="E14" i="2"/>
  <c r="L14" i="2" s="1"/>
  <c r="E6" i="2"/>
  <c r="L6" i="2" s="1"/>
  <c r="E36" i="2"/>
  <c r="L36" i="2" s="1"/>
  <c r="E21" i="2"/>
  <c r="L21" i="2" s="1"/>
  <c r="E13" i="2"/>
  <c r="L13" i="2" s="1"/>
  <c r="E42" i="2"/>
  <c r="L42" i="2" s="1"/>
  <c r="E34" i="2"/>
  <c r="L34" i="2" s="1"/>
  <c r="E18" i="2"/>
  <c r="L18" i="2" s="1"/>
  <c r="E10" i="2"/>
  <c r="L10" i="2" s="1"/>
  <c r="E39" i="2"/>
  <c r="L39" i="2" s="1"/>
  <c r="E17" i="2"/>
  <c r="L17" i="2" s="1"/>
  <c r="E9" i="2"/>
  <c r="L9" i="2" s="1"/>
  <c r="E38" i="2"/>
  <c r="L38" i="2" s="1"/>
  <c r="I4" i="2" a="1"/>
  <c r="I4" i="2" s="1"/>
  <c r="I5" i="2" a="1"/>
  <c r="I5" i="2" s="1"/>
  <c r="D5" i="2"/>
  <c r="K5" i="2" s="1"/>
  <c r="E5" i="2"/>
  <c r="L5" i="2" s="1"/>
  <c r="C5" i="2"/>
  <c r="J5" i="2" s="1"/>
  <c r="F5" i="2"/>
  <c r="M5" i="2" s="1"/>
  <c r="E24" i="2"/>
  <c r="L24" i="2" s="1"/>
  <c r="E20" i="2"/>
  <c r="L20" i="2" s="1"/>
  <c r="E16" i="2"/>
  <c r="L16" i="2" s="1"/>
  <c r="E12" i="2"/>
  <c r="L12" i="2" s="1"/>
  <c r="E8" i="2"/>
  <c r="L8" i="2" s="1"/>
  <c r="E41" i="2"/>
  <c r="L41" i="2" s="1"/>
  <c r="E37" i="2"/>
  <c r="L37" i="2" s="1"/>
  <c r="E33" i="2"/>
  <c r="L33" i="2" s="1"/>
  <c r="E23" i="2"/>
  <c r="L23" i="2" s="1"/>
  <c r="E19" i="2"/>
  <c r="L19" i="2" s="1"/>
  <c r="E15" i="2"/>
  <c r="L15" i="2" s="1"/>
  <c r="E11" i="2"/>
  <c r="L11" i="2" s="1"/>
  <c r="E7" i="2"/>
  <c r="L7" i="2" s="1"/>
  <c r="E40" i="2"/>
  <c r="L40" i="2" s="1"/>
  <c r="F46" i="2"/>
  <c r="M46" i="2" s="1"/>
  <c r="C46" i="2"/>
  <c r="J46" i="2" s="1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C75" i="2"/>
  <c r="J75" i="2" s="1"/>
  <c r="C71" i="2"/>
  <c r="J71" i="2" s="1"/>
  <c r="C67" i="2"/>
  <c r="J67" i="2" s="1"/>
  <c r="C63" i="2"/>
  <c r="J63" i="2" s="1"/>
  <c r="C59" i="2"/>
  <c r="J59" i="2" s="1"/>
  <c r="C55" i="2"/>
  <c r="J55" i="2" s="1"/>
  <c r="C51" i="2"/>
  <c r="J51" i="2" s="1"/>
  <c r="C47" i="2"/>
  <c r="J47" i="2" s="1"/>
  <c r="F75" i="2"/>
  <c r="M75" i="2" s="1"/>
  <c r="E74" i="2"/>
  <c r="L74" i="2" s="1"/>
  <c r="F71" i="2"/>
  <c r="M71" i="2" s="1"/>
  <c r="E70" i="2"/>
  <c r="L70" i="2" s="1"/>
  <c r="D69" i="2"/>
  <c r="K69" i="2" s="1"/>
  <c r="E66" i="2"/>
  <c r="L66" i="2" s="1"/>
  <c r="D65" i="2"/>
  <c r="K65" i="2" s="1"/>
  <c r="F63" i="2"/>
  <c r="M63" i="2" s="1"/>
  <c r="D61" i="2"/>
  <c r="K61" i="2" s="1"/>
  <c r="F59" i="2"/>
  <c r="M59" i="2" s="1"/>
  <c r="E58" i="2"/>
  <c r="L58" i="2" s="1"/>
  <c r="F55" i="2"/>
  <c r="M55" i="2" s="1"/>
  <c r="E54" i="2"/>
  <c r="L54" i="2" s="1"/>
  <c r="D53" i="2"/>
  <c r="K53" i="2" s="1"/>
  <c r="E50" i="2"/>
  <c r="L50" i="2" s="1"/>
  <c r="D49" i="2"/>
  <c r="K49" i="2" s="1"/>
  <c r="F47" i="2"/>
  <c r="M47" i="2" s="1"/>
  <c r="D82" i="2"/>
  <c r="K82" i="2" s="1"/>
  <c r="D81" i="2"/>
  <c r="K81" i="2" s="1"/>
  <c r="D80" i="2"/>
  <c r="K80" i="2" s="1"/>
  <c r="D78" i="2"/>
  <c r="K78" i="2" s="1"/>
  <c r="D77" i="2"/>
  <c r="K77" i="2" s="1"/>
  <c r="C74" i="2"/>
  <c r="J74" i="2" s="1"/>
  <c r="C70" i="2"/>
  <c r="J70" i="2" s="1"/>
  <c r="C66" i="2"/>
  <c r="J66" i="2" s="1"/>
  <c r="C62" i="2"/>
  <c r="J62" i="2" s="1"/>
  <c r="C58" i="2"/>
  <c r="J58" i="2" s="1"/>
  <c r="C54" i="2"/>
  <c r="J54" i="2" s="1"/>
  <c r="C50" i="2"/>
  <c r="J50" i="2" s="1"/>
  <c r="F76" i="2"/>
  <c r="M76" i="2" s="1"/>
  <c r="E75" i="2"/>
  <c r="L75" i="2" s="1"/>
  <c r="F72" i="2"/>
  <c r="M72" i="2" s="1"/>
  <c r="E71" i="2"/>
  <c r="L71" i="2" s="1"/>
  <c r="D70" i="2"/>
  <c r="K70" i="2" s="1"/>
  <c r="E67" i="2"/>
  <c r="L67" i="2" s="1"/>
  <c r="D66" i="2"/>
  <c r="K66" i="2" s="1"/>
  <c r="F64" i="2"/>
  <c r="M64" i="2" s="1"/>
  <c r="D62" i="2"/>
  <c r="K62" i="2" s="1"/>
  <c r="F60" i="2"/>
  <c r="M60" i="2" s="1"/>
  <c r="E59" i="2"/>
  <c r="L59" i="2" s="1"/>
  <c r="F56" i="2"/>
  <c r="M56" i="2" s="1"/>
  <c r="E55" i="2"/>
  <c r="L55" i="2" s="1"/>
  <c r="D54" i="2"/>
  <c r="K54" i="2" s="1"/>
  <c r="E51" i="2"/>
  <c r="L51" i="2" s="1"/>
  <c r="D50" i="2"/>
  <c r="K50" i="2" s="1"/>
  <c r="F48" i="2"/>
  <c r="M48" i="2" s="1"/>
  <c r="C83" i="2"/>
  <c r="J83" i="2" s="1"/>
  <c r="C82" i="2"/>
  <c r="J82" i="2" s="1"/>
  <c r="C81" i="2"/>
  <c r="J81" i="2" s="1"/>
  <c r="C80" i="2"/>
  <c r="J80" i="2" s="1"/>
  <c r="C79" i="2"/>
  <c r="J79" i="2" s="1"/>
  <c r="C78" i="2"/>
  <c r="J78" i="2" s="1"/>
  <c r="C77" i="2"/>
  <c r="J77" i="2" s="1"/>
  <c r="E32" i="2"/>
  <c r="L32" i="2" s="1"/>
  <c r="E31" i="2"/>
  <c r="L31" i="2" s="1"/>
  <c r="E30" i="2"/>
  <c r="L30" i="2" s="1"/>
  <c r="E29" i="2"/>
  <c r="L29" i="2" s="1"/>
  <c r="E28" i="2"/>
  <c r="L28" i="2" s="1"/>
  <c r="E27" i="2"/>
  <c r="L27" i="2" s="1"/>
  <c r="E26" i="2"/>
  <c r="L26" i="2" s="1"/>
  <c r="E25" i="2"/>
  <c r="L25" i="2" s="1"/>
  <c r="D24" i="2"/>
  <c r="K24" i="2" s="1"/>
  <c r="D23" i="2"/>
  <c r="K23" i="2" s="1"/>
  <c r="D22" i="2"/>
  <c r="K22" i="2" s="1"/>
  <c r="D21" i="2"/>
  <c r="K21" i="2" s="1"/>
  <c r="D20" i="2"/>
  <c r="K20" i="2" s="1"/>
  <c r="D19" i="2"/>
  <c r="K19" i="2" s="1"/>
  <c r="D18" i="2"/>
  <c r="K18" i="2" s="1"/>
  <c r="D17" i="2"/>
  <c r="K17" i="2" s="1"/>
  <c r="D16" i="2"/>
  <c r="K16" i="2" s="1"/>
  <c r="D15" i="2"/>
  <c r="K15" i="2" s="1"/>
  <c r="D14" i="2"/>
  <c r="K14" i="2" s="1"/>
  <c r="D13" i="2"/>
  <c r="K13" i="2" s="1"/>
  <c r="D12" i="2"/>
  <c r="K12" i="2" s="1"/>
  <c r="D11" i="2"/>
  <c r="K11" i="2" s="1"/>
  <c r="D10" i="2"/>
  <c r="K10" i="2" s="1"/>
  <c r="D9" i="2"/>
  <c r="K9" i="2" s="1"/>
  <c r="D8" i="2"/>
  <c r="K8" i="2" s="1"/>
  <c r="D7" i="2"/>
  <c r="K7" i="2" s="1"/>
  <c r="D6" i="2"/>
  <c r="K6" i="2" s="1"/>
  <c r="D42" i="2"/>
  <c r="K42" i="2" s="1"/>
  <c r="D41" i="2"/>
  <c r="K41" i="2" s="1"/>
  <c r="D40" i="2"/>
  <c r="K40" i="2" s="1"/>
  <c r="D39" i="2"/>
  <c r="K39" i="2" s="1"/>
  <c r="D38" i="2"/>
  <c r="K38" i="2" s="1"/>
  <c r="D37" i="2"/>
  <c r="K37" i="2" s="1"/>
  <c r="D36" i="2"/>
  <c r="K36" i="2" s="1"/>
  <c r="D35" i="2"/>
  <c r="K35" i="2" s="1"/>
  <c r="D34" i="2"/>
  <c r="K34" i="2" s="1"/>
  <c r="D33" i="2"/>
  <c r="K33" i="2" s="1"/>
  <c r="D32" i="2"/>
  <c r="K32" i="2" s="1"/>
  <c r="D31" i="2"/>
  <c r="K31" i="2" s="1"/>
  <c r="D30" i="2"/>
  <c r="K30" i="2" s="1"/>
  <c r="D29" i="2"/>
  <c r="K29" i="2" s="1"/>
  <c r="D28" i="2"/>
  <c r="K28" i="2" s="1"/>
  <c r="D27" i="2"/>
  <c r="K27" i="2" s="1"/>
  <c r="D26" i="2"/>
  <c r="K26" i="2" s="1"/>
  <c r="D25" i="2"/>
  <c r="K25" i="2" s="1"/>
  <c r="C73" i="2"/>
  <c r="J73" i="2" s="1"/>
  <c r="C69" i="2"/>
  <c r="J69" i="2" s="1"/>
  <c r="C65" i="2"/>
  <c r="J65" i="2" s="1"/>
  <c r="C61" i="2"/>
  <c r="J61" i="2" s="1"/>
  <c r="C57" i="2"/>
  <c r="J57" i="2" s="1"/>
  <c r="C53" i="2"/>
  <c r="J53" i="2" s="1"/>
  <c r="C49" i="2"/>
  <c r="J49" i="2" s="1"/>
  <c r="E76" i="2"/>
  <c r="L76" i="2" s="1"/>
  <c r="D75" i="2"/>
  <c r="K75" i="2" s="1"/>
  <c r="F73" i="2"/>
  <c r="M73" i="2" s="1"/>
  <c r="E72" i="2"/>
  <c r="L72" i="2" s="1"/>
  <c r="D71" i="2"/>
  <c r="K71" i="2" s="1"/>
  <c r="F69" i="2"/>
  <c r="M69" i="2" s="1"/>
  <c r="E68" i="2"/>
  <c r="L68" i="2" s="1"/>
  <c r="D67" i="2"/>
  <c r="K67" i="2" s="1"/>
  <c r="F65" i="2"/>
  <c r="M65" i="2" s="1"/>
  <c r="E64" i="2"/>
  <c r="L64" i="2" s="1"/>
  <c r="D63" i="2"/>
  <c r="K63" i="2" s="1"/>
  <c r="F61" i="2"/>
  <c r="M61" i="2" s="1"/>
  <c r="E60" i="2"/>
  <c r="L60" i="2" s="1"/>
  <c r="D59" i="2"/>
  <c r="K59" i="2" s="1"/>
  <c r="F57" i="2"/>
  <c r="M57" i="2" s="1"/>
  <c r="E56" i="2"/>
  <c r="L56" i="2" s="1"/>
  <c r="D55" i="2"/>
  <c r="K55" i="2" s="1"/>
  <c r="F53" i="2"/>
  <c r="M53" i="2" s="1"/>
  <c r="E52" i="2"/>
  <c r="L52" i="2" s="1"/>
  <c r="D51" i="2"/>
  <c r="K51" i="2" s="1"/>
  <c r="F49" i="2"/>
  <c r="M49" i="2" s="1"/>
  <c r="E48" i="2"/>
  <c r="L48" i="2" s="1"/>
  <c r="D47" i="2"/>
  <c r="K47" i="2" s="1"/>
  <c r="F83" i="2"/>
  <c r="M83" i="2" s="1"/>
  <c r="F82" i="2"/>
  <c r="M82" i="2" s="1"/>
  <c r="F81" i="2"/>
  <c r="M81" i="2" s="1"/>
  <c r="F80" i="2"/>
  <c r="M80" i="2" s="1"/>
  <c r="F79" i="2"/>
  <c r="M79" i="2" s="1"/>
  <c r="F78" i="2"/>
  <c r="M78" i="2" s="1"/>
  <c r="F77" i="2"/>
  <c r="M77" i="2" s="1"/>
  <c r="C24" i="2"/>
  <c r="J24" i="2" s="1"/>
  <c r="C23" i="2"/>
  <c r="J23" i="2" s="1"/>
  <c r="C22" i="2"/>
  <c r="J22" i="2" s="1"/>
  <c r="C21" i="2"/>
  <c r="J21" i="2" s="1"/>
  <c r="C20" i="2"/>
  <c r="J20" i="2" s="1"/>
  <c r="C19" i="2"/>
  <c r="J19" i="2" s="1"/>
  <c r="C18" i="2"/>
  <c r="J18" i="2" s="1"/>
  <c r="C17" i="2"/>
  <c r="J17" i="2" s="1"/>
  <c r="C16" i="2"/>
  <c r="J16" i="2" s="1"/>
  <c r="C15" i="2"/>
  <c r="J15" i="2" s="1"/>
  <c r="C14" i="2"/>
  <c r="J14" i="2" s="1"/>
  <c r="C13" i="2"/>
  <c r="J13" i="2" s="1"/>
  <c r="C12" i="2"/>
  <c r="J12" i="2" s="1"/>
  <c r="C11" i="2"/>
  <c r="J11" i="2" s="1"/>
  <c r="C10" i="2"/>
  <c r="J10" i="2" s="1"/>
  <c r="C9" i="2"/>
  <c r="J9" i="2" s="1"/>
  <c r="C8" i="2"/>
  <c r="J8" i="2" s="1"/>
  <c r="C7" i="2"/>
  <c r="J7" i="2" s="1"/>
  <c r="C6" i="2"/>
  <c r="J6" i="2" s="1"/>
  <c r="C42" i="2"/>
  <c r="J42" i="2" s="1"/>
  <c r="C41" i="2"/>
  <c r="J41" i="2" s="1"/>
  <c r="C40" i="2"/>
  <c r="J40" i="2" s="1"/>
  <c r="C39" i="2"/>
  <c r="J39" i="2" s="1"/>
  <c r="C38" i="2"/>
  <c r="J38" i="2" s="1"/>
  <c r="C37" i="2"/>
  <c r="J37" i="2" s="1"/>
  <c r="C36" i="2"/>
  <c r="J36" i="2" s="1"/>
  <c r="C35" i="2"/>
  <c r="J35" i="2" s="1"/>
  <c r="C34" i="2"/>
  <c r="J34" i="2" s="1"/>
  <c r="C33" i="2"/>
  <c r="J33" i="2" s="1"/>
  <c r="C32" i="2"/>
  <c r="J32" i="2" s="1"/>
  <c r="C31" i="2"/>
  <c r="J31" i="2" s="1"/>
  <c r="C30" i="2"/>
  <c r="J30" i="2" s="1"/>
  <c r="C29" i="2"/>
  <c r="J29" i="2" s="1"/>
  <c r="C28" i="2"/>
  <c r="J28" i="2" s="1"/>
  <c r="C27" i="2"/>
  <c r="J27" i="2" s="1"/>
  <c r="C26" i="2"/>
  <c r="J26" i="2" s="1"/>
  <c r="C25" i="2"/>
  <c r="J25" i="2" s="1"/>
  <c r="C76" i="2"/>
  <c r="J76" i="2" s="1"/>
  <c r="C72" i="2"/>
  <c r="J72" i="2" s="1"/>
  <c r="C68" i="2"/>
  <c r="J68" i="2" s="1"/>
  <c r="C64" i="2"/>
  <c r="J64" i="2" s="1"/>
  <c r="C60" i="2"/>
  <c r="J60" i="2" s="1"/>
  <c r="C56" i="2"/>
  <c r="J56" i="2" s="1"/>
  <c r="C52" i="2"/>
  <c r="J52" i="2" s="1"/>
  <c r="C48" i="2"/>
  <c r="J48" i="2" s="1"/>
  <c r="D76" i="2"/>
  <c r="K76" i="2" s="1"/>
  <c r="F74" i="2"/>
  <c r="M74" i="2" s="1"/>
  <c r="E73" i="2"/>
  <c r="L73" i="2" s="1"/>
  <c r="D72" i="2"/>
  <c r="K72" i="2" s="1"/>
  <c r="F70" i="2"/>
  <c r="M70" i="2" s="1"/>
  <c r="E69" i="2"/>
  <c r="L69" i="2" s="1"/>
  <c r="D68" i="2"/>
  <c r="K68" i="2" s="1"/>
  <c r="F66" i="2"/>
  <c r="M66" i="2" s="1"/>
  <c r="E65" i="2"/>
  <c r="L65" i="2" s="1"/>
  <c r="D64" i="2"/>
  <c r="K64" i="2" s="1"/>
  <c r="F62" i="2"/>
  <c r="M62" i="2" s="1"/>
  <c r="E61" i="2"/>
  <c r="L61" i="2" s="1"/>
  <c r="D60" i="2"/>
  <c r="K60" i="2" s="1"/>
  <c r="F58" i="2"/>
  <c r="M58" i="2" s="1"/>
  <c r="E57" i="2"/>
  <c r="L57" i="2" s="1"/>
  <c r="D56" i="2"/>
  <c r="K56" i="2" s="1"/>
  <c r="F54" i="2"/>
  <c r="M54" i="2" s="1"/>
  <c r="E53" i="2"/>
  <c r="L53" i="2" s="1"/>
  <c r="D52" i="2"/>
  <c r="K52" i="2" s="1"/>
  <c r="F50" i="2"/>
  <c r="M50" i="2" s="1"/>
  <c r="E49" i="2"/>
  <c r="L49" i="2" s="1"/>
  <c r="D48" i="2"/>
  <c r="K48" i="2" s="1"/>
  <c r="E83" i="2"/>
  <c r="L83" i="2" s="1"/>
  <c r="E82" i="2"/>
  <c r="L82" i="2" s="1"/>
  <c r="E81" i="2"/>
  <c r="L81" i="2" s="1"/>
  <c r="E80" i="2"/>
  <c r="L80" i="2" s="1"/>
  <c r="E79" i="2"/>
  <c r="L79" i="2" s="1"/>
  <c r="E78" i="2"/>
  <c r="L78" i="2" s="1"/>
  <c r="E77" i="2"/>
  <c r="L77" i="2" s="1"/>
  <c r="E47" i="2" l="1"/>
  <c r="L47" i="2" s="1"/>
  <c r="F52" i="2"/>
  <c r="M52" i="2" s="1"/>
  <c r="D58" i="2"/>
  <c r="K58" i="2" s="1"/>
  <c r="E63" i="2"/>
  <c r="L63" i="2" s="1"/>
  <c r="F68" i="2"/>
  <c r="M68" i="2" s="1"/>
  <c r="D74" i="2"/>
  <c r="K74" i="2" s="1"/>
  <c r="D79" i="2"/>
  <c r="K79" i="2" s="1"/>
  <c r="D83" i="2"/>
  <c r="K83" i="2" s="1"/>
  <c r="F51" i="2"/>
  <c r="M51" i="2" s="1"/>
  <c r="D57" i="2"/>
  <c r="K57" i="2" s="1"/>
  <c r="E62" i="2"/>
  <c r="L62" i="2" s="1"/>
  <c r="F67" i="2"/>
  <c r="M67" i="2" s="1"/>
  <c r="D73" i="2"/>
  <c r="K73" i="2" s="1"/>
  <c r="E46" i="2"/>
  <c r="L46" i="2" s="1"/>
  <c r="D46" i="2"/>
  <c r="K46" i="2" s="1"/>
  <c r="G40" i="6"/>
  <c r="F40" i="6"/>
  <c r="E40" i="6"/>
  <c r="D40" i="6"/>
  <c r="C40" i="6"/>
  <c r="B40" i="6"/>
  <c r="G39" i="6"/>
  <c r="F39" i="6"/>
  <c r="E39" i="6"/>
  <c r="D39" i="6"/>
  <c r="C39" i="6"/>
  <c r="B39" i="6"/>
  <c r="G38" i="6"/>
  <c r="F38" i="6"/>
  <c r="E38" i="6"/>
  <c r="D38" i="6"/>
  <c r="C38" i="6"/>
  <c r="B38" i="6"/>
  <c r="G37" i="6"/>
  <c r="F37" i="6"/>
  <c r="E37" i="6"/>
  <c r="D37" i="6"/>
  <c r="C37" i="6"/>
  <c r="B37" i="6"/>
  <c r="G36" i="6"/>
  <c r="F36" i="6"/>
  <c r="E36" i="6"/>
  <c r="D36" i="6"/>
  <c r="C36" i="6"/>
  <c r="B36" i="6"/>
  <c r="G35" i="6"/>
  <c r="F35" i="6"/>
  <c r="E35" i="6"/>
  <c r="D35" i="6"/>
  <c r="C35" i="6"/>
  <c r="B35" i="6"/>
  <c r="G34" i="6"/>
  <c r="F34" i="6"/>
  <c r="E34" i="6"/>
  <c r="D34" i="6"/>
  <c r="C34" i="6"/>
  <c r="B34" i="6"/>
  <c r="G33" i="6"/>
  <c r="F33" i="6"/>
  <c r="E33" i="6"/>
  <c r="D33" i="6"/>
  <c r="C33" i="6"/>
  <c r="B33" i="6"/>
  <c r="G32" i="6"/>
  <c r="F32" i="6"/>
  <c r="E32" i="6"/>
  <c r="D32" i="6"/>
  <c r="C32" i="6"/>
  <c r="B32" i="6"/>
  <c r="G31" i="6"/>
  <c r="F31" i="6"/>
  <c r="E31" i="6"/>
  <c r="D31" i="6"/>
  <c r="C31" i="6"/>
  <c r="B31" i="6"/>
  <c r="G30" i="6"/>
  <c r="F30" i="6"/>
  <c r="E30" i="6"/>
  <c r="D30" i="6"/>
  <c r="C30" i="6"/>
  <c r="B30" i="6"/>
  <c r="G29" i="6"/>
  <c r="F29" i="6"/>
  <c r="E29" i="6"/>
  <c r="D29" i="6"/>
  <c r="C29" i="6"/>
  <c r="B29" i="6"/>
  <c r="G28" i="6"/>
  <c r="F28" i="6"/>
  <c r="E28" i="6"/>
  <c r="D28" i="6"/>
  <c r="C28" i="6"/>
  <c r="B28" i="6"/>
  <c r="G27" i="6"/>
  <c r="F27" i="6"/>
  <c r="E27" i="6"/>
  <c r="D27" i="6"/>
  <c r="C27" i="6"/>
  <c r="B27" i="6"/>
  <c r="G26" i="6"/>
  <c r="F26" i="6"/>
  <c r="E26" i="6"/>
  <c r="D26" i="6"/>
  <c r="C26" i="6"/>
  <c r="B26" i="6"/>
  <c r="G25" i="6"/>
  <c r="F25" i="6"/>
  <c r="E25" i="6"/>
  <c r="D25" i="6"/>
  <c r="C25" i="6"/>
  <c r="B25" i="6"/>
  <c r="G24" i="6"/>
  <c r="F24" i="6"/>
  <c r="E24" i="6"/>
  <c r="D24" i="6"/>
  <c r="C24" i="6"/>
  <c r="B24" i="6"/>
  <c r="G23" i="6"/>
  <c r="F23" i="6"/>
  <c r="E23" i="6"/>
  <c r="D23" i="6"/>
  <c r="C23" i="6"/>
  <c r="B23" i="6"/>
  <c r="G22" i="6"/>
  <c r="F22" i="6"/>
  <c r="E22" i="6"/>
  <c r="D22" i="6"/>
  <c r="C22" i="6"/>
  <c r="B22" i="6"/>
  <c r="G21" i="6"/>
  <c r="F21" i="6"/>
  <c r="E21" i="6"/>
  <c r="D21" i="6"/>
  <c r="C21" i="6"/>
  <c r="B21" i="6"/>
  <c r="G20" i="6"/>
  <c r="F20" i="6"/>
  <c r="E20" i="6"/>
  <c r="D20" i="6"/>
  <c r="C20" i="6"/>
  <c r="B20" i="6"/>
  <c r="G19" i="6"/>
  <c r="F19" i="6"/>
  <c r="E19" i="6"/>
  <c r="D19" i="6"/>
  <c r="C19" i="6"/>
  <c r="B19" i="6"/>
  <c r="G18" i="6"/>
  <c r="F18" i="6"/>
  <c r="E18" i="6"/>
  <c r="D18" i="6"/>
  <c r="C18" i="6"/>
  <c r="B18" i="6"/>
  <c r="G17" i="6"/>
  <c r="F17" i="6"/>
  <c r="E17" i="6"/>
  <c r="D17" i="6"/>
  <c r="C17" i="6"/>
  <c r="B17" i="6"/>
  <c r="G16" i="6"/>
  <c r="F16" i="6"/>
  <c r="E16" i="6"/>
  <c r="D16" i="6"/>
  <c r="C16" i="6"/>
  <c r="B16" i="6"/>
  <c r="G15" i="6"/>
  <c r="F15" i="6"/>
  <c r="E15" i="6"/>
  <c r="D15" i="6"/>
  <c r="C15" i="6"/>
  <c r="B15" i="6"/>
  <c r="G14" i="6"/>
  <c r="F14" i="6"/>
  <c r="E14" i="6"/>
  <c r="D14" i="6"/>
  <c r="C14" i="6"/>
  <c r="B14" i="6"/>
  <c r="G13" i="6"/>
  <c r="F13" i="6"/>
  <c r="E13" i="6"/>
  <c r="D13" i="6"/>
  <c r="C13" i="6"/>
  <c r="B13" i="6"/>
  <c r="G12" i="6"/>
  <c r="F12" i="6"/>
  <c r="E12" i="6"/>
  <c r="D12" i="6"/>
  <c r="C12" i="6"/>
  <c r="B12" i="6"/>
  <c r="G11" i="6"/>
  <c r="F11" i="6"/>
  <c r="E11" i="6"/>
  <c r="D11" i="6"/>
  <c r="C11" i="6"/>
  <c r="B11" i="6"/>
  <c r="G10" i="6"/>
  <c r="F10" i="6"/>
  <c r="E10" i="6"/>
  <c r="D10" i="6"/>
  <c r="C10" i="6"/>
  <c r="B10" i="6"/>
  <c r="G9" i="6"/>
  <c r="F9" i="6"/>
  <c r="E9" i="6"/>
  <c r="D9" i="6"/>
  <c r="C9" i="6"/>
  <c r="B9" i="6"/>
  <c r="G8" i="6"/>
  <c r="F8" i="6"/>
  <c r="E8" i="6"/>
  <c r="D8" i="6"/>
  <c r="C8" i="6"/>
  <c r="B8" i="6"/>
  <c r="G7" i="6"/>
  <c r="F7" i="6"/>
  <c r="E7" i="6"/>
  <c r="D7" i="6"/>
  <c r="C7" i="6"/>
  <c r="B7" i="6"/>
  <c r="G6" i="6"/>
  <c r="F6" i="6"/>
  <c r="E6" i="6"/>
  <c r="D6" i="6"/>
  <c r="C6" i="6"/>
  <c r="B6" i="6"/>
  <c r="G5" i="6"/>
  <c r="F5" i="6"/>
  <c r="E5" i="6"/>
  <c r="D5" i="6"/>
  <c r="C5" i="6"/>
  <c r="B5" i="6"/>
  <c r="G4" i="6"/>
  <c r="F4" i="6"/>
  <c r="E4" i="6"/>
  <c r="D4" i="6"/>
  <c r="C4" i="6"/>
  <c r="B4" i="6"/>
  <c r="G3" i="6"/>
  <c r="F3" i="6"/>
  <c r="E3" i="6"/>
  <c r="D3" i="6"/>
  <c r="C3" i="6"/>
  <c r="B3" i="6"/>
  <c r="G2" i="6"/>
  <c r="F2" i="6"/>
  <c r="E2" i="6"/>
  <c r="D2" i="6"/>
  <c r="C2" i="6"/>
  <c r="G40" i="3"/>
  <c r="F40" i="3"/>
  <c r="E40" i="3"/>
  <c r="D40" i="3"/>
  <c r="C40" i="3"/>
  <c r="B40" i="3"/>
  <c r="G39" i="3"/>
  <c r="F39" i="3"/>
  <c r="E39" i="3"/>
  <c r="D39" i="3"/>
  <c r="C39" i="3"/>
  <c r="B39" i="3"/>
  <c r="G38" i="3"/>
  <c r="F38" i="3"/>
  <c r="E38" i="3"/>
  <c r="D38" i="3"/>
  <c r="C38" i="3"/>
  <c r="B38" i="3"/>
  <c r="G37" i="3"/>
  <c r="F37" i="3"/>
  <c r="E37" i="3"/>
  <c r="D37" i="3"/>
  <c r="C37" i="3"/>
  <c r="B37" i="3"/>
  <c r="G36" i="3"/>
  <c r="F36" i="3"/>
  <c r="E36" i="3"/>
  <c r="D36" i="3"/>
  <c r="C36" i="3"/>
  <c r="B36" i="3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15" i="3"/>
  <c r="F15" i="3"/>
  <c r="E15" i="3"/>
  <c r="D15" i="3"/>
  <c r="C15" i="3"/>
  <c r="B15" i="3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N45" i="2"/>
  <c r="M45" i="2"/>
  <c r="L45" i="2"/>
  <c r="K45" i="2"/>
  <c r="J45" i="2"/>
  <c r="G45" i="2"/>
  <c r="F45" i="2"/>
  <c r="E45" i="2"/>
  <c r="D45" i="2"/>
  <c r="C45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M4" i="2"/>
  <c r="L4" i="2"/>
  <c r="K4" i="2"/>
  <c r="J4" i="2"/>
  <c r="C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<sst xmlns="http://schemas.openxmlformats.org/spreadsheetml/2006/main" count="276" uniqueCount="36">
  <si>
    <t>DATA TRAINING (38)</t>
  </si>
  <si>
    <t>No</t>
  </si>
  <si>
    <t>Depth (m)</t>
  </si>
  <si>
    <t>P (MPa)</t>
  </si>
  <si>
    <t>T (°C)</t>
  </si>
  <si>
    <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</si>
  <si>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</si>
  <si>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</si>
  <si>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</si>
  <si>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</si>
  <si>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</si>
  <si>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</si>
  <si>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</si>
  <si>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</si>
  <si>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</si>
  <si>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t>30?</t>
  </si>
  <si>
    <t>lower limit</t>
  </si>
  <si>
    <t>upper limit</t>
  </si>
  <si>
    <t>Row Labels</t>
  </si>
  <si>
    <t>Grand Total</t>
  </si>
  <si>
    <t>Column Labels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</si>
  <si>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</si>
  <si>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</si>
  <si>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</si>
  <si>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</si>
  <si>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</si>
  <si>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</si>
  <si>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</si>
  <si>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</si>
  <si>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P(4|Yes)</t>
  </si>
  <si>
    <t>P(No|x_i)</t>
  </si>
  <si>
    <t>P(Yes|x_i)</t>
  </si>
  <si>
    <t>P(No)</t>
  </si>
  <si>
    <t>P(Yes)</t>
  </si>
  <si>
    <t>Prediction(Security)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</si>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</sst>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2" borderId="0" xfId="0" applyFill="1"/>
    <xf numFmtId="0" fontId="9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825.977939583332" createdVersion="8" refreshedVersion="8" minRefreshableVersion="3" recordCount="38">
  <cacheSource type="worksheet">
    <worksheetSource ref="I4:N42" sheet="Discretization"/>
  </cacheSource>
  <cacheFields count="6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Seal Thickness (m)" numFmtId="0">
      <sharedItems containsMixedTypes="1" containsNumber="1" containsInteger="1" minValue="0" maxValue="1" count="3">
        <n v="1"/>
        <n v="0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</r>
  <r>
    <n v="20"/>
    <x v="1"/>
    <x v="1"/>
    <x v="1"/>
    <x v="0"/>
    <x v="0"/>
  </r>
  <r>
    <n v="3"/>
    <x v="1"/>
    <x v="0"/>
    <x v="0"/>
    <x v="0"/>
    <x v="0"/>
  </r>
  <r>
    <n v="18"/>
    <x v="0"/>
    <x v="0"/>
    <x v="1"/>
    <x v="0"/>
    <x v="0"/>
  </r>
  <r>
    <n v="24"/>
    <x v="0"/>
    <x v="0"/>
    <x v="0"/>
    <x v="1"/>
    <x v="0"/>
  </r>
  <r>
    <n v="25"/>
    <x v="1"/>
    <x v="1"/>
    <x v="0"/>
    <x v="0"/>
    <x v="0"/>
  </r>
  <r>
    <n v="27"/>
    <x v="1"/>
    <x v="1"/>
    <x v="0"/>
    <x v="0"/>
    <x v="0"/>
  </r>
  <r>
    <n v="21"/>
    <x v="1"/>
    <x v="0"/>
    <x v="2"/>
    <x v="2"/>
    <x v="0"/>
  </r>
  <r>
    <n v="31"/>
    <x v="0"/>
    <x v="0"/>
    <x v="0"/>
    <x v="1"/>
    <x v="0"/>
  </r>
  <r>
    <n v="36"/>
    <x v="0"/>
    <x v="0"/>
    <x v="0"/>
    <x v="0"/>
    <x v="0"/>
  </r>
  <r>
    <n v="38"/>
    <x v="1"/>
    <x v="0"/>
    <x v="1"/>
    <x v="1"/>
    <x v="0"/>
  </r>
  <r>
    <n v="46"/>
    <x v="1"/>
    <x v="0"/>
    <x v="2"/>
    <x v="1"/>
    <x v="0"/>
  </r>
  <r>
    <n v="49"/>
    <x v="0"/>
    <x v="0"/>
    <x v="2"/>
    <x v="2"/>
    <x v="0"/>
  </r>
  <r>
    <n v="17"/>
    <x v="0"/>
    <x v="0"/>
    <x v="0"/>
    <x v="0"/>
    <x v="0"/>
  </r>
  <r>
    <n v="34"/>
    <x v="0"/>
    <x v="1"/>
    <x v="1"/>
    <x v="1"/>
    <x v="0"/>
  </r>
  <r>
    <n v="6"/>
    <x v="0"/>
    <x v="0"/>
    <x v="0"/>
    <x v="1"/>
    <x v="0"/>
  </r>
  <r>
    <n v="28"/>
    <x v="1"/>
    <x v="0"/>
    <x v="2"/>
    <x v="0"/>
    <x v="0"/>
  </r>
  <r>
    <n v="37"/>
    <x v="1"/>
    <x v="0"/>
    <x v="0"/>
    <x v="1"/>
    <x v="0"/>
  </r>
  <r>
    <n v="41"/>
    <x v="0"/>
    <x v="0"/>
    <x v="0"/>
    <x v="1"/>
    <x v="0"/>
  </r>
  <r>
    <n v="13"/>
    <x v="1"/>
    <x v="1"/>
    <x v="0"/>
    <x v="2"/>
    <x v="0"/>
  </r>
  <r>
    <n v="43"/>
    <x v="1"/>
    <x v="1"/>
    <x v="1"/>
    <x v="1"/>
    <x v="0"/>
  </r>
  <r>
    <n v="48"/>
    <x v="0"/>
    <x v="0"/>
    <x v="2"/>
    <x v="2"/>
    <x v="0"/>
  </r>
  <r>
    <n v="8"/>
    <x v="1"/>
    <x v="0"/>
    <x v="0"/>
    <x v="0"/>
    <x v="0"/>
  </r>
  <r>
    <n v="47"/>
    <x v="0"/>
    <x v="0"/>
    <x v="2"/>
    <x v="2"/>
    <x v="0"/>
  </r>
  <r>
    <n v="53"/>
    <x v="0"/>
    <x v="0"/>
    <x v="0"/>
    <x v="1"/>
    <x v="0"/>
  </r>
  <r>
    <n v="54"/>
    <x v="1"/>
    <x v="0"/>
    <x v="2"/>
    <x v="0"/>
    <x v="0"/>
  </r>
  <r>
    <n v="57"/>
    <x v="0"/>
    <x v="0"/>
    <x v="1"/>
    <x v="1"/>
    <x v="0"/>
  </r>
  <r>
    <n v="35"/>
    <x v="1"/>
    <x v="0"/>
    <x v="2"/>
    <x v="1"/>
    <x v="0"/>
  </r>
  <r>
    <n v="58"/>
    <x v="0"/>
    <x v="0"/>
    <x v="2"/>
    <x v="1"/>
    <x v="0"/>
  </r>
  <r>
    <n v="59"/>
    <x v="0"/>
    <x v="0"/>
    <x v="0"/>
    <x v="0"/>
    <x v="0"/>
  </r>
  <r>
    <n v="5"/>
    <x v="0"/>
    <x v="0"/>
    <x v="0"/>
    <x v="1"/>
    <x v="0"/>
  </r>
  <r>
    <n v="33"/>
    <x v="0"/>
    <x v="0"/>
    <x v="2"/>
    <x v="1"/>
    <x v="0"/>
  </r>
  <r>
    <n v="60"/>
    <x v="1"/>
    <x v="0"/>
    <x v="2"/>
    <x v="0"/>
    <x v="0"/>
  </r>
  <r>
    <n v="75"/>
    <x v="1"/>
    <x v="0"/>
    <x v="0"/>
    <x v="0"/>
    <x v="1"/>
  </r>
  <r>
    <n v="70"/>
    <x v="0"/>
    <x v="1"/>
    <x v="2"/>
    <x v="1"/>
    <x v="1"/>
  </r>
  <r>
    <n v="74"/>
    <x v="0"/>
    <x v="0"/>
    <x v="0"/>
    <x v="1"/>
    <x v="1"/>
  </r>
  <r>
    <n v="72"/>
    <x v="0"/>
    <x v="1"/>
    <x v="1"/>
    <x v="1"/>
    <x v="1"/>
  </r>
  <r>
    <n v="68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6"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6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6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2"/>
  <sheetViews>
    <sheetView workbookViewId="0">
      <selection activeCell="X3" sqref="X3:X40"/>
    </sheetView>
  </sheetViews>
  <sheetFormatPr defaultColWidth="8.85546875" defaultRowHeight="15" x14ac:dyDescent="0.25"/>
  <sheetData>
    <row r="2" spans="2:11" x14ac:dyDescent="0.25">
      <c r="B2" s="24" t="s">
        <v>0</v>
      </c>
      <c r="C2" s="24"/>
    </row>
    <row r="3" spans="2:11" ht="33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x14ac:dyDescent="0.25">
      <c r="B4" s="1">
        <v>14</v>
      </c>
      <c r="C4" s="2">
        <v>1097</v>
      </c>
      <c r="D4" s="2">
        <v>8.6</v>
      </c>
      <c r="E4" s="2">
        <v>32.799999999999997</v>
      </c>
      <c r="F4" s="2">
        <v>88</v>
      </c>
      <c r="G4" s="2">
        <v>683.3</v>
      </c>
      <c r="H4" s="2">
        <v>20</v>
      </c>
      <c r="I4" s="2">
        <v>210</v>
      </c>
      <c r="J4" s="2" t="s">
        <v>1</v>
      </c>
      <c r="K4" s="2" t="s">
        <v>11</v>
      </c>
    </row>
    <row r="5" spans="2:11" x14ac:dyDescent="0.25">
      <c r="B5" s="1">
        <v>20</v>
      </c>
      <c r="C5" s="2">
        <v>450</v>
      </c>
      <c r="D5" s="2">
        <v>2.8</v>
      </c>
      <c r="E5" s="2">
        <v>27.2</v>
      </c>
      <c r="F5" s="2">
        <v>98</v>
      </c>
      <c r="G5" s="2">
        <v>58.2</v>
      </c>
      <c r="H5" s="2">
        <v>20</v>
      </c>
      <c r="I5" s="2">
        <v>40</v>
      </c>
      <c r="J5" s="2" t="s">
        <v>1</v>
      </c>
      <c r="K5" s="2" t="s">
        <v>11</v>
      </c>
    </row>
    <row r="6" spans="2:11" x14ac:dyDescent="0.25">
      <c r="B6" s="1">
        <v>3</v>
      </c>
      <c r="C6" s="2">
        <v>2743</v>
      </c>
      <c r="D6" s="2">
        <v>27.3</v>
      </c>
      <c r="E6" s="2">
        <v>100.6</v>
      </c>
      <c r="F6" s="2">
        <v>95</v>
      </c>
      <c r="G6" s="2">
        <v>623.20000000000005</v>
      </c>
      <c r="H6" s="2">
        <v>18</v>
      </c>
      <c r="I6" s="2">
        <v>400</v>
      </c>
      <c r="J6" s="2" t="s">
        <v>1</v>
      </c>
      <c r="K6" s="2" t="s">
        <v>11</v>
      </c>
    </row>
    <row r="7" spans="2:11" x14ac:dyDescent="0.25">
      <c r="B7" s="1">
        <v>18</v>
      </c>
      <c r="C7" s="2">
        <v>1067</v>
      </c>
      <c r="D7" s="2">
        <v>11.2</v>
      </c>
      <c r="E7" s="2">
        <v>39.4</v>
      </c>
      <c r="F7" s="2">
        <v>32</v>
      </c>
      <c r="G7" s="2">
        <v>700.6</v>
      </c>
      <c r="H7" s="2">
        <v>14</v>
      </c>
      <c r="I7" s="2">
        <v>85</v>
      </c>
      <c r="J7" s="2" t="s">
        <v>1</v>
      </c>
      <c r="K7" s="2" t="s">
        <v>11</v>
      </c>
    </row>
    <row r="8" spans="2:11" x14ac:dyDescent="0.25">
      <c r="B8" s="1">
        <v>24</v>
      </c>
      <c r="C8" s="2">
        <v>2300</v>
      </c>
      <c r="D8" s="2">
        <v>20.9</v>
      </c>
      <c r="E8" s="2">
        <v>80</v>
      </c>
      <c r="F8" s="2">
        <v>50</v>
      </c>
      <c r="G8" s="2">
        <v>615.70000000000005</v>
      </c>
      <c r="H8" s="2">
        <v>100</v>
      </c>
      <c r="I8" s="2">
        <v>400</v>
      </c>
      <c r="J8" s="2" t="s">
        <v>11</v>
      </c>
      <c r="K8" s="2" t="s">
        <v>11</v>
      </c>
    </row>
    <row r="9" spans="2:11" x14ac:dyDescent="0.25">
      <c r="B9" s="1">
        <v>25</v>
      </c>
      <c r="C9" s="2">
        <v>465</v>
      </c>
      <c r="D9" s="2">
        <v>4.5</v>
      </c>
      <c r="E9" s="2">
        <v>20</v>
      </c>
      <c r="F9" s="2">
        <v>97</v>
      </c>
      <c r="G9" s="2">
        <v>116.9</v>
      </c>
      <c r="H9" s="2">
        <v>300</v>
      </c>
      <c r="I9" s="2">
        <v>250</v>
      </c>
      <c r="J9" s="2" t="s">
        <v>1</v>
      </c>
      <c r="K9" s="2" t="s">
        <v>11</v>
      </c>
    </row>
    <row r="10" spans="2:11" x14ac:dyDescent="0.25">
      <c r="B10" s="1">
        <v>27</v>
      </c>
      <c r="C10" s="2">
        <v>694</v>
      </c>
      <c r="D10" s="2">
        <v>6.3</v>
      </c>
      <c r="E10" s="2">
        <v>55.5</v>
      </c>
      <c r="F10" s="2">
        <v>97</v>
      </c>
      <c r="G10" s="2">
        <v>138.4</v>
      </c>
      <c r="H10" s="2">
        <v>100</v>
      </c>
      <c r="I10" s="2">
        <v>300</v>
      </c>
      <c r="J10" s="2" t="s">
        <v>1</v>
      </c>
      <c r="K10" s="2" t="s">
        <v>11</v>
      </c>
    </row>
    <row r="11" spans="2:11" x14ac:dyDescent="0.25">
      <c r="B11" s="1">
        <v>21</v>
      </c>
      <c r="C11" s="2">
        <v>2800</v>
      </c>
      <c r="D11" s="2">
        <v>27.4</v>
      </c>
      <c r="E11" s="2">
        <v>100</v>
      </c>
      <c r="F11" s="2">
        <v>57</v>
      </c>
      <c r="G11" s="2">
        <v>627.29999999999995</v>
      </c>
      <c r="H11" s="2" t="s">
        <v>12</v>
      </c>
      <c r="I11" s="2" t="s">
        <v>12</v>
      </c>
      <c r="J11" s="2" t="s">
        <v>12</v>
      </c>
      <c r="K11" s="2" t="s">
        <v>11</v>
      </c>
    </row>
    <row r="12" spans="2:11" x14ac:dyDescent="0.25">
      <c r="B12" s="1">
        <v>31</v>
      </c>
      <c r="C12" s="2">
        <v>1460</v>
      </c>
      <c r="D12" s="2" t="s">
        <v>12</v>
      </c>
      <c r="E12" s="2" t="s">
        <v>12</v>
      </c>
      <c r="F12" s="2">
        <v>90</v>
      </c>
      <c r="G12" s="2">
        <v>450.8</v>
      </c>
      <c r="H12" s="2">
        <v>250</v>
      </c>
      <c r="I12" s="2">
        <v>300</v>
      </c>
      <c r="J12" s="2" t="s">
        <v>11</v>
      </c>
      <c r="K12" s="2" t="s">
        <v>11</v>
      </c>
    </row>
    <row r="13" spans="2:11" x14ac:dyDescent="0.25">
      <c r="B13" s="1">
        <v>36</v>
      </c>
      <c r="C13" s="2">
        <v>1450</v>
      </c>
      <c r="D13" s="2">
        <v>14.5</v>
      </c>
      <c r="E13" s="2">
        <v>70</v>
      </c>
      <c r="F13" s="2">
        <v>68</v>
      </c>
      <c r="G13" s="2">
        <v>769</v>
      </c>
      <c r="H13" s="2">
        <v>100</v>
      </c>
      <c r="I13" s="2">
        <v>250</v>
      </c>
      <c r="J13" s="2" t="s">
        <v>1</v>
      </c>
      <c r="K13" s="2" t="s">
        <v>11</v>
      </c>
    </row>
    <row r="14" spans="2:11" x14ac:dyDescent="0.25">
      <c r="B14" s="1">
        <v>38</v>
      </c>
      <c r="C14" s="2">
        <v>2600</v>
      </c>
      <c r="D14" s="2">
        <v>26</v>
      </c>
      <c r="E14" s="2">
        <v>98.2</v>
      </c>
      <c r="F14" s="2">
        <v>97</v>
      </c>
      <c r="G14" s="2">
        <v>485.9</v>
      </c>
      <c r="H14" s="2">
        <v>360</v>
      </c>
      <c r="I14" s="2">
        <v>150</v>
      </c>
      <c r="J14" s="2" t="s">
        <v>11</v>
      </c>
      <c r="K14" s="2" t="s">
        <v>11</v>
      </c>
    </row>
    <row r="15" spans="2:11" x14ac:dyDescent="0.25">
      <c r="B15" s="1">
        <v>46</v>
      </c>
      <c r="C15" s="2">
        <v>3300</v>
      </c>
      <c r="D15" s="2">
        <v>33</v>
      </c>
      <c r="E15" s="2">
        <v>160</v>
      </c>
      <c r="F15" s="2">
        <v>90</v>
      </c>
      <c r="G15" s="2">
        <v>506.2</v>
      </c>
      <c r="H15" s="2" t="s">
        <v>12</v>
      </c>
      <c r="I15" s="2" t="s">
        <v>12</v>
      </c>
      <c r="J15" s="2" t="s">
        <v>11</v>
      </c>
      <c r="K15" s="2" t="s">
        <v>11</v>
      </c>
    </row>
    <row r="16" spans="2:11" x14ac:dyDescent="0.25">
      <c r="B16" s="1">
        <v>49</v>
      </c>
      <c r="C16" s="2">
        <v>1428</v>
      </c>
      <c r="D16" s="2">
        <v>14.23</v>
      </c>
      <c r="E16" s="2">
        <v>60.7</v>
      </c>
      <c r="F16" s="2">
        <v>63</v>
      </c>
      <c r="G16" s="2">
        <v>569</v>
      </c>
      <c r="H16" s="2" t="s">
        <v>12</v>
      </c>
      <c r="I16" s="2" t="s">
        <v>12</v>
      </c>
      <c r="J16" s="2" t="s">
        <v>12</v>
      </c>
      <c r="K16" s="2" t="s">
        <v>11</v>
      </c>
    </row>
    <row r="17" spans="2:11" x14ac:dyDescent="0.25">
      <c r="B17" s="1">
        <v>17</v>
      </c>
      <c r="C17" s="2">
        <v>2034</v>
      </c>
      <c r="D17" s="2">
        <v>20.7</v>
      </c>
      <c r="E17" s="2">
        <v>52.2</v>
      </c>
      <c r="F17" s="2">
        <v>66</v>
      </c>
      <c r="G17" s="2">
        <v>781</v>
      </c>
      <c r="H17" s="2">
        <v>3</v>
      </c>
      <c r="I17" s="2">
        <v>160</v>
      </c>
      <c r="J17" s="2" t="s">
        <v>1</v>
      </c>
      <c r="K17" s="2" t="s">
        <v>11</v>
      </c>
    </row>
    <row r="18" spans="2:11" x14ac:dyDescent="0.25">
      <c r="B18" s="1">
        <v>34</v>
      </c>
      <c r="C18" s="2">
        <v>2442</v>
      </c>
      <c r="D18" s="2">
        <v>24.42</v>
      </c>
      <c r="E18" s="2">
        <v>100</v>
      </c>
      <c r="F18" s="2">
        <v>95.09</v>
      </c>
      <c r="G18" s="2">
        <v>143.5</v>
      </c>
      <c r="H18" s="2">
        <v>20</v>
      </c>
      <c r="I18" s="2">
        <v>100</v>
      </c>
      <c r="J18" s="2" t="s">
        <v>11</v>
      </c>
      <c r="K18" s="2" t="s">
        <v>11</v>
      </c>
    </row>
    <row r="19" spans="2:11" x14ac:dyDescent="0.25">
      <c r="B19" s="1">
        <v>6</v>
      </c>
      <c r="C19" s="2">
        <v>1524</v>
      </c>
      <c r="D19" s="2">
        <v>14.9</v>
      </c>
      <c r="E19" s="2">
        <v>69.400000000000006</v>
      </c>
      <c r="F19" s="2">
        <v>97</v>
      </c>
      <c r="G19" s="2">
        <v>509.6</v>
      </c>
      <c r="H19" s="2">
        <v>44</v>
      </c>
      <c r="I19" s="2">
        <v>300</v>
      </c>
      <c r="J19" s="2" t="s">
        <v>11</v>
      </c>
      <c r="K19" s="2" t="s">
        <v>11</v>
      </c>
    </row>
    <row r="20" spans="2:11" x14ac:dyDescent="0.25">
      <c r="B20" s="1">
        <v>28</v>
      </c>
      <c r="C20" s="2">
        <v>4262</v>
      </c>
      <c r="D20" s="2">
        <v>61.8</v>
      </c>
      <c r="E20" s="2">
        <v>81</v>
      </c>
      <c r="F20" s="2">
        <v>97</v>
      </c>
      <c r="G20" s="2">
        <v>919.3</v>
      </c>
      <c r="H20" s="2">
        <v>192</v>
      </c>
      <c r="I20" s="2" t="s">
        <v>12</v>
      </c>
      <c r="J20" s="2" t="s">
        <v>1</v>
      </c>
      <c r="K20" s="2" t="s">
        <v>11</v>
      </c>
    </row>
    <row r="21" spans="2:11" x14ac:dyDescent="0.25">
      <c r="B21" s="1">
        <v>37</v>
      </c>
      <c r="C21" s="2">
        <v>2793</v>
      </c>
      <c r="D21" s="2">
        <v>2.9</v>
      </c>
      <c r="E21" s="2">
        <v>110</v>
      </c>
      <c r="F21" s="2">
        <v>96.5</v>
      </c>
      <c r="G21" s="2">
        <v>563.1</v>
      </c>
      <c r="H21" s="2">
        <v>50</v>
      </c>
      <c r="I21" s="2">
        <v>800</v>
      </c>
      <c r="J21" s="2" t="s">
        <v>11</v>
      </c>
      <c r="K21" s="2" t="s">
        <v>11</v>
      </c>
    </row>
    <row r="22" spans="2:11" x14ac:dyDescent="0.25">
      <c r="B22" s="1">
        <v>41</v>
      </c>
      <c r="C22" s="2">
        <v>1700</v>
      </c>
      <c r="D22" s="2">
        <v>16</v>
      </c>
      <c r="E22" s="2">
        <v>57.5</v>
      </c>
      <c r="F22" s="2">
        <v>93</v>
      </c>
      <c r="G22" s="2">
        <v>661</v>
      </c>
      <c r="H22" s="2">
        <v>200</v>
      </c>
      <c r="I22" s="2">
        <v>800</v>
      </c>
      <c r="J22" s="2" t="s">
        <v>11</v>
      </c>
      <c r="K22" s="2" t="s">
        <v>11</v>
      </c>
    </row>
    <row r="23" spans="2:11" x14ac:dyDescent="0.25">
      <c r="B23" s="1">
        <v>13</v>
      </c>
      <c r="C23" s="2">
        <v>693</v>
      </c>
      <c r="D23" s="2">
        <v>7.3</v>
      </c>
      <c r="E23" s="2">
        <v>35</v>
      </c>
      <c r="F23" s="2">
        <v>95</v>
      </c>
      <c r="G23" s="2">
        <v>249.6</v>
      </c>
      <c r="H23" s="2">
        <v>52</v>
      </c>
      <c r="I23" s="2">
        <v>200</v>
      </c>
      <c r="J23" s="2" t="s">
        <v>12</v>
      </c>
      <c r="K23" s="2" t="s">
        <v>11</v>
      </c>
    </row>
    <row r="24" spans="2:11" x14ac:dyDescent="0.25">
      <c r="B24" s="1">
        <v>43</v>
      </c>
      <c r="C24" s="2">
        <v>774</v>
      </c>
      <c r="D24" s="2">
        <v>7.7</v>
      </c>
      <c r="E24" s="2">
        <v>45</v>
      </c>
      <c r="F24" s="2">
        <v>90</v>
      </c>
      <c r="G24" s="2">
        <v>223.9</v>
      </c>
      <c r="H24" s="2">
        <v>50</v>
      </c>
      <c r="I24" s="2">
        <v>100</v>
      </c>
      <c r="J24" s="2" t="s">
        <v>11</v>
      </c>
      <c r="K24" s="2" t="s">
        <v>11</v>
      </c>
    </row>
    <row r="25" spans="2:11" x14ac:dyDescent="0.25">
      <c r="B25" s="1">
        <v>48</v>
      </c>
      <c r="C25" s="2">
        <v>1655</v>
      </c>
      <c r="D25" s="2">
        <v>16.5</v>
      </c>
      <c r="E25" s="2">
        <v>69.5</v>
      </c>
      <c r="F25" s="2">
        <v>88.1</v>
      </c>
      <c r="G25" s="2">
        <v>573.70000000000005</v>
      </c>
      <c r="H25" s="2" t="s">
        <v>12</v>
      </c>
      <c r="I25" s="2" t="s">
        <v>12</v>
      </c>
      <c r="J25" s="2" t="s">
        <v>12</v>
      </c>
      <c r="K25" s="2" t="s">
        <v>11</v>
      </c>
    </row>
    <row r="26" spans="2:11" x14ac:dyDescent="0.25">
      <c r="B26" s="1">
        <v>8</v>
      </c>
      <c r="C26" s="2">
        <v>4779</v>
      </c>
      <c r="D26" s="2">
        <v>45.4</v>
      </c>
      <c r="E26" s="2">
        <v>107.2</v>
      </c>
      <c r="F26" s="2">
        <v>85</v>
      </c>
      <c r="G26" s="2">
        <v>770.4</v>
      </c>
      <c r="H26" s="2">
        <v>84</v>
      </c>
      <c r="I26" s="2">
        <v>200</v>
      </c>
      <c r="J26" s="2" t="s">
        <v>1</v>
      </c>
      <c r="K26" s="2" t="s">
        <v>11</v>
      </c>
    </row>
    <row r="27" spans="2:11" x14ac:dyDescent="0.25">
      <c r="B27" s="1">
        <v>47</v>
      </c>
      <c r="C27" s="2">
        <v>1280</v>
      </c>
      <c r="D27" s="2">
        <v>12.8</v>
      </c>
      <c r="E27" s="2">
        <v>70</v>
      </c>
      <c r="F27" s="2">
        <v>51</v>
      </c>
      <c r="G27" s="2">
        <v>392.9</v>
      </c>
      <c r="H27" s="2" t="s">
        <v>12</v>
      </c>
      <c r="I27" s="2" t="s">
        <v>12</v>
      </c>
      <c r="J27" s="2" t="s">
        <v>12</v>
      </c>
      <c r="K27" s="2" t="s">
        <v>11</v>
      </c>
    </row>
    <row r="28" spans="2:11" x14ac:dyDescent="0.25">
      <c r="B28" s="1">
        <v>53</v>
      </c>
      <c r="C28" s="2">
        <v>2500</v>
      </c>
      <c r="D28" s="2">
        <v>25</v>
      </c>
      <c r="E28" s="2">
        <v>115</v>
      </c>
      <c r="F28" s="2">
        <v>60</v>
      </c>
      <c r="G28" s="2">
        <v>525.6</v>
      </c>
      <c r="H28" s="2">
        <v>160</v>
      </c>
      <c r="I28" s="2">
        <v>280</v>
      </c>
      <c r="J28" s="2" t="s">
        <v>11</v>
      </c>
      <c r="K28" s="2" t="s">
        <v>11</v>
      </c>
    </row>
    <row r="29" spans="2:11" x14ac:dyDescent="0.25">
      <c r="B29" s="1">
        <v>54</v>
      </c>
      <c r="C29" s="2">
        <v>3400</v>
      </c>
      <c r="D29" s="2">
        <v>45.5</v>
      </c>
      <c r="E29" s="2">
        <v>102</v>
      </c>
      <c r="F29" s="2">
        <v>39</v>
      </c>
      <c r="G29" s="2">
        <v>786.6</v>
      </c>
      <c r="H29" s="2" t="s">
        <v>12</v>
      </c>
      <c r="I29" s="2" t="s">
        <v>12</v>
      </c>
      <c r="J29" s="2" t="s">
        <v>1</v>
      </c>
      <c r="K29" s="2" t="s">
        <v>11</v>
      </c>
    </row>
    <row r="30" spans="2:11" x14ac:dyDescent="0.25">
      <c r="B30" s="1">
        <v>57</v>
      </c>
      <c r="C30" s="2">
        <v>1662</v>
      </c>
      <c r="D30" s="2">
        <v>18.399999999999999</v>
      </c>
      <c r="E30" s="2">
        <v>68.3</v>
      </c>
      <c r="F30" s="2">
        <v>86.1</v>
      </c>
      <c r="G30" s="2">
        <v>636.6</v>
      </c>
      <c r="H30" s="2">
        <v>83.5</v>
      </c>
      <c r="I30" s="2">
        <v>150</v>
      </c>
      <c r="J30" s="2" t="s">
        <v>11</v>
      </c>
      <c r="K30" s="2" t="s">
        <v>11</v>
      </c>
    </row>
    <row r="31" spans="2:11" x14ac:dyDescent="0.25">
      <c r="B31" s="1">
        <v>35</v>
      </c>
      <c r="C31" s="2">
        <v>811</v>
      </c>
      <c r="D31" s="2">
        <v>8.11</v>
      </c>
      <c r="E31" s="2">
        <v>45</v>
      </c>
      <c r="F31" s="2">
        <v>94</v>
      </c>
      <c r="G31" s="2">
        <v>733.2</v>
      </c>
      <c r="H31" s="2">
        <v>10</v>
      </c>
      <c r="I31" s="2" t="s">
        <v>12</v>
      </c>
      <c r="J31" s="2" t="s">
        <v>11</v>
      </c>
      <c r="K31" s="2" t="s">
        <v>11</v>
      </c>
    </row>
    <row r="32" spans="2:11" x14ac:dyDescent="0.25">
      <c r="B32" s="1">
        <v>58</v>
      </c>
      <c r="C32" s="2">
        <v>1188</v>
      </c>
      <c r="D32" s="3">
        <v>11.8</v>
      </c>
      <c r="E32" s="2">
        <v>44</v>
      </c>
      <c r="F32" s="2">
        <v>97</v>
      </c>
      <c r="G32" s="2">
        <v>667.3</v>
      </c>
      <c r="H32" s="2" t="s">
        <v>12</v>
      </c>
      <c r="I32" s="2" t="s">
        <v>12</v>
      </c>
      <c r="J32" s="2" t="s">
        <v>11</v>
      </c>
      <c r="K32" s="2" t="s">
        <v>11</v>
      </c>
    </row>
    <row r="33" spans="2:11" x14ac:dyDescent="0.25">
      <c r="B33" s="1">
        <v>59</v>
      </c>
      <c r="C33" s="2">
        <v>1574</v>
      </c>
      <c r="D33" s="2">
        <v>16.5</v>
      </c>
      <c r="E33" s="2">
        <v>55</v>
      </c>
      <c r="F33" s="2">
        <v>82</v>
      </c>
      <c r="G33" s="2">
        <v>694.2</v>
      </c>
      <c r="H33" s="2">
        <v>180</v>
      </c>
      <c r="I33" s="2">
        <v>200</v>
      </c>
      <c r="J33" s="2" t="s">
        <v>1</v>
      </c>
      <c r="K33" s="2" t="s">
        <v>11</v>
      </c>
    </row>
    <row r="34" spans="2:11" x14ac:dyDescent="0.25">
      <c r="B34" s="1">
        <v>5</v>
      </c>
      <c r="C34" s="2">
        <v>1829</v>
      </c>
      <c r="D34" s="2">
        <v>19.2</v>
      </c>
      <c r="E34" s="2">
        <v>81.7</v>
      </c>
      <c r="F34" s="2">
        <v>72</v>
      </c>
      <c r="G34" s="2">
        <v>564.29999999999995</v>
      </c>
      <c r="H34" s="2">
        <v>76</v>
      </c>
      <c r="I34" s="2">
        <v>300</v>
      </c>
      <c r="J34" s="2" t="s">
        <v>11</v>
      </c>
      <c r="K34" s="2" t="s">
        <v>11</v>
      </c>
    </row>
    <row r="35" spans="2:11" x14ac:dyDescent="0.25">
      <c r="B35" s="1">
        <v>33</v>
      </c>
      <c r="C35" s="2">
        <v>2044</v>
      </c>
      <c r="D35" s="3">
        <v>22.4</v>
      </c>
      <c r="E35" s="2">
        <v>93</v>
      </c>
      <c r="F35" s="2">
        <v>88</v>
      </c>
      <c r="G35" s="2">
        <v>612.4</v>
      </c>
      <c r="H35" s="2" t="s">
        <v>12</v>
      </c>
      <c r="I35" s="2" t="s">
        <v>12</v>
      </c>
      <c r="J35" s="2" t="s">
        <v>11</v>
      </c>
      <c r="K35" s="2" t="s">
        <v>11</v>
      </c>
    </row>
    <row r="36" spans="2:11" x14ac:dyDescent="0.25">
      <c r="B36" s="1">
        <v>60</v>
      </c>
      <c r="C36" s="2">
        <v>2804</v>
      </c>
      <c r="D36" s="3">
        <v>28</v>
      </c>
      <c r="E36" s="2">
        <v>90</v>
      </c>
      <c r="F36" s="2">
        <v>42.9</v>
      </c>
      <c r="G36" s="2">
        <v>679.9</v>
      </c>
      <c r="H36" s="2" t="s">
        <v>12</v>
      </c>
      <c r="I36" s="2" t="s">
        <v>12</v>
      </c>
      <c r="J36" s="2" t="s">
        <v>1</v>
      </c>
      <c r="K36" s="2" t="s">
        <v>11</v>
      </c>
    </row>
    <row r="37" spans="2:11" ht="22.5" x14ac:dyDescent="0.25">
      <c r="B37" s="1">
        <v>75</v>
      </c>
      <c r="C37" s="2">
        <v>2600</v>
      </c>
      <c r="D37" s="2">
        <v>34.5</v>
      </c>
      <c r="E37" s="2">
        <v>142.1</v>
      </c>
      <c r="F37" s="2">
        <v>90</v>
      </c>
      <c r="G37" s="2">
        <v>571.29999999999995</v>
      </c>
      <c r="H37" s="2">
        <v>280</v>
      </c>
      <c r="I37" s="2">
        <v>300</v>
      </c>
      <c r="J37" s="2" t="s">
        <v>1</v>
      </c>
      <c r="K37" s="2" t="s">
        <v>13</v>
      </c>
    </row>
    <row r="38" spans="2:11" x14ac:dyDescent="0.25">
      <c r="B38" s="1">
        <v>70</v>
      </c>
      <c r="C38" s="2">
        <v>1000</v>
      </c>
      <c r="D38" s="2" t="s">
        <v>12</v>
      </c>
      <c r="E38" s="2">
        <v>200</v>
      </c>
      <c r="F38" s="2">
        <v>98</v>
      </c>
      <c r="G38" s="2">
        <v>121.9</v>
      </c>
      <c r="H38" s="2" t="s">
        <v>12</v>
      </c>
      <c r="I38" s="2" t="s">
        <v>12</v>
      </c>
      <c r="J38" s="2" t="s">
        <v>11</v>
      </c>
      <c r="K38" s="2" t="s">
        <v>1</v>
      </c>
    </row>
    <row r="39" spans="2:11" ht="22.5" x14ac:dyDescent="0.25">
      <c r="B39" s="1">
        <v>74</v>
      </c>
      <c r="C39" s="2">
        <v>2400</v>
      </c>
      <c r="D39" s="2">
        <v>36</v>
      </c>
      <c r="E39" s="2">
        <v>100</v>
      </c>
      <c r="F39" s="2">
        <v>97</v>
      </c>
      <c r="G39" s="2">
        <v>723.7</v>
      </c>
      <c r="H39" s="2">
        <v>80</v>
      </c>
      <c r="I39" s="2">
        <v>500</v>
      </c>
      <c r="J39" s="2" t="s">
        <v>11</v>
      </c>
      <c r="K39" s="2" t="s">
        <v>13</v>
      </c>
    </row>
    <row r="40" spans="2:11" x14ac:dyDescent="0.25">
      <c r="B40" s="1">
        <v>72</v>
      </c>
      <c r="C40" s="2">
        <v>1163</v>
      </c>
      <c r="D40" s="2">
        <v>11.7</v>
      </c>
      <c r="E40" s="2">
        <v>123</v>
      </c>
      <c r="F40" s="2">
        <v>99.7</v>
      </c>
      <c r="G40" s="2">
        <v>199.7</v>
      </c>
      <c r="H40" s="2">
        <v>427</v>
      </c>
      <c r="I40" s="2">
        <v>150</v>
      </c>
      <c r="J40" s="2" t="s">
        <v>11</v>
      </c>
      <c r="K40" s="2" t="s">
        <v>1</v>
      </c>
    </row>
    <row r="41" spans="2:11" x14ac:dyDescent="0.25">
      <c r="B41" s="1">
        <v>68</v>
      </c>
      <c r="C41" s="2">
        <v>180</v>
      </c>
      <c r="D41" s="2">
        <v>2.2999999999999998</v>
      </c>
      <c r="E41" s="2">
        <v>118.3</v>
      </c>
      <c r="F41" s="2">
        <v>95</v>
      </c>
      <c r="G41" s="2">
        <v>32.6</v>
      </c>
      <c r="H41" s="2">
        <v>70</v>
      </c>
      <c r="I41" s="2">
        <v>100</v>
      </c>
      <c r="J41" s="2" t="s">
        <v>11</v>
      </c>
      <c r="K41" s="2" t="s">
        <v>1</v>
      </c>
    </row>
    <row r="43" spans="2:11" x14ac:dyDescent="0.25"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</row>
    <row r="44" spans="2:11" ht="33.75" x14ac:dyDescent="0.25"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2:11" x14ac:dyDescent="0.25">
      <c r="B45" s="1">
        <v>22</v>
      </c>
      <c r="C45" s="2">
        <v>1234</v>
      </c>
      <c r="D45" s="3">
        <v>6.4</v>
      </c>
      <c r="E45" s="2">
        <v>56</v>
      </c>
      <c r="F45" s="2">
        <v>74.239999999999995</v>
      </c>
      <c r="G45" s="2">
        <v>141</v>
      </c>
      <c r="H45" s="2" t="s">
        <v>12</v>
      </c>
      <c r="I45" s="2" t="s">
        <v>12</v>
      </c>
      <c r="J45" s="2" t="s">
        <v>12</v>
      </c>
      <c r="K45" s="2" t="s">
        <v>11</v>
      </c>
    </row>
    <row r="46" spans="2:11" x14ac:dyDescent="0.25">
      <c r="B46" s="1">
        <v>26</v>
      </c>
      <c r="C46" s="2">
        <v>2715</v>
      </c>
      <c r="D46" s="3">
        <v>27.1</v>
      </c>
      <c r="E46" s="2">
        <v>100.4</v>
      </c>
      <c r="F46" s="2">
        <v>98.85</v>
      </c>
      <c r="G46" s="2">
        <v>621.20000000000005</v>
      </c>
      <c r="H46" s="2">
        <v>1432</v>
      </c>
      <c r="I46" s="2">
        <v>600</v>
      </c>
      <c r="J46" s="2" t="s">
        <v>1</v>
      </c>
      <c r="K46" s="2" t="s">
        <v>11</v>
      </c>
    </row>
    <row r="47" spans="2:11" x14ac:dyDescent="0.25">
      <c r="B47" s="1">
        <v>42</v>
      </c>
      <c r="C47" s="2">
        <v>3350</v>
      </c>
      <c r="D47" s="3">
        <v>33.5</v>
      </c>
      <c r="E47" s="2">
        <v>100</v>
      </c>
      <c r="F47" s="2">
        <v>97.2</v>
      </c>
      <c r="G47" s="2">
        <v>700.3</v>
      </c>
      <c r="H47" s="2" t="s">
        <v>12</v>
      </c>
      <c r="I47" s="2">
        <v>250</v>
      </c>
      <c r="J47" s="2" t="s">
        <v>11</v>
      </c>
      <c r="K47" s="2" t="s">
        <v>11</v>
      </c>
    </row>
    <row r="48" spans="2:11" x14ac:dyDescent="0.25">
      <c r="B48" s="1">
        <v>30</v>
      </c>
      <c r="C48" s="2">
        <v>3200</v>
      </c>
      <c r="D48" s="3">
        <v>29.5</v>
      </c>
      <c r="E48" s="2">
        <v>164</v>
      </c>
      <c r="F48" s="2">
        <v>81</v>
      </c>
      <c r="G48" s="2">
        <v>451.6</v>
      </c>
      <c r="H48" s="2">
        <v>100</v>
      </c>
      <c r="I48" s="2" t="s">
        <v>12</v>
      </c>
      <c r="J48" s="2" t="s">
        <v>12</v>
      </c>
      <c r="K48" s="2" t="s">
        <v>11</v>
      </c>
    </row>
    <row r="49" spans="2:11" x14ac:dyDescent="0.25">
      <c r="B49" s="1">
        <v>19</v>
      </c>
      <c r="C49" s="2">
        <v>710</v>
      </c>
      <c r="D49" s="3">
        <v>0.9</v>
      </c>
      <c r="E49" s="3">
        <v>25.6</v>
      </c>
      <c r="F49" s="2">
        <v>99</v>
      </c>
      <c r="G49" s="2">
        <v>16.7</v>
      </c>
      <c r="H49" s="2">
        <v>15</v>
      </c>
      <c r="I49" s="2">
        <v>45</v>
      </c>
      <c r="J49" s="2" t="s">
        <v>1</v>
      </c>
      <c r="K49" s="2" t="s">
        <v>11</v>
      </c>
    </row>
    <row r="50" spans="2:11" x14ac:dyDescent="0.25">
      <c r="B50" s="1">
        <v>29</v>
      </c>
      <c r="C50" s="2">
        <v>2700</v>
      </c>
      <c r="D50" s="3">
        <v>27</v>
      </c>
      <c r="E50" s="2">
        <v>115</v>
      </c>
      <c r="F50" s="2">
        <v>91</v>
      </c>
      <c r="G50" s="2">
        <v>559.70000000000005</v>
      </c>
      <c r="H50" s="2">
        <v>65</v>
      </c>
      <c r="I50" s="2" t="s">
        <v>12</v>
      </c>
      <c r="J50" s="2" t="s">
        <v>11</v>
      </c>
      <c r="K50" s="2" t="s">
        <v>11</v>
      </c>
    </row>
    <row r="51" spans="2:11" x14ac:dyDescent="0.25">
      <c r="B51" s="1">
        <v>50</v>
      </c>
      <c r="C51" s="2">
        <v>3000</v>
      </c>
      <c r="D51" s="3">
        <v>41</v>
      </c>
      <c r="E51" s="2" t="s">
        <v>12</v>
      </c>
      <c r="F51" s="2">
        <v>72</v>
      </c>
      <c r="G51" s="2">
        <v>795.8</v>
      </c>
      <c r="H51" s="2">
        <v>1500</v>
      </c>
      <c r="I51" s="2">
        <v>3000</v>
      </c>
      <c r="J51" s="2" t="s">
        <v>1</v>
      </c>
      <c r="K51" s="2" t="s">
        <v>11</v>
      </c>
    </row>
    <row r="52" spans="2:11" x14ac:dyDescent="0.25">
      <c r="B52" s="1">
        <v>52</v>
      </c>
      <c r="C52" s="2">
        <v>2791</v>
      </c>
      <c r="D52" s="2">
        <v>25.6</v>
      </c>
      <c r="E52" s="3">
        <v>86</v>
      </c>
      <c r="F52" s="2">
        <v>98.6</v>
      </c>
      <c r="G52" s="2">
        <v>665.5</v>
      </c>
      <c r="H52" s="2">
        <v>80</v>
      </c>
      <c r="I52" s="2">
        <v>200</v>
      </c>
      <c r="J52" s="2" t="s">
        <v>1</v>
      </c>
      <c r="K52" s="2" t="s">
        <v>11</v>
      </c>
    </row>
    <row r="53" spans="2:11" x14ac:dyDescent="0.25">
      <c r="B53" s="1">
        <v>55</v>
      </c>
      <c r="C53" s="2">
        <v>1362.5</v>
      </c>
      <c r="D53" s="3">
        <v>16.2</v>
      </c>
      <c r="E53" s="2">
        <v>75</v>
      </c>
      <c r="F53" s="2">
        <v>96.7</v>
      </c>
      <c r="G53" s="2">
        <v>516.29999999999995</v>
      </c>
      <c r="H53" s="2">
        <v>25</v>
      </c>
      <c r="I53" s="2">
        <v>200</v>
      </c>
      <c r="J53" s="2" t="s">
        <v>11</v>
      </c>
      <c r="K53" s="2" t="s">
        <v>11</v>
      </c>
    </row>
    <row r="54" spans="2:11" x14ac:dyDescent="0.25">
      <c r="B54" s="1">
        <v>56</v>
      </c>
      <c r="C54" s="2">
        <v>2051.3000000000002</v>
      </c>
      <c r="D54" s="3">
        <v>20.5</v>
      </c>
      <c r="E54" s="2" t="s">
        <v>12</v>
      </c>
      <c r="F54" s="2">
        <v>96.25</v>
      </c>
      <c r="G54" s="2">
        <v>723</v>
      </c>
      <c r="H54" s="2" t="s">
        <v>12</v>
      </c>
      <c r="I54" s="2" t="s">
        <v>12</v>
      </c>
      <c r="J54" s="2" t="s">
        <v>12</v>
      </c>
      <c r="K54" s="2" t="s">
        <v>11</v>
      </c>
    </row>
    <row r="55" spans="2:11" x14ac:dyDescent="0.25">
      <c r="B55" s="1">
        <v>1</v>
      </c>
      <c r="C55" s="2">
        <v>2438</v>
      </c>
      <c r="D55" s="3">
        <v>24.3</v>
      </c>
      <c r="E55" s="2">
        <v>91.1</v>
      </c>
      <c r="F55" s="2">
        <v>98</v>
      </c>
      <c r="G55" s="2">
        <v>619.70000000000005</v>
      </c>
      <c r="H55" s="2">
        <v>29</v>
      </c>
      <c r="I55" s="2">
        <v>400</v>
      </c>
      <c r="J55" s="2" t="s">
        <v>1</v>
      </c>
      <c r="K55" s="2" t="s">
        <v>11</v>
      </c>
    </row>
    <row r="56" spans="2:11" x14ac:dyDescent="0.25">
      <c r="B56" s="1">
        <v>61</v>
      </c>
      <c r="C56" s="2">
        <v>2500</v>
      </c>
      <c r="D56" s="3">
        <v>25</v>
      </c>
      <c r="E56" s="2" t="s">
        <v>12</v>
      </c>
      <c r="F56" s="2">
        <v>80</v>
      </c>
      <c r="G56" s="2">
        <v>712</v>
      </c>
      <c r="H56" s="2" t="s">
        <v>12</v>
      </c>
      <c r="I56" s="2" t="s">
        <v>12</v>
      </c>
      <c r="J56" s="2" t="s">
        <v>11</v>
      </c>
      <c r="K56" s="2" t="s">
        <v>11</v>
      </c>
    </row>
    <row r="57" spans="2:11" x14ac:dyDescent="0.25">
      <c r="B57" s="1">
        <v>62</v>
      </c>
      <c r="C57" s="2">
        <v>618</v>
      </c>
      <c r="D57" s="3">
        <v>7.58</v>
      </c>
      <c r="E57" s="2">
        <v>32</v>
      </c>
      <c r="F57" s="2">
        <v>70</v>
      </c>
      <c r="G57" s="2">
        <v>544</v>
      </c>
      <c r="H57" s="2">
        <v>73</v>
      </c>
      <c r="I57" s="2" t="s">
        <v>12</v>
      </c>
      <c r="J57" s="2" t="s">
        <v>1</v>
      </c>
      <c r="K57" s="2" t="s">
        <v>11</v>
      </c>
    </row>
    <row r="58" spans="2:11" x14ac:dyDescent="0.25">
      <c r="B58" s="1">
        <v>63</v>
      </c>
      <c r="C58" s="2">
        <v>1716</v>
      </c>
      <c r="D58" s="3">
        <v>17.100000000000001</v>
      </c>
      <c r="E58" s="2">
        <v>94</v>
      </c>
      <c r="F58" s="2">
        <v>91</v>
      </c>
      <c r="G58" s="2">
        <v>429.2</v>
      </c>
      <c r="H58" s="2">
        <v>200</v>
      </c>
      <c r="I58" s="2">
        <v>300</v>
      </c>
      <c r="J58" s="2" t="s">
        <v>1</v>
      </c>
      <c r="K58" s="2" t="s">
        <v>11</v>
      </c>
    </row>
    <row r="59" spans="2:11" x14ac:dyDescent="0.25">
      <c r="B59" s="1">
        <v>23</v>
      </c>
      <c r="C59" s="2">
        <v>900</v>
      </c>
      <c r="D59" s="3">
        <v>5.8</v>
      </c>
      <c r="E59" s="3">
        <v>56</v>
      </c>
      <c r="F59" s="2">
        <v>60</v>
      </c>
      <c r="G59" s="2">
        <v>122.7</v>
      </c>
      <c r="H59" s="2">
        <v>90</v>
      </c>
      <c r="I59" s="2">
        <v>400</v>
      </c>
      <c r="J59" s="2" t="s">
        <v>1</v>
      </c>
      <c r="K59" s="2" t="s">
        <v>11</v>
      </c>
    </row>
    <row r="60" spans="2:11" x14ac:dyDescent="0.25">
      <c r="B60" s="1">
        <v>51</v>
      </c>
      <c r="C60" s="2">
        <v>2474</v>
      </c>
      <c r="D60" s="3">
        <v>24.9</v>
      </c>
      <c r="E60" s="3">
        <v>105</v>
      </c>
      <c r="F60" s="2">
        <v>57</v>
      </c>
      <c r="G60" s="2">
        <v>565.1</v>
      </c>
      <c r="H60" s="2" t="s">
        <v>12</v>
      </c>
      <c r="I60" s="2" t="s">
        <v>12</v>
      </c>
      <c r="J60" s="2" t="s">
        <v>11</v>
      </c>
      <c r="K60" s="2" t="s">
        <v>11</v>
      </c>
    </row>
    <row r="61" spans="2:11" x14ac:dyDescent="0.25">
      <c r="B61" s="1">
        <v>64</v>
      </c>
      <c r="C61" s="2">
        <v>3799.9</v>
      </c>
      <c r="D61" s="2">
        <v>38</v>
      </c>
      <c r="E61" s="2">
        <v>136</v>
      </c>
      <c r="F61" s="2">
        <v>65</v>
      </c>
      <c r="G61" s="2">
        <v>625.9</v>
      </c>
      <c r="H61" s="2">
        <v>90</v>
      </c>
      <c r="I61" s="2">
        <v>500</v>
      </c>
      <c r="J61" s="2" t="s">
        <v>12</v>
      </c>
      <c r="K61" s="2" t="s">
        <v>11</v>
      </c>
    </row>
    <row r="62" spans="2:11" x14ac:dyDescent="0.25">
      <c r="B62" s="1">
        <v>65</v>
      </c>
      <c r="C62" s="2">
        <v>1832</v>
      </c>
      <c r="D62" s="2">
        <v>18.3</v>
      </c>
      <c r="E62" s="2">
        <v>92</v>
      </c>
      <c r="F62" s="2">
        <v>70.349999999999994</v>
      </c>
      <c r="G62" s="2">
        <v>476.5</v>
      </c>
      <c r="H62" s="2">
        <v>80</v>
      </c>
      <c r="I62" s="2">
        <v>300</v>
      </c>
      <c r="J62" s="2" t="s">
        <v>11</v>
      </c>
      <c r="K62" s="2" t="s">
        <v>11</v>
      </c>
    </row>
    <row r="63" spans="2:11" x14ac:dyDescent="0.25">
      <c r="B63" s="1">
        <v>44</v>
      </c>
      <c r="C63" s="2">
        <v>2063</v>
      </c>
      <c r="D63" s="2">
        <v>20.6</v>
      </c>
      <c r="E63" s="2">
        <v>100</v>
      </c>
      <c r="F63" s="2">
        <v>80</v>
      </c>
      <c r="G63" s="2">
        <v>498.3</v>
      </c>
      <c r="H63" s="2" t="s">
        <v>15</v>
      </c>
      <c r="I63" s="2">
        <v>150</v>
      </c>
      <c r="J63" s="2" t="s">
        <v>11</v>
      </c>
      <c r="K63" s="2" t="s">
        <v>11</v>
      </c>
    </row>
    <row r="64" spans="2:11" x14ac:dyDescent="0.25">
      <c r="B64" s="1">
        <v>66</v>
      </c>
      <c r="C64" s="2">
        <v>1486</v>
      </c>
      <c r="D64" s="2">
        <v>14.8</v>
      </c>
      <c r="E64" s="2">
        <v>78</v>
      </c>
      <c r="F64" s="2">
        <v>80.42</v>
      </c>
      <c r="G64" s="2">
        <v>437.3</v>
      </c>
      <c r="H64" s="2" t="s">
        <v>12</v>
      </c>
      <c r="I64" s="2">
        <v>300</v>
      </c>
      <c r="J64" s="2" t="s">
        <v>11</v>
      </c>
      <c r="K64" s="2" t="s">
        <v>11</v>
      </c>
    </row>
    <row r="65" spans="2:11" x14ac:dyDescent="0.25">
      <c r="B65" s="1">
        <v>15</v>
      </c>
      <c r="C65" s="2">
        <v>1676</v>
      </c>
      <c r="D65" s="2">
        <v>16</v>
      </c>
      <c r="E65" s="2">
        <v>48.9</v>
      </c>
      <c r="F65" s="2">
        <v>92</v>
      </c>
      <c r="G65" s="2">
        <v>732</v>
      </c>
      <c r="H65" s="2">
        <v>30</v>
      </c>
      <c r="I65" s="2">
        <v>600</v>
      </c>
      <c r="J65" s="2" t="s">
        <v>11</v>
      </c>
      <c r="K65" s="2" t="s">
        <v>11</v>
      </c>
    </row>
    <row r="66" spans="2:11" x14ac:dyDescent="0.25">
      <c r="B66" s="1">
        <v>39</v>
      </c>
      <c r="C66" s="2">
        <v>1980</v>
      </c>
      <c r="D66" s="2">
        <v>19.8</v>
      </c>
      <c r="E66" s="2">
        <v>85</v>
      </c>
      <c r="F66" s="2">
        <v>74</v>
      </c>
      <c r="G66" s="2">
        <v>554.1</v>
      </c>
      <c r="H66" s="2">
        <v>110</v>
      </c>
      <c r="I66" s="2">
        <v>100</v>
      </c>
      <c r="J66" s="2" t="s">
        <v>11</v>
      </c>
      <c r="K66" s="2" t="s">
        <v>11</v>
      </c>
    </row>
    <row r="67" spans="2:11" x14ac:dyDescent="0.25">
      <c r="B67" s="1">
        <v>40</v>
      </c>
      <c r="C67" s="2">
        <v>1960</v>
      </c>
      <c r="D67" s="3">
        <v>19.600000000000001</v>
      </c>
      <c r="E67" s="2">
        <v>90</v>
      </c>
      <c r="F67" s="2">
        <v>90</v>
      </c>
      <c r="G67" s="2">
        <v>513.70000000000005</v>
      </c>
      <c r="H67" s="2">
        <v>25</v>
      </c>
      <c r="I67" s="2">
        <v>100</v>
      </c>
      <c r="J67" s="2" t="s">
        <v>11</v>
      </c>
      <c r="K67" s="2" t="s">
        <v>11</v>
      </c>
    </row>
    <row r="68" spans="2:11" x14ac:dyDescent="0.25">
      <c r="B68" s="1">
        <v>32</v>
      </c>
      <c r="C68" s="2">
        <v>1600</v>
      </c>
      <c r="D68" s="2">
        <v>16</v>
      </c>
      <c r="E68" s="2">
        <v>77</v>
      </c>
      <c r="F68" s="2">
        <v>99</v>
      </c>
      <c r="G68" s="2">
        <v>624.29999999999995</v>
      </c>
      <c r="H68" s="2">
        <v>50</v>
      </c>
      <c r="I68" s="2">
        <v>200</v>
      </c>
      <c r="J68" s="2" t="s">
        <v>11</v>
      </c>
      <c r="K68" s="2" t="s">
        <v>11</v>
      </c>
    </row>
    <row r="69" spans="2:11" x14ac:dyDescent="0.25">
      <c r="B69" s="1">
        <v>45</v>
      </c>
      <c r="C69" s="2">
        <v>2755</v>
      </c>
      <c r="D69" s="3">
        <v>2.75</v>
      </c>
      <c r="E69" s="2">
        <v>130</v>
      </c>
      <c r="F69" s="2">
        <v>84</v>
      </c>
      <c r="G69" s="2">
        <v>515.20000000000005</v>
      </c>
      <c r="H69" s="2">
        <v>300</v>
      </c>
      <c r="I69" s="2">
        <v>500</v>
      </c>
      <c r="J69" s="2" t="s">
        <v>1</v>
      </c>
      <c r="K69" s="2" t="s">
        <v>11</v>
      </c>
    </row>
    <row r="70" spans="2:11" x14ac:dyDescent="0.25">
      <c r="B70" s="1">
        <v>12</v>
      </c>
      <c r="C70" s="2">
        <v>4724</v>
      </c>
      <c r="D70" s="2">
        <v>48.3</v>
      </c>
      <c r="E70" s="2">
        <v>170.6</v>
      </c>
      <c r="F70" s="2">
        <v>90</v>
      </c>
      <c r="G70" s="2">
        <v>626.5</v>
      </c>
      <c r="H70" s="2">
        <v>56</v>
      </c>
      <c r="I70" s="2">
        <v>180</v>
      </c>
      <c r="J70" s="2" t="s">
        <v>1</v>
      </c>
      <c r="K70" s="2" t="s">
        <v>11</v>
      </c>
    </row>
    <row r="71" spans="2:11" x14ac:dyDescent="0.25">
      <c r="B71" s="1">
        <v>10</v>
      </c>
      <c r="C71" s="2">
        <v>5533</v>
      </c>
      <c r="D71" s="3">
        <v>52.6</v>
      </c>
      <c r="E71" s="2">
        <v>176.1</v>
      </c>
      <c r="F71" s="2">
        <v>81</v>
      </c>
      <c r="G71" s="2">
        <v>645</v>
      </c>
      <c r="H71" s="2">
        <v>84</v>
      </c>
      <c r="I71" s="2">
        <v>200</v>
      </c>
      <c r="J71" s="2" t="s">
        <v>1</v>
      </c>
      <c r="K71" s="2" t="s">
        <v>11</v>
      </c>
    </row>
    <row r="72" spans="2:11" x14ac:dyDescent="0.25">
      <c r="B72" s="1">
        <v>16</v>
      </c>
      <c r="C72" s="2">
        <v>3834</v>
      </c>
      <c r="D72" s="3">
        <v>45.3</v>
      </c>
      <c r="E72" s="2">
        <v>101.1</v>
      </c>
      <c r="F72" s="2">
        <v>99</v>
      </c>
      <c r="G72" s="2">
        <v>788.1</v>
      </c>
      <c r="H72" s="2">
        <v>41</v>
      </c>
      <c r="I72" s="2">
        <v>280</v>
      </c>
      <c r="J72" s="2" t="s">
        <v>11</v>
      </c>
      <c r="K72" s="2" t="s">
        <v>11</v>
      </c>
    </row>
    <row r="73" spans="2:11" x14ac:dyDescent="0.25">
      <c r="B73" s="1">
        <v>2</v>
      </c>
      <c r="C73" s="2">
        <v>777</v>
      </c>
      <c r="D73" s="2">
        <v>4.4000000000000004</v>
      </c>
      <c r="E73" s="2">
        <v>26.7</v>
      </c>
      <c r="F73" s="2">
        <v>97</v>
      </c>
      <c r="G73" s="2">
        <v>105.5</v>
      </c>
      <c r="H73" s="2">
        <v>38</v>
      </c>
      <c r="I73" s="2">
        <v>45</v>
      </c>
      <c r="J73" s="2" t="s">
        <v>11</v>
      </c>
      <c r="K73" s="2" t="s">
        <v>11</v>
      </c>
    </row>
    <row r="74" spans="2:11" x14ac:dyDescent="0.25">
      <c r="B74" s="1">
        <v>4</v>
      </c>
      <c r="C74" s="2">
        <v>4133</v>
      </c>
      <c r="D74" s="3">
        <v>40.5</v>
      </c>
      <c r="E74" s="2">
        <v>103.3</v>
      </c>
      <c r="F74" s="2">
        <v>40</v>
      </c>
      <c r="G74" s="2">
        <v>748.8</v>
      </c>
      <c r="H74" s="2">
        <v>195</v>
      </c>
      <c r="I74" s="2" t="s">
        <v>12</v>
      </c>
      <c r="J74" s="2" t="s">
        <v>11</v>
      </c>
      <c r="K74" s="2" t="s">
        <v>11</v>
      </c>
    </row>
    <row r="75" spans="2:11" x14ac:dyDescent="0.25">
      <c r="B75" s="1">
        <v>9</v>
      </c>
      <c r="C75" s="2">
        <v>4985</v>
      </c>
      <c r="D75" s="3">
        <v>47.4</v>
      </c>
      <c r="E75" s="2">
        <v>162.19999999999999</v>
      </c>
      <c r="F75" s="2">
        <v>74</v>
      </c>
      <c r="G75" s="2">
        <v>638.6</v>
      </c>
      <c r="H75" s="2">
        <v>84</v>
      </c>
      <c r="I75" s="2">
        <v>200</v>
      </c>
      <c r="J75" s="2" t="s">
        <v>1</v>
      </c>
      <c r="K75" s="2" t="s">
        <v>11</v>
      </c>
    </row>
    <row r="76" spans="2:11" x14ac:dyDescent="0.25">
      <c r="B76" s="1">
        <v>7</v>
      </c>
      <c r="C76" s="2">
        <v>2926</v>
      </c>
      <c r="D76" s="3">
        <v>22.1</v>
      </c>
      <c r="E76" s="2">
        <v>106.7</v>
      </c>
      <c r="F76" s="2">
        <v>90</v>
      </c>
      <c r="G76" s="2">
        <v>501.8</v>
      </c>
      <c r="H76" s="2">
        <v>23</v>
      </c>
      <c r="I76" s="2" t="s">
        <v>12</v>
      </c>
      <c r="J76" s="2" t="s">
        <v>12</v>
      </c>
      <c r="K76" s="2" t="s">
        <v>11</v>
      </c>
    </row>
    <row r="77" spans="2:11" x14ac:dyDescent="0.25">
      <c r="B77" s="1">
        <v>11</v>
      </c>
      <c r="C77" s="2">
        <v>7224</v>
      </c>
      <c r="D77" s="3">
        <v>76</v>
      </c>
      <c r="E77" s="2">
        <v>168.3</v>
      </c>
      <c r="F77" s="2">
        <v>20</v>
      </c>
      <c r="G77" s="2">
        <v>780.5</v>
      </c>
      <c r="H77" s="2">
        <v>53</v>
      </c>
      <c r="I77" s="2">
        <v>780</v>
      </c>
      <c r="J77" s="2" t="s">
        <v>1</v>
      </c>
      <c r="K77" s="2" t="s">
        <v>11</v>
      </c>
    </row>
    <row r="78" spans="2:11" x14ac:dyDescent="0.25">
      <c r="B78" s="1">
        <v>71</v>
      </c>
      <c r="C78" s="2">
        <v>3600</v>
      </c>
      <c r="D78" s="2">
        <v>62</v>
      </c>
      <c r="E78" s="2">
        <v>117.2</v>
      </c>
      <c r="F78" s="2">
        <v>92.2</v>
      </c>
      <c r="G78" s="2">
        <v>830.4</v>
      </c>
      <c r="H78" s="2">
        <v>240</v>
      </c>
      <c r="I78" s="2">
        <v>300</v>
      </c>
      <c r="J78" s="2" t="s">
        <v>11</v>
      </c>
      <c r="K78" s="2" t="s">
        <v>1</v>
      </c>
    </row>
    <row r="79" spans="2:11" ht="22.5" x14ac:dyDescent="0.25">
      <c r="B79" s="1">
        <v>76</v>
      </c>
      <c r="C79" s="2">
        <v>375</v>
      </c>
      <c r="D79" s="2">
        <v>3.7</v>
      </c>
      <c r="E79" s="2">
        <v>32.4</v>
      </c>
      <c r="F79" s="2">
        <v>50</v>
      </c>
      <c r="G79" s="2">
        <v>81.099999999999994</v>
      </c>
      <c r="H79" s="2" t="s">
        <v>12</v>
      </c>
      <c r="I79" s="2">
        <v>150</v>
      </c>
      <c r="J79" s="2" t="s">
        <v>12</v>
      </c>
      <c r="K79" s="2" t="s">
        <v>13</v>
      </c>
    </row>
    <row r="80" spans="2:11" x14ac:dyDescent="0.25">
      <c r="B80" s="1">
        <v>67</v>
      </c>
      <c r="C80" s="2">
        <v>465</v>
      </c>
      <c r="D80" s="2">
        <v>6.2</v>
      </c>
      <c r="E80" s="2">
        <v>30</v>
      </c>
      <c r="F80" s="2">
        <v>99</v>
      </c>
      <c r="G80" s="2">
        <v>184.3</v>
      </c>
      <c r="H80" s="2">
        <v>150</v>
      </c>
      <c r="I80" s="2">
        <v>220</v>
      </c>
      <c r="J80" s="2" t="s">
        <v>11</v>
      </c>
      <c r="K80" s="2" t="s">
        <v>1</v>
      </c>
    </row>
    <row r="81" spans="2:11" x14ac:dyDescent="0.25">
      <c r="B81" s="1">
        <v>69</v>
      </c>
      <c r="C81" s="2">
        <v>200</v>
      </c>
      <c r="D81" s="2">
        <v>0.8</v>
      </c>
      <c r="E81" s="2">
        <v>25</v>
      </c>
      <c r="F81" s="2">
        <v>99.5</v>
      </c>
      <c r="G81" s="2">
        <v>14.8</v>
      </c>
      <c r="H81" s="2">
        <v>260</v>
      </c>
      <c r="I81" s="2">
        <v>20</v>
      </c>
      <c r="J81" s="2" t="s">
        <v>12</v>
      </c>
      <c r="K81" s="2" t="s">
        <v>1</v>
      </c>
    </row>
    <row r="82" spans="2:11" ht="22.5" x14ac:dyDescent="0.25">
      <c r="B82" s="6">
        <v>73</v>
      </c>
      <c r="C82" s="7">
        <v>1219</v>
      </c>
      <c r="D82" s="8">
        <v>15.2</v>
      </c>
      <c r="E82" s="8">
        <v>43.3</v>
      </c>
      <c r="F82" s="7">
        <v>99</v>
      </c>
      <c r="G82" s="7">
        <v>760.3</v>
      </c>
      <c r="H82" s="7">
        <v>12</v>
      </c>
      <c r="I82" s="7">
        <v>180</v>
      </c>
      <c r="J82" s="7" t="s">
        <v>11</v>
      </c>
      <c r="K82" s="7" t="s">
        <v>13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topLeftCell="B1" zoomScale="111" zoomScaleNormal="111" workbookViewId="0">
      <selection activeCell="Q48" sqref="Q48"/>
    </sheetView>
  </sheetViews>
  <sheetFormatPr defaultColWidth="10.85546875" defaultRowHeight="11.25" x14ac:dyDescent="0.2"/>
  <cols>
    <col min="1" max="16384" width="10.85546875" style="11"/>
  </cols>
  <sheetData>
    <row r="1" spans="2:15" x14ac:dyDescent="0.2">
      <c r="I1" s="11" t="s">
        <v>16</v>
      </c>
      <c r="J1" s="11">
        <v>1000</v>
      </c>
      <c r="K1" s="11">
        <v>250</v>
      </c>
      <c r="L1" s="11">
        <v>150</v>
      </c>
    </row>
    <row r="2" spans="2:15" x14ac:dyDescent="0.2">
      <c r="I2" s="11" t="s">
        <v>17</v>
      </c>
      <c r="J2" s="11">
        <v>2500</v>
      </c>
    </row>
    <row r="3" spans="2:15" x14ac:dyDescent="0.2">
      <c r="B3" s="11" t="s">
        <v>0</v>
      </c>
    </row>
    <row r="4" spans="2:15" ht="22.5" x14ac:dyDescent="0.2">
      <c r="B4" s="12" t="str" cm="1">
        <f t="array" ref="B4:C4">Sheet1!B3:C3</f>
        <v>No</v>
      </c>
      <c r="C4" s="12" t="str">
        <v>Depth (m)</v>
      </c>
      <c r="D4" s="12" t="str">
        <f>Sheet1!G3</f>
        <v>CO2 Density (kg/m3)</v>
      </c>
      <c r="E4" s="12" t="str">
        <f>Sheet1!I3</f>
        <v>Seal Thickness (m)</v>
      </c>
      <c r="F4" s="12" t="str">
        <f>Sheet1!J3</f>
        <v>Fault</v>
      </c>
      <c r="G4" s="12" t="s">
        <v>10</v>
      </c>
      <c r="I4" s="12" t="str" cm="1">
        <f t="array" ref="I4:M4">B4:F4</f>
        <v>No</v>
      </c>
      <c r="J4" s="12" t="str">
        <v>Depth (m)</v>
      </c>
      <c r="K4" s="12" t="str">
        <v>CO2 Density (kg/m3)</v>
      </c>
      <c r="L4" s="12" t="str">
        <v>Seal Thickness (m)</v>
      </c>
      <c r="M4" s="12" t="str">
        <v>Fault</v>
      </c>
      <c r="N4" s="16" t="s">
        <v>10</v>
      </c>
      <c r="O4" s="4"/>
    </row>
    <row r="5" spans="2:15" ht="15" x14ac:dyDescent="0.2">
      <c r="B5" s="15" cm="1">
        <f t="array" ref="B5:B42">Sheet1!B4:B41</f>
        <v>14</v>
      </c>
      <c r="C5" s="13">
        <f>VLOOKUP($B5,Sheet1!$B$4:$K$41,MATCH(Discretization!C$4,Sheet1!$B$3:$K$3,0),FALSE)</f>
        <v>1097</v>
      </c>
      <c r="D5" s="13">
        <f>VLOOKUP($B5,Sheet1!$B$4:$K$41,MATCH(Discretization!D$4,Sheet1!$B$3:$K$3,0),FALSE)</f>
        <v>683.3</v>
      </c>
      <c r="E5" s="13">
        <f>VLOOKUP($B5,Sheet1!$B$4:$K$41,MATCH(Discretization!E$4,Sheet1!$B$3:$K$3,0),FALSE)</f>
        <v>210</v>
      </c>
      <c r="F5" s="13" t="str">
        <f>VLOOKUP($B5,Sheet1!$B$4:$K$41,MATCH(Discretization!F$4,Sheet1!$B$3:$K$3,0),FALSE)</f>
        <v>No</v>
      </c>
      <c r="G5" s="13" t="str">
        <f>VLOOKUP($B5,Sheet1!$B$4:$K$41,MATCH(Discretization!G$4,Sheet1!$B$3:$K$3,0),FALSE)</f>
        <v>Yes</v>
      </c>
      <c r="I5" s="15" cm="1">
        <f t="array" ref="I5:I42">_xlfn.ANCHORARRAY(B5)</f>
        <v>14</v>
      </c>
      <c r="J5" s="13">
        <f>IF(C5="NA","NA",IF(OR(C5&lt;$J$1,C5&gt;$J$2),0,1))</f>
        <v>1</v>
      </c>
      <c r="K5" s="13">
        <f>IF(D5="NA","NA",IF(D5&gt;$K$1,1,0))</f>
        <v>1</v>
      </c>
      <c r="L5" s="13">
        <f>IF(E5="NA","NA",IF(E5&gt;$L$1,1,0))</f>
        <v>1</v>
      </c>
      <c r="M5" s="13">
        <f>IF(F5="NA","NA",IF(F5="Yes",0,1))</f>
        <v>1</v>
      </c>
      <c r="N5" s="13">
        <f>IF(G5="Yes",1,0)</f>
        <v>1</v>
      </c>
      <c r="O5" s="4"/>
    </row>
    <row r="6" spans="2:15" ht="15" x14ac:dyDescent="0.2">
      <c r="B6" s="15">
        <v>20</v>
      </c>
      <c r="C6" s="13">
        <f>VLOOKUP($B6,Sheet1!$B$4:$K$41,MATCH(Discretization!C$4,Sheet1!$B$3:$K$3,0),FALSE)</f>
        <v>450</v>
      </c>
      <c r="D6" s="13">
        <f>VLOOKUP($B6,Sheet1!$B$4:$K$41,MATCH(Discretization!D$4,Sheet1!$B$3:$K$3,0),FALSE)</f>
        <v>58.2</v>
      </c>
      <c r="E6" s="13">
        <f>VLOOKUP($B6,Sheet1!$B$4:$K$41,MATCH(Discretization!E$4,Sheet1!$B$3:$K$3,0),FALSE)</f>
        <v>40</v>
      </c>
      <c r="F6" s="13" t="str">
        <f>VLOOKUP($B6,Sheet1!$B$4:$K$41,MATCH(Discretization!F$4,Sheet1!$B$3:$K$3,0),FALSE)</f>
        <v>No</v>
      </c>
      <c r="G6" s="13" t="str">
        <f>VLOOKUP($B6,Sheet1!$B$4:$K$41,MATCH(Discretization!G$4,Sheet1!$B$3:$K$3,0),FALSE)</f>
        <v>Yes</v>
      </c>
      <c r="I6" s="15">
        <v>20</v>
      </c>
      <c r="J6" s="13">
        <f t="shared" ref="J6:J42" si="0">IF(C6="NA","NA",IF(OR(C6&lt;$J$1,C6&gt;$J$2),0,1))</f>
        <v>0</v>
      </c>
      <c r="K6" s="13">
        <f t="shared" ref="K6:K42" si="1">IF(D6="NA","NA",IF(D6&gt;$K$1,1,0))</f>
        <v>0</v>
      </c>
      <c r="L6" s="13">
        <f t="shared" ref="L6:L42" si="2">IF(E6="NA","NA",IF(E6&gt;$L$1,1,0))</f>
        <v>0</v>
      </c>
      <c r="M6" s="13">
        <f t="shared" ref="M6:M42" si="3">IF(F6="NA","NA",IF(F6="Yes",0,1))</f>
        <v>1</v>
      </c>
      <c r="N6" s="13">
        <f t="shared" ref="N6:N41" si="4">IF(G6="Yes",1,0)</f>
        <v>1</v>
      </c>
      <c r="O6" s="4"/>
    </row>
    <row r="7" spans="2:15" x14ac:dyDescent="0.2">
      <c r="B7" s="15">
        <v>3</v>
      </c>
      <c r="C7" s="13">
        <f>VLOOKUP($B7,Sheet1!$B$4:$K$41,MATCH(Discretization!C$4,Sheet1!$B$3:$K$3,0),FALSE)</f>
        <v>2743</v>
      </c>
      <c r="D7" s="13">
        <f>VLOOKUP($B7,Sheet1!$B$4:$K$41,MATCH(Discretization!D$4,Sheet1!$B$3:$K$3,0),FALSE)</f>
        <v>623.20000000000005</v>
      </c>
      <c r="E7" s="13">
        <f>VLOOKUP($B7,Sheet1!$B$4:$K$41,MATCH(Discretization!E$4,Sheet1!$B$3:$K$3,0),FALSE)</f>
        <v>400</v>
      </c>
      <c r="F7" s="13" t="str">
        <f>VLOOKUP($B7,Sheet1!$B$4:$K$41,MATCH(Discretization!F$4,Sheet1!$B$3:$K$3,0),FALSE)</f>
        <v>No</v>
      </c>
      <c r="G7" s="13" t="str">
        <f>VLOOKUP($B7,Sheet1!$B$4:$K$41,MATCH(Discretization!G$4,Sheet1!$B$3:$K$3,0),FALSE)</f>
        <v>Yes</v>
      </c>
      <c r="I7" s="15">
        <v>3</v>
      </c>
      <c r="J7" s="13">
        <f t="shared" si="0"/>
        <v>0</v>
      </c>
      <c r="K7" s="13">
        <f t="shared" si="1"/>
        <v>1</v>
      </c>
      <c r="L7" s="13">
        <f t="shared" si="2"/>
        <v>1</v>
      </c>
      <c r="M7" s="13">
        <f t="shared" si="3"/>
        <v>1</v>
      </c>
      <c r="N7" s="13">
        <f t="shared" si="4"/>
        <v>1</v>
      </c>
    </row>
    <row r="8" spans="2:15" x14ac:dyDescent="0.2">
      <c r="B8" s="15">
        <v>18</v>
      </c>
      <c r="C8" s="13">
        <f>VLOOKUP($B8,Sheet1!$B$4:$K$41,MATCH(Discretization!C$4,Sheet1!$B$3:$K$3,0),FALSE)</f>
        <v>1067</v>
      </c>
      <c r="D8" s="13">
        <f>VLOOKUP($B8,Sheet1!$B$4:$K$41,MATCH(Discretization!D$4,Sheet1!$B$3:$K$3,0),FALSE)</f>
        <v>700.6</v>
      </c>
      <c r="E8" s="13">
        <f>VLOOKUP($B8,Sheet1!$B$4:$K$41,MATCH(Discretization!E$4,Sheet1!$B$3:$K$3,0),FALSE)</f>
        <v>85</v>
      </c>
      <c r="F8" s="13" t="str">
        <f>VLOOKUP($B8,Sheet1!$B$4:$K$41,MATCH(Discretization!F$4,Sheet1!$B$3:$K$3,0),FALSE)</f>
        <v>No</v>
      </c>
      <c r="G8" s="13" t="str">
        <f>VLOOKUP($B8,Sheet1!$B$4:$K$41,MATCH(Discretization!G$4,Sheet1!$B$3:$K$3,0),FALSE)</f>
        <v>Yes</v>
      </c>
      <c r="I8" s="15">
        <v>18</v>
      </c>
      <c r="J8" s="13">
        <f t="shared" si="0"/>
        <v>1</v>
      </c>
      <c r="K8" s="13">
        <f t="shared" si="1"/>
        <v>1</v>
      </c>
      <c r="L8" s="13">
        <f t="shared" si="2"/>
        <v>0</v>
      </c>
      <c r="M8" s="13">
        <f t="shared" si="3"/>
        <v>1</v>
      </c>
      <c r="N8" s="13">
        <f t="shared" si="4"/>
        <v>1</v>
      </c>
    </row>
    <row r="9" spans="2:15" x14ac:dyDescent="0.2">
      <c r="B9" s="15">
        <v>24</v>
      </c>
      <c r="C9" s="13">
        <f>VLOOKUP($B9,Sheet1!$B$4:$K$41,MATCH(Discretization!C$4,Sheet1!$B$3:$K$3,0),FALSE)</f>
        <v>2300</v>
      </c>
      <c r="D9" s="13">
        <f>VLOOKUP($B9,Sheet1!$B$4:$K$41,MATCH(Discretization!D$4,Sheet1!$B$3:$K$3,0),FALSE)</f>
        <v>615.70000000000005</v>
      </c>
      <c r="E9" s="13">
        <f>VLOOKUP($B9,Sheet1!$B$4:$K$41,MATCH(Discretization!E$4,Sheet1!$B$3:$K$3,0),FALSE)</f>
        <v>400</v>
      </c>
      <c r="F9" s="13" t="str">
        <f>VLOOKUP($B9,Sheet1!$B$4:$K$41,MATCH(Discretization!F$4,Sheet1!$B$3:$K$3,0),FALSE)</f>
        <v>Yes</v>
      </c>
      <c r="G9" s="13" t="str">
        <f>VLOOKUP($B9,Sheet1!$B$4:$K$41,MATCH(Discretization!G$4,Sheet1!$B$3:$K$3,0),FALSE)</f>
        <v>Yes</v>
      </c>
      <c r="I9" s="15">
        <v>24</v>
      </c>
      <c r="J9" s="13">
        <f t="shared" si="0"/>
        <v>1</v>
      </c>
      <c r="K9" s="13">
        <f t="shared" si="1"/>
        <v>1</v>
      </c>
      <c r="L9" s="13">
        <f t="shared" si="2"/>
        <v>1</v>
      </c>
      <c r="M9" s="13">
        <f t="shared" si="3"/>
        <v>0</v>
      </c>
      <c r="N9" s="13">
        <f t="shared" si="4"/>
        <v>1</v>
      </c>
    </row>
    <row r="10" spans="2:15" x14ac:dyDescent="0.2">
      <c r="B10" s="15">
        <v>25</v>
      </c>
      <c r="C10" s="13">
        <f>VLOOKUP($B10,Sheet1!$B$4:$K$41,MATCH(Discretization!C$4,Sheet1!$B$3:$K$3,0),FALSE)</f>
        <v>465</v>
      </c>
      <c r="D10" s="13">
        <f>VLOOKUP($B10,Sheet1!$B$4:$K$41,MATCH(Discretization!D$4,Sheet1!$B$3:$K$3,0),FALSE)</f>
        <v>116.9</v>
      </c>
      <c r="E10" s="13">
        <f>VLOOKUP($B10,Sheet1!$B$4:$K$41,MATCH(Discretization!E$4,Sheet1!$B$3:$K$3,0),FALSE)</f>
        <v>250</v>
      </c>
      <c r="F10" s="13" t="str">
        <f>VLOOKUP($B10,Sheet1!$B$4:$K$41,MATCH(Discretization!F$4,Sheet1!$B$3:$K$3,0),FALSE)</f>
        <v>No</v>
      </c>
      <c r="G10" s="13" t="str">
        <f>VLOOKUP($B10,Sheet1!$B$4:$K$41,MATCH(Discretization!G$4,Sheet1!$B$3:$K$3,0),FALSE)</f>
        <v>Yes</v>
      </c>
      <c r="I10" s="15">
        <v>25</v>
      </c>
      <c r="J10" s="13">
        <f t="shared" si="0"/>
        <v>0</v>
      </c>
      <c r="K10" s="13">
        <f t="shared" si="1"/>
        <v>0</v>
      </c>
      <c r="L10" s="13">
        <f t="shared" si="2"/>
        <v>1</v>
      </c>
      <c r="M10" s="13">
        <f t="shared" si="3"/>
        <v>1</v>
      </c>
      <c r="N10" s="13">
        <f t="shared" si="4"/>
        <v>1</v>
      </c>
    </row>
    <row r="11" spans="2:15" x14ac:dyDescent="0.2">
      <c r="B11" s="15">
        <v>27</v>
      </c>
      <c r="C11" s="13">
        <f>VLOOKUP($B11,Sheet1!$B$4:$K$41,MATCH(Discretization!C$4,Sheet1!$B$3:$K$3,0),FALSE)</f>
        <v>694</v>
      </c>
      <c r="D11" s="13">
        <f>VLOOKUP($B11,Sheet1!$B$4:$K$41,MATCH(Discretization!D$4,Sheet1!$B$3:$K$3,0),FALSE)</f>
        <v>138.4</v>
      </c>
      <c r="E11" s="13">
        <f>VLOOKUP($B11,Sheet1!$B$4:$K$41,MATCH(Discretization!E$4,Sheet1!$B$3:$K$3,0),FALSE)</f>
        <v>300</v>
      </c>
      <c r="F11" s="13" t="str">
        <f>VLOOKUP($B11,Sheet1!$B$4:$K$41,MATCH(Discretization!F$4,Sheet1!$B$3:$K$3,0),FALSE)</f>
        <v>No</v>
      </c>
      <c r="G11" s="13" t="str">
        <f>VLOOKUP($B11,Sheet1!$B$4:$K$41,MATCH(Discretization!G$4,Sheet1!$B$3:$K$3,0),FALSE)</f>
        <v>Yes</v>
      </c>
      <c r="I11" s="15">
        <v>27</v>
      </c>
      <c r="J11" s="13">
        <f t="shared" si="0"/>
        <v>0</v>
      </c>
      <c r="K11" s="13">
        <f t="shared" si="1"/>
        <v>0</v>
      </c>
      <c r="L11" s="13">
        <f t="shared" si="2"/>
        <v>1</v>
      </c>
      <c r="M11" s="13">
        <f t="shared" si="3"/>
        <v>1</v>
      </c>
      <c r="N11" s="13">
        <f t="shared" si="4"/>
        <v>1</v>
      </c>
    </row>
    <row r="12" spans="2:15" x14ac:dyDescent="0.2">
      <c r="B12" s="15">
        <v>21</v>
      </c>
      <c r="C12" s="13">
        <f>VLOOKUP($B12,Sheet1!$B$4:$K$41,MATCH(Discretization!C$4,Sheet1!$B$3:$K$3,0),FALSE)</f>
        <v>2800</v>
      </c>
      <c r="D12" s="13">
        <f>VLOOKUP($B12,Sheet1!$B$4:$K$41,MATCH(Discretization!D$4,Sheet1!$B$3:$K$3,0),FALSE)</f>
        <v>627.29999999999995</v>
      </c>
      <c r="E12" s="13" t="str">
        <f>VLOOKUP($B12,Sheet1!$B$4:$K$41,MATCH(Discretization!E$4,Sheet1!$B$3:$K$3,0),FALSE)</f>
        <v>NA</v>
      </c>
      <c r="F12" s="13" t="str">
        <f>VLOOKUP($B12,Sheet1!$B$4:$K$41,MATCH(Discretization!F$4,Sheet1!$B$3:$K$3,0),FALSE)</f>
        <v>NA</v>
      </c>
      <c r="G12" s="13" t="str">
        <f>VLOOKUP($B12,Sheet1!$B$4:$K$41,MATCH(Discretization!G$4,Sheet1!$B$3:$K$3,0),FALSE)</f>
        <v>Yes</v>
      </c>
      <c r="I12" s="15">
        <v>21</v>
      </c>
      <c r="J12" s="13">
        <f t="shared" si="0"/>
        <v>0</v>
      </c>
      <c r="K12" s="13">
        <f t="shared" si="1"/>
        <v>1</v>
      </c>
      <c r="L12" s="13" t="str">
        <f t="shared" si="2"/>
        <v>NA</v>
      </c>
      <c r="M12" s="13" t="str">
        <f t="shared" si="3"/>
        <v>NA</v>
      </c>
      <c r="N12" s="13">
        <f t="shared" si="4"/>
        <v>1</v>
      </c>
    </row>
    <row r="13" spans="2:15" x14ac:dyDescent="0.2">
      <c r="B13" s="15">
        <v>31</v>
      </c>
      <c r="C13" s="13">
        <f>VLOOKUP($B13,Sheet1!$B$4:$K$41,MATCH(Discretization!C$4,Sheet1!$B$3:$K$3,0),FALSE)</f>
        <v>1460</v>
      </c>
      <c r="D13" s="13">
        <f>VLOOKUP($B13,Sheet1!$B$4:$K$41,MATCH(Discretization!D$4,Sheet1!$B$3:$K$3,0),FALSE)</f>
        <v>450.8</v>
      </c>
      <c r="E13" s="13">
        <f>VLOOKUP($B13,Sheet1!$B$4:$K$41,MATCH(Discretization!E$4,Sheet1!$B$3:$K$3,0),FALSE)</f>
        <v>300</v>
      </c>
      <c r="F13" s="13" t="str">
        <f>VLOOKUP($B13,Sheet1!$B$4:$K$41,MATCH(Discretization!F$4,Sheet1!$B$3:$K$3,0),FALSE)</f>
        <v>Yes</v>
      </c>
      <c r="G13" s="13" t="str">
        <f>VLOOKUP($B13,Sheet1!$B$4:$K$41,MATCH(Discretization!G$4,Sheet1!$B$3:$K$3,0),FALSE)</f>
        <v>Yes</v>
      </c>
      <c r="I13" s="15">
        <v>31</v>
      </c>
      <c r="J13" s="13">
        <f t="shared" si="0"/>
        <v>1</v>
      </c>
      <c r="K13" s="13">
        <f t="shared" si="1"/>
        <v>1</v>
      </c>
      <c r="L13" s="13">
        <f t="shared" si="2"/>
        <v>1</v>
      </c>
      <c r="M13" s="13">
        <f t="shared" si="3"/>
        <v>0</v>
      </c>
      <c r="N13" s="13">
        <f t="shared" si="4"/>
        <v>1</v>
      </c>
    </row>
    <row r="14" spans="2:15" x14ac:dyDescent="0.2">
      <c r="B14" s="15">
        <v>36</v>
      </c>
      <c r="C14" s="13">
        <f>VLOOKUP($B14,Sheet1!$B$4:$K$41,MATCH(Discretization!C$4,Sheet1!$B$3:$K$3,0),FALSE)</f>
        <v>1450</v>
      </c>
      <c r="D14" s="13">
        <f>VLOOKUP($B14,Sheet1!$B$4:$K$41,MATCH(Discretization!D$4,Sheet1!$B$3:$K$3,0),FALSE)</f>
        <v>769</v>
      </c>
      <c r="E14" s="13">
        <f>VLOOKUP($B14,Sheet1!$B$4:$K$41,MATCH(Discretization!E$4,Sheet1!$B$3:$K$3,0),FALSE)</f>
        <v>250</v>
      </c>
      <c r="F14" s="13" t="str">
        <f>VLOOKUP($B14,Sheet1!$B$4:$K$41,MATCH(Discretization!F$4,Sheet1!$B$3:$K$3,0),FALSE)</f>
        <v>No</v>
      </c>
      <c r="G14" s="13" t="str">
        <f>VLOOKUP($B14,Sheet1!$B$4:$K$41,MATCH(Discretization!G$4,Sheet1!$B$3:$K$3,0),FALSE)</f>
        <v>Yes</v>
      </c>
      <c r="I14" s="15">
        <v>36</v>
      </c>
      <c r="J14" s="13">
        <f t="shared" si="0"/>
        <v>1</v>
      </c>
      <c r="K14" s="13">
        <f t="shared" si="1"/>
        <v>1</v>
      </c>
      <c r="L14" s="13">
        <f t="shared" si="2"/>
        <v>1</v>
      </c>
      <c r="M14" s="13">
        <f t="shared" si="3"/>
        <v>1</v>
      </c>
      <c r="N14" s="13">
        <f t="shared" si="4"/>
        <v>1</v>
      </c>
    </row>
    <row r="15" spans="2:15" x14ac:dyDescent="0.2">
      <c r="B15" s="15">
        <v>38</v>
      </c>
      <c r="C15" s="13">
        <f>VLOOKUP($B15,Sheet1!$B$4:$K$41,MATCH(Discretization!C$4,Sheet1!$B$3:$K$3,0),FALSE)</f>
        <v>2600</v>
      </c>
      <c r="D15" s="13">
        <f>VLOOKUP($B15,Sheet1!$B$4:$K$41,MATCH(Discretization!D$4,Sheet1!$B$3:$K$3,0),FALSE)</f>
        <v>485.9</v>
      </c>
      <c r="E15" s="13">
        <f>VLOOKUP($B15,Sheet1!$B$4:$K$41,MATCH(Discretization!E$4,Sheet1!$B$3:$K$3,0),FALSE)</f>
        <v>150</v>
      </c>
      <c r="F15" s="13" t="str">
        <f>VLOOKUP($B15,Sheet1!$B$4:$K$41,MATCH(Discretization!F$4,Sheet1!$B$3:$K$3,0),FALSE)</f>
        <v>Yes</v>
      </c>
      <c r="G15" s="13" t="str">
        <f>VLOOKUP($B15,Sheet1!$B$4:$K$41,MATCH(Discretization!G$4,Sheet1!$B$3:$K$3,0),FALSE)</f>
        <v>Yes</v>
      </c>
      <c r="I15" s="15">
        <v>38</v>
      </c>
      <c r="J15" s="13">
        <f t="shared" si="0"/>
        <v>0</v>
      </c>
      <c r="K15" s="13">
        <f t="shared" si="1"/>
        <v>1</v>
      </c>
      <c r="L15" s="13">
        <f t="shared" si="2"/>
        <v>0</v>
      </c>
      <c r="M15" s="13">
        <f t="shared" si="3"/>
        <v>0</v>
      </c>
      <c r="N15" s="13">
        <f t="shared" si="4"/>
        <v>1</v>
      </c>
    </row>
    <row r="16" spans="2:15" x14ac:dyDescent="0.2">
      <c r="B16" s="15">
        <v>46</v>
      </c>
      <c r="C16" s="13">
        <f>VLOOKUP($B16,Sheet1!$B$4:$K$41,MATCH(Discretization!C$4,Sheet1!$B$3:$K$3,0),FALSE)</f>
        <v>3300</v>
      </c>
      <c r="D16" s="13">
        <f>VLOOKUP($B16,Sheet1!$B$4:$K$41,MATCH(Discretization!D$4,Sheet1!$B$3:$K$3,0),FALSE)</f>
        <v>506.2</v>
      </c>
      <c r="E16" s="13" t="str">
        <f>VLOOKUP($B16,Sheet1!$B$4:$K$41,MATCH(Discretization!E$4,Sheet1!$B$3:$K$3,0),FALSE)</f>
        <v>NA</v>
      </c>
      <c r="F16" s="13" t="str">
        <f>VLOOKUP($B16,Sheet1!$B$4:$K$41,MATCH(Discretization!F$4,Sheet1!$B$3:$K$3,0),FALSE)</f>
        <v>Yes</v>
      </c>
      <c r="G16" s="13" t="str">
        <f>VLOOKUP($B16,Sheet1!$B$4:$K$41,MATCH(Discretization!G$4,Sheet1!$B$3:$K$3,0),FALSE)</f>
        <v>Yes</v>
      </c>
      <c r="I16" s="15">
        <v>46</v>
      </c>
      <c r="J16" s="13">
        <f t="shared" si="0"/>
        <v>0</v>
      </c>
      <c r="K16" s="13">
        <f t="shared" si="1"/>
        <v>1</v>
      </c>
      <c r="L16" s="13" t="str">
        <f t="shared" si="2"/>
        <v>NA</v>
      </c>
      <c r="M16" s="13">
        <f t="shared" si="3"/>
        <v>0</v>
      </c>
      <c r="N16" s="13">
        <f t="shared" si="4"/>
        <v>1</v>
      </c>
    </row>
    <row r="17" spans="2:14" x14ac:dyDescent="0.2">
      <c r="B17" s="15">
        <v>49</v>
      </c>
      <c r="C17" s="13">
        <f>VLOOKUP($B17,Sheet1!$B$4:$K$41,MATCH(Discretization!C$4,Sheet1!$B$3:$K$3,0),FALSE)</f>
        <v>1428</v>
      </c>
      <c r="D17" s="13">
        <f>VLOOKUP($B17,Sheet1!$B$4:$K$41,MATCH(Discretization!D$4,Sheet1!$B$3:$K$3,0),FALSE)</f>
        <v>569</v>
      </c>
      <c r="E17" s="13" t="str">
        <f>VLOOKUP($B17,Sheet1!$B$4:$K$41,MATCH(Discretization!E$4,Sheet1!$B$3:$K$3,0),FALSE)</f>
        <v>NA</v>
      </c>
      <c r="F17" s="13" t="str">
        <f>VLOOKUP($B17,Sheet1!$B$4:$K$41,MATCH(Discretization!F$4,Sheet1!$B$3:$K$3,0),FALSE)</f>
        <v>NA</v>
      </c>
      <c r="G17" s="13" t="str">
        <f>VLOOKUP($B17,Sheet1!$B$4:$K$41,MATCH(Discretization!G$4,Sheet1!$B$3:$K$3,0),FALSE)</f>
        <v>Yes</v>
      </c>
      <c r="I17" s="15">
        <v>49</v>
      </c>
      <c r="J17" s="13">
        <f t="shared" si="0"/>
        <v>1</v>
      </c>
      <c r="K17" s="13">
        <f t="shared" si="1"/>
        <v>1</v>
      </c>
      <c r="L17" s="13" t="str">
        <f t="shared" si="2"/>
        <v>NA</v>
      </c>
      <c r="M17" s="13" t="str">
        <f t="shared" si="3"/>
        <v>NA</v>
      </c>
      <c r="N17" s="13">
        <f t="shared" si="4"/>
        <v>1</v>
      </c>
    </row>
    <row r="18" spans="2:14" x14ac:dyDescent="0.2">
      <c r="B18" s="15">
        <v>17</v>
      </c>
      <c r="C18" s="13">
        <f>VLOOKUP($B18,Sheet1!$B$4:$K$41,MATCH(Discretization!C$4,Sheet1!$B$3:$K$3,0),FALSE)</f>
        <v>2034</v>
      </c>
      <c r="D18" s="13">
        <f>VLOOKUP($B18,Sheet1!$B$4:$K$41,MATCH(Discretization!D$4,Sheet1!$B$3:$K$3,0),FALSE)</f>
        <v>781</v>
      </c>
      <c r="E18" s="13">
        <f>VLOOKUP($B18,Sheet1!$B$4:$K$41,MATCH(Discretization!E$4,Sheet1!$B$3:$K$3,0),FALSE)</f>
        <v>160</v>
      </c>
      <c r="F18" s="13" t="str">
        <f>VLOOKUP($B18,Sheet1!$B$4:$K$41,MATCH(Discretization!F$4,Sheet1!$B$3:$K$3,0),FALSE)</f>
        <v>No</v>
      </c>
      <c r="G18" s="13" t="str">
        <f>VLOOKUP($B18,Sheet1!$B$4:$K$41,MATCH(Discretization!G$4,Sheet1!$B$3:$K$3,0),FALSE)</f>
        <v>Yes</v>
      </c>
      <c r="I18" s="15">
        <v>17</v>
      </c>
      <c r="J18" s="13">
        <f t="shared" si="0"/>
        <v>1</v>
      </c>
      <c r="K18" s="13">
        <f t="shared" si="1"/>
        <v>1</v>
      </c>
      <c r="L18" s="13">
        <f t="shared" si="2"/>
        <v>1</v>
      </c>
      <c r="M18" s="13">
        <f t="shared" si="3"/>
        <v>1</v>
      </c>
      <c r="N18" s="13">
        <f t="shared" si="4"/>
        <v>1</v>
      </c>
    </row>
    <row r="19" spans="2:14" x14ac:dyDescent="0.2">
      <c r="B19" s="15">
        <v>34</v>
      </c>
      <c r="C19" s="13">
        <f>VLOOKUP($B19,Sheet1!$B$4:$K$41,MATCH(Discretization!C$4,Sheet1!$B$3:$K$3,0),FALSE)</f>
        <v>2442</v>
      </c>
      <c r="D19" s="13">
        <f>VLOOKUP($B19,Sheet1!$B$4:$K$41,MATCH(Discretization!D$4,Sheet1!$B$3:$K$3,0),FALSE)</f>
        <v>143.5</v>
      </c>
      <c r="E19" s="13">
        <f>VLOOKUP($B19,Sheet1!$B$4:$K$41,MATCH(Discretization!E$4,Sheet1!$B$3:$K$3,0),FALSE)</f>
        <v>100</v>
      </c>
      <c r="F19" s="13" t="str">
        <f>VLOOKUP($B19,Sheet1!$B$4:$K$41,MATCH(Discretization!F$4,Sheet1!$B$3:$K$3,0),FALSE)</f>
        <v>Yes</v>
      </c>
      <c r="G19" s="13" t="str">
        <f>VLOOKUP($B19,Sheet1!$B$4:$K$41,MATCH(Discretization!G$4,Sheet1!$B$3:$K$3,0),FALSE)</f>
        <v>Yes</v>
      </c>
      <c r="I19" s="15">
        <v>34</v>
      </c>
      <c r="J19" s="13">
        <f t="shared" si="0"/>
        <v>1</v>
      </c>
      <c r="K19" s="13">
        <f t="shared" si="1"/>
        <v>0</v>
      </c>
      <c r="L19" s="13">
        <f t="shared" si="2"/>
        <v>0</v>
      </c>
      <c r="M19" s="13">
        <f t="shared" si="3"/>
        <v>0</v>
      </c>
      <c r="N19" s="13">
        <f t="shared" si="4"/>
        <v>1</v>
      </c>
    </row>
    <row r="20" spans="2:14" x14ac:dyDescent="0.2">
      <c r="B20" s="15">
        <v>6</v>
      </c>
      <c r="C20" s="13">
        <f>VLOOKUP($B20,Sheet1!$B$4:$K$41,MATCH(Discretization!C$4,Sheet1!$B$3:$K$3,0),FALSE)</f>
        <v>1524</v>
      </c>
      <c r="D20" s="13">
        <f>VLOOKUP($B20,Sheet1!$B$4:$K$41,MATCH(Discretization!D$4,Sheet1!$B$3:$K$3,0),FALSE)</f>
        <v>509.6</v>
      </c>
      <c r="E20" s="13">
        <f>VLOOKUP($B20,Sheet1!$B$4:$K$41,MATCH(Discretization!E$4,Sheet1!$B$3:$K$3,0),FALSE)</f>
        <v>300</v>
      </c>
      <c r="F20" s="13" t="str">
        <f>VLOOKUP($B20,Sheet1!$B$4:$K$41,MATCH(Discretization!F$4,Sheet1!$B$3:$K$3,0),FALSE)</f>
        <v>Yes</v>
      </c>
      <c r="G20" s="13" t="str">
        <f>VLOOKUP($B20,Sheet1!$B$4:$K$41,MATCH(Discretization!G$4,Sheet1!$B$3:$K$3,0),FALSE)</f>
        <v>Yes</v>
      </c>
      <c r="I20" s="15">
        <v>6</v>
      </c>
      <c r="J20" s="13">
        <f t="shared" si="0"/>
        <v>1</v>
      </c>
      <c r="K20" s="13">
        <f t="shared" si="1"/>
        <v>1</v>
      </c>
      <c r="L20" s="13">
        <f t="shared" si="2"/>
        <v>1</v>
      </c>
      <c r="M20" s="13">
        <f t="shared" si="3"/>
        <v>0</v>
      </c>
      <c r="N20" s="13">
        <f t="shared" si="4"/>
        <v>1</v>
      </c>
    </row>
    <row r="21" spans="2:14" x14ac:dyDescent="0.2">
      <c r="B21" s="15">
        <v>28</v>
      </c>
      <c r="C21" s="13">
        <f>VLOOKUP($B21,Sheet1!$B$4:$K$41,MATCH(Discretization!C$4,Sheet1!$B$3:$K$3,0),FALSE)</f>
        <v>4262</v>
      </c>
      <c r="D21" s="13">
        <f>VLOOKUP($B21,Sheet1!$B$4:$K$41,MATCH(Discretization!D$4,Sheet1!$B$3:$K$3,0),FALSE)</f>
        <v>919.3</v>
      </c>
      <c r="E21" s="13" t="str">
        <f>VLOOKUP($B21,Sheet1!$B$4:$K$41,MATCH(Discretization!E$4,Sheet1!$B$3:$K$3,0),FALSE)</f>
        <v>NA</v>
      </c>
      <c r="F21" s="13" t="str">
        <f>VLOOKUP($B21,Sheet1!$B$4:$K$41,MATCH(Discretization!F$4,Sheet1!$B$3:$K$3,0),FALSE)</f>
        <v>No</v>
      </c>
      <c r="G21" s="13" t="str">
        <f>VLOOKUP($B21,Sheet1!$B$4:$K$41,MATCH(Discretization!G$4,Sheet1!$B$3:$K$3,0),FALSE)</f>
        <v>Yes</v>
      </c>
      <c r="I21" s="15">
        <v>28</v>
      </c>
      <c r="J21" s="13">
        <f t="shared" si="0"/>
        <v>0</v>
      </c>
      <c r="K21" s="13">
        <f t="shared" si="1"/>
        <v>1</v>
      </c>
      <c r="L21" s="13" t="str">
        <f t="shared" si="2"/>
        <v>NA</v>
      </c>
      <c r="M21" s="13">
        <f t="shared" si="3"/>
        <v>1</v>
      </c>
      <c r="N21" s="13">
        <f t="shared" si="4"/>
        <v>1</v>
      </c>
    </row>
    <row r="22" spans="2:14" x14ac:dyDescent="0.2">
      <c r="B22" s="15">
        <v>37</v>
      </c>
      <c r="C22" s="13">
        <f>VLOOKUP($B22,Sheet1!$B$4:$K$41,MATCH(Discretization!C$4,Sheet1!$B$3:$K$3,0),FALSE)</f>
        <v>2793</v>
      </c>
      <c r="D22" s="13">
        <f>VLOOKUP($B22,Sheet1!$B$4:$K$41,MATCH(Discretization!D$4,Sheet1!$B$3:$K$3,0),FALSE)</f>
        <v>563.1</v>
      </c>
      <c r="E22" s="13">
        <f>VLOOKUP($B22,Sheet1!$B$4:$K$41,MATCH(Discretization!E$4,Sheet1!$B$3:$K$3,0),FALSE)</f>
        <v>800</v>
      </c>
      <c r="F22" s="13" t="str">
        <f>VLOOKUP($B22,Sheet1!$B$4:$K$41,MATCH(Discretization!F$4,Sheet1!$B$3:$K$3,0),FALSE)</f>
        <v>Yes</v>
      </c>
      <c r="G22" s="13" t="str">
        <f>VLOOKUP($B22,Sheet1!$B$4:$K$41,MATCH(Discretization!G$4,Sheet1!$B$3:$K$3,0),FALSE)</f>
        <v>Yes</v>
      </c>
      <c r="I22" s="15">
        <v>37</v>
      </c>
      <c r="J22" s="13">
        <f t="shared" si="0"/>
        <v>0</v>
      </c>
      <c r="K22" s="13">
        <f t="shared" si="1"/>
        <v>1</v>
      </c>
      <c r="L22" s="13">
        <f t="shared" si="2"/>
        <v>1</v>
      </c>
      <c r="M22" s="13">
        <f t="shared" si="3"/>
        <v>0</v>
      </c>
      <c r="N22" s="13">
        <f t="shared" si="4"/>
        <v>1</v>
      </c>
    </row>
    <row r="23" spans="2:14" x14ac:dyDescent="0.2">
      <c r="B23" s="15">
        <v>41</v>
      </c>
      <c r="C23" s="13">
        <f>VLOOKUP($B23,Sheet1!$B$4:$K$41,MATCH(Discretization!C$4,Sheet1!$B$3:$K$3,0),FALSE)</f>
        <v>1700</v>
      </c>
      <c r="D23" s="13">
        <f>VLOOKUP($B23,Sheet1!$B$4:$K$41,MATCH(Discretization!D$4,Sheet1!$B$3:$K$3,0),FALSE)</f>
        <v>661</v>
      </c>
      <c r="E23" s="13">
        <f>VLOOKUP($B23,Sheet1!$B$4:$K$41,MATCH(Discretization!E$4,Sheet1!$B$3:$K$3,0),FALSE)</f>
        <v>800</v>
      </c>
      <c r="F23" s="13" t="str">
        <f>VLOOKUP($B23,Sheet1!$B$4:$K$41,MATCH(Discretization!F$4,Sheet1!$B$3:$K$3,0),FALSE)</f>
        <v>Yes</v>
      </c>
      <c r="G23" s="13" t="str">
        <f>VLOOKUP($B23,Sheet1!$B$4:$K$41,MATCH(Discretization!G$4,Sheet1!$B$3:$K$3,0),FALSE)</f>
        <v>Yes</v>
      </c>
      <c r="I23" s="15">
        <v>41</v>
      </c>
      <c r="J23" s="13">
        <f t="shared" si="0"/>
        <v>1</v>
      </c>
      <c r="K23" s="13">
        <f t="shared" si="1"/>
        <v>1</v>
      </c>
      <c r="L23" s="13">
        <f t="shared" si="2"/>
        <v>1</v>
      </c>
      <c r="M23" s="13">
        <f t="shared" si="3"/>
        <v>0</v>
      </c>
      <c r="N23" s="13">
        <f t="shared" si="4"/>
        <v>1</v>
      </c>
    </row>
    <row r="24" spans="2:14" x14ac:dyDescent="0.2">
      <c r="B24" s="15">
        <v>13</v>
      </c>
      <c r="C24" s="13">
        <f>VLOOKUP($B24,Sheet1!$B$4:$K$41,MATCH(Discretization!C$4,Sheet1!$B$3:$K$3,0),FALSE)</f>
        <v>693</v>
      </c>
      <c r="D24" s="13">
        <f>VLOOKUP($B24,Sheet1!$B$4:$K$41,MATCH(Discretization!D$4,Sheet1!$B$3:$K$3,0),FALSE)</f>
        <v>249.6</v>
      </c>
      <c r="E24" s="13">
        <f>VLOOKUP($B24,Sheet1!$B$4:$K$41,MATCH(Discretization!E$4,Sheet1!$B$3:$K$3,0),FALSE)</f>
        <v>200</v>
      </c>
      <c r="F24" s="13" t="str">
        <f>VLOOKUP($B24,Sheet1!$B$4:$K$41,MATCH(Discretization!F$4,Sheet1!$B$3:$K$3,0),FALSE)</f>
        <v>NA</v>
      </c>
      <c r="G24" s="13" t="str">
        <f>VLOOKUP($B24,Sheet1!$B$4:$K$41,MATCH(Discretization!G$4,Sheet1!$B$3:$K$3,0),FALSE)</f>
        <v>Yes</v>
      </c>
      <c r="I24" s="15">
        <v>13</v>
      </c>
      <c r="J24" s="13">
        <f t="shared" si="0"/>
        <v>0</v>
      </c>
      <c r="K24" s="13">
        <f t="shared" si="1"/>
        <v>0</v>
      </c>
      <c r="L24" s="13">
        <f t="shared" si="2"/>
        <v>1</v>
      </c>
      <c r="M24" s="13" t="str">
        <f t="shared" si="3"/>
        <v>NA</v>
      </c>
      <c r="N24" s="13">
        <f t="shared" si="4"/>
        <v>1</v>
      </c>
    </row>
    <row r="25" spans="2:14" x14ac:dyDescent="0.2">
      <c r="B25" s="15">
        <v>43</v>
      </c>
      <c r="C25" s="13">
        <f>VLOOKUP($B25,Sheet1!$B$4:$K$41,MATCH(Discretization!C$4,Sheet1!$B$3:$K$3,0),FALSE)</f>
        <v>774</v>
      </c>
      <c r="D25" s="13">
        <f>VLOOKUP($B25,Sheet1!$B$4:$K$41,MATCH(Discretization!D$4,Sheet1!$B$3:$K$3,0),FALSE)</f>
        <v>223.9</v>
      </c>
      <c r="E25" s="13">
        <f>VLOOKUP($B25,Sheet1!$B$4:$K$41,MATCH(Discretization!E$4,Sheet1!$B$3:$K$3,0),FALSE)</f>
        <v>100</v>
      </c>
      <c r="F25" s="13" t="str">
        <f>VLOOKUP($B25,Sheet1!$B$4:$K$41,MATCH(Discretization!F$4,Sheet1!$B$3:$K$3,0),FALSE)</f>
        <v>Yes</v>
      </c>
      <c r="G25" s="13" t="str">
        <f>VLOOKUP($B25,Sheet1!$B$4:$K$41,MATCH(Discretization!G$4,Sheet1!$B$3:$K$3,0),FALSE)</f>
        <v>Yes</v>
      </c>
      <c r="I25" s="15">
        <v>43</v>
      </c>
      <c r="J25" s="13">
        <f t="shared" si="0"/>
        <v>0</v>
      </c>
      <c r="K25" s="13">
        <f t="shared" si="1"/>
        <v>0</v>
      </c>
      <c r="L25" s="13">
        <f t="shared" si="2"/>
        <v>0</v>
      </c>
      <c r="M25" s="13">
        <f t="shared" si="3"/>
        <v>0</v>
      </c>
      <c r="N25" s="13">
        <f t="shared" si="4"/>
        <v>1</v>
      </c>
    </row>
    <row r="26" spans="2:14" x14ac:dyDescent="0.2">
      <c r="B26" s="15">
        <v>48</v>
      </c>
      <c r="C26" s="13">
        <f>VLOOKUP($B26,Sheet1!$B$4:$K$41,MATCH(Discretization!C$4,Sheet1!$B$3:$K$3,0),FALSE)</f>
        <v>1655</v>
      </c>
      <c r="D26" s="13">
        <f>VLOOKUP($B26,Sheet1!$B$4:$K$41,MATCH(Discretization!D$4,Sheet1!$B$3:$K$3,0),FALSE)</f>
        <v>573.70000000000005</v>
      </c>
      <c r="E26" s="13" t="str">
        <f>VLOOKUP($B26,Sheet1!$B$4:$K$41,MATCH(Discretization!E$4,Sheet1!$B$3:$K$3,0),FALSE)</f>
        <v>NA</v>
      </c>
      <c r="F26" s="13" t="str">
        <f>VLOOKUP($B26,Sheet1!$B$4:$K$41,MATCH(Discretization!F$4,Sheet1!$B$3:$K$3,0),FALSE)</f>
        <v>NA</v>
      </c>
      <c r="G26" s="13" t="str">
        <f>VLOOKUP($B26,Sheet1!$B$4:$K$41,MATCH(Discretization!G$4,Sheet1!$B$3:$K$3,0),FALSE)</f>
        <v>Yes</v>
      </c>
      <c r="I26" s="15">
        <v>48</v>
      </c>
      <c r="J26" s="13">
        <f t="shared" si="0"/>
        <v>1</v>
      </c>
      <c r="K26" s="13">
        <f t="shared" si="1"/>
        <v>1</v>
      </c>
      <c r="L26" s="13" t="str">
        <f t="shared" si="2"/>
        <v>NA</v>
      </c>
      <c r="M26" s="13" t="str">
        <f t="shared" si="3"/>
        <v>NA</v>
      </c>
      <c r="N26" s="13">
        <f t="shared" si="4"/>
        <v>1</v>
      </c>
    </row>
    <row r="27" spans="2:14" x14ac:dyDescent="0.2">
      <c r="B27" s="15">
        <v>8</v>
      </c>
      <c r="C27" s="13">
        <f>VLOOKUP($B27,Sheet1!$B$4:$K$41,MATCH(Discretization!C$4,Sheet1!$B$3:$K$3,0),FALSE)</f>
        <v>4779</v>
      </c>
      <c r="D27" s="13">
        <f>VLOOKUP($B27,Sheet1!$B$4:$K$41,MATCH(Discretization!D$4,Sheet1!$B$3:$K$3,0),FALSE)</f>
        <v>770.4</v>
      </c>
      <c r="E27" s="13">
        <f>VLOOKUP($B27,Sheet1!$B$4:$K$41,MATCH(Discretization!E$4,Sheet1!$B$3:$K$3,0),FALSE)</f>
        <v>200</v>
      </c>
      <c r="F27" s="13" t="str">
        <f>VLOOKUP($B27,Sheet1!$B$4:$K$41,MATCH(Discretization!F$4,Sheet1!$B$3:$K$3,0),FALSE)</f>
        <v>No</v>
      </c>
      <c r="G27" s="13" t="str">
        <f>VLOOKUP($B27,Sheet1!$B$4:$K$41,MATCH(Discretization!G$4,Sheet1!$B$3:$K$3,0),FALSE)</f>
        <v>Yes</v>
      </c>
      <c r="I27" s="15">
        <v>8</v>
      </c>
      <c r="J27" s="13">
        <f t="shared" si="0"/>
        <v>0</v>
      </c>
      <c r="K27" s="13">
        <f t="shared" si="1"/>
        <v>1</v>
      </c>
      <c r="L27" s="13">
        <f t="shared" si="2"/>
        <v>1</v>
      </c>
      <c r="M27" s="13">
        <f t="shared" si="3"/>
        <v>1</v>
      </c>
      <c r="N27" s="13">
        <f t="shared" si="4"/>
        <v>1</v>
      </c>
    </row>
    <row r="28" spans="2:14" x14ac:dyDescent="0.2">
      <c r="B28" s="15">
        <v>47</v>
      </c>
      <c r="C28" s="13">
        <f>VLOOKUP($B28,Sheet1!$B$4:$K$41,MATCH(Discretization!C$4,Sheet1!$B$3:$K$3,0),FALSE)</f>
        <v>1280</v>
      </c>
      <c r="D28" s="13">
        <f>VLOOKUP($B28,Sheet1!$B$4:$K$41,MATCH(Discretization!D$4,Sheet1!$B$3:$K$3,0),FALSE)</f>
        <v>392.9</v>
      </c>
      <c r="E28" s="13" t="str">
        <f>VLOOKUP($B28,Sheet1!$B$4:$K$41,MATCH(Discretization!E$4,Sheet1!$B$3:$K$3,0),FALSE)</f>
        <v>NA</v>
      </c>
      <c r="F28" s="13" t="str">
        <f>VLOOKUP($B28,Sheet1!$B$4:$K$41,MATCH(Discretization!F$4,Sheet1!$B$3:$K$3,0),FALSE)</f>
        <v>NA</v>
      </c>
      <c r="G28" s="13" t="str">
        <f>VLOOKUP($B28,Sheet1!$B$4:$K$41,MATCH(Discretization!G$4,Sheet1!$B$3:$K$3,0),FALSE)</f>
        <v>Yes</v>
      </c>
      <c r="I28" s="15">
        <v>47</v>
      </c>
      <c r="J28" s="13">
        <f t="shared" si="0"/>
        <v>1</v>
      </c>
      <c r="K28" s="13">
        <f t="shared" si="1"/>
        <v>1</v>
      </c>
      <c r="L28" s="13" t="str">
        <f t="shared" si="2"/>
        <v>NA</v>
      </c>
      <c r="M28" s="13" t="str">
        <f t="shared" si="3"/>
        <v>NA</v>
      </c>
      <c r="N28" s="13">
        <f t="shared" si="4"/>
        <v>1</v>
      </c>
    </row>
    <row r="29" spans="2:14" x14ac:dyDescent="0.2">
      <c r="B29" s="15">
        <v>53</v>
      </c>
      <c r="C29" s="13">
        <f>VLOOKUP($B29,Sheet1!$B$4:$K$41,MATCH(Discretization!C$4,Sheet1!$B$3:$K$3,0),FALSE)</f>
        <v>2500</v>
      </c>
      <c r="D29" s="13">
        <f>VLOOKUP($B29,Sheet1!$B$4:$K$41,MATCH(Discretization!D$4,Sheet1!$B$3:$K$3,0),FALSE)</f>
        <v>525.6</v>
      </c>
      <c r="E29" s="13">
        <f>VLOOKUP($B29,Sheet1!$B$4:$K$41,MATCH(Discretization!E$4,Sheet1!$B$3:$K$3,0),FALSE)</f>
        <v>280</v>
      </c>
      <c r="F29" s="13" t="str">
        <f>VLOOKUP($B29,Sheet1!$B$4:$K$41,MATCH(Discretization!F$4,Sheet1!$B$3:$K$3,0),FALSE)</f>
        <v>Yes</v>
      </c>
      <c r="G29" s="13" t="str">
        <f>VLOOKUP($B29,Sheet1!$B$4:$K$41,MATCH(Discretization!G$4,Sheet1!$B$3:$K$3,0),FALSE)</f>
        <v>Yes</v>
      </c>
      <c r="I29" s="15">
        <v>53</v>
      </c>
      <c r="J29" s="13">
        <f t="shared" si="0"/>
        <v>1</v>
      </c>
      <c r="K29" s="13">
        <f t="shared" si="1"/>
        <v>1</v>
      </c>
      <c r="L29" s="13">
        <f t="shared" si="2"/>
        <v>1</v>
      </c>
      <c r="M29" s="13">
        <f t="shared" si="3"/>
        <v>0</v>
      </c>
      <c r="N29" s="13">
        <f t="shared" si="4"/>
        <v>1</v>
      </c>
    </row>
    <row r="30" spans="2:14" x14ac:dyDescent="0.2">
      <c r="B30" s="15">
        <v>54</v>
      </c>
      <c r="C30" s="13">
        <f>VLOOKUP($B30,Sheet1!$B$4:$K$41,MATCH(Discretization!C$4,Sheet1!$B$3:$K$3,0),FALSE)</f>
        <v>3400</v>
      </c>
      <c r="D30" s="13">
        <f>VLOOKUP($B30,Sheet1!$B$4:$K$41,MATCH(Discretization!D$4,Sheet1!$B$3:$K$3,0),FALSE)</f>
        <v>786.6</v>
      </c>
      <c r="E30" s="13" t="str">
        <f>VLOOKUP($B30,Sheet1!$B$4:$K$41,MATCH(Discretization!E$4,Sheet1!$B$3:$K$3,0),FALSE)</f>
        <v>NA</v>
      </c>
      <c r="F30" s="13" t="str">
        <f>VLOOKUP($B30,Sheet1!$B$4:$K$41,MATCH(Discretization!F$4,Sheet1!$B$3:$K$3,0),FALSE)</f>
        <v>No</v>
      </c>
      <c r="G30" s="13" t="str">
        <f>VLOOKUP($B30,Sheet1!$B$4:$K$41,MATCH(Discretization!G$4,Sheet1!$B$3:$K$3,0),FALSE)</f>
        <v>Yes</v>
      </c>
      <c r="I30" s="15">
        <v>54</v>
      </c>
      <c r="J30" s="13">
        <f t="shared" si="0"/>
        <v>0</v>
      </c>
      <c r="K30" s="13">
        <f t="shared" si="1"/>
        <v>1</v>
      </c>
      <c r="L30" s="13" t="str">
        <f t="shared" si="2"/>
        <v>NA</v>
      </c>
      <c r="M30" s="13">
        <f t="shared" si="3"/>
        <v>1</v>
      </c>
      <c r="N30" s="13">
        <f t="shared" si="4"/>
        <v>1</v>
      </c>
    </row>
    <row r="31" spans="2:14" x14ac:dyDescent="0.2">
      <c r="B31" s="15">
        <v>57</v>
      </c>
      <c r="C31" s="13">
        <f>VLOOKUP($B31,Sheet1!$B$4:$K$41,MATCH(Discretization!C$4,Sheet1!$B$3:$K$3,0),FALSE)</f>
        <v>1662</v>
      </c>
      <c r="D31" s="13">
        <f>VLOOKUP($B31,Sheet1!$B$4:$K$41,MATCH(Discretization!D$4,Sheet1!$B$3:$K$3,0),FALSE)</f>
        <v>636.6</v>
      </c>
      <c r="E31" s="13">
        <f>VLOOKUP($B31,Sheet1!$B$4:$K$41,MATCH(Discretization!E$4,Sheet1!$B$3:$K$3,0),FALSE)</f>
        <v>150</v>
      </c>
      <c r="F31" s="13" t="str">
        <f>VLOOKUP($B31,Sheet1!$B$4:$K$41,MATCH(Discretization!F$4,Sheet1!$B$3:$K$3,0),FALSE)</f>
        <v>Yes</v>
      </c>
      <c r="G31" s="13" t="str">
        <f>VLOOKUP($B31,Sheet1!$B$4:$K$41,MATCH(Discretization!G$4,Sheet1!$B$3:$K$3,0),FALSE)</f>
        <v>Yes</v>
      </c>
      <c r="I31" s="15">
        <v>57</v>
      </c>
      <c r="J31" s="13">
        <f t="shared" si="0"/>
        <v>1</v>
      </c>
      <c r="K31" s="13">
        <f t="shared" si="1"/>
        <v>1</v>
      </c>
      <c r="L31" s="13">
        <f t="shared" si="2"/>
        <v>0</v>
      </c>
      <c r="M31" s="13">
        <f t="shared" si="3"/>
        <v>0</v>
      </c>
      <c r="N31" s="13">
        <f t="shared" si="4"/>
        <v>1</v>
      </c>
    </row>
    <row r="32" spans="2:14" x14ac:dyDescent="0.2">
      <c r="B32" s="15">
        <v>35</v>
      </c>
      <c r="C32" s="13">
        <f>VLOOKUP($B32,Sheet1!$B$4:$K$41,MATCH(Discretization!C$4,Sheet1!$B$3:$K$3,0),FALSE)</f>
        <v>811</v>
      </c>
      <c r="D32" s="13">
        <f>VLOOKUP($B32,Sheet1!$B$4:$K$41,MATCH(Discretization!D$4,Sheet1!$B$3:$K$3,0),FALSE)</f>
        <v>733.2</v>
      </c>
      <c r="E32" s="13" t="str">
        <f>VLOOKUP($B32,Sheet1!$B$4:$K$41,MATCH(Discretization!E$4,Sheet1!$B$3:$K$3,0),FALSE)</f>
        <v>NA</v>
      </c>
      <c r="F32" s="13" t="str">
        <f>VLOOKUP($B32,Sheet1!$B$4:$K$41,MATCH(Discretization!F$4,Sheet1!$B$3:$K$3,0),FALSE)</f>
        <v>Yes</v>
      </c>
      <c r="G32" s="13" t="str">
        <f>VLOOKUP($B32,Sheet1!$B$4:$K$41,MATCH(Discretization!G$4,Sheet1!$B$3:$K$3,0),FALSE)</f>
        <v>Yes</v>
      </c>
      <c r="I32" s="15">
        <v>35</v>
      </c>
      <c r="J32" s="13">
        <f t="shared" si="0"/>
        <v>0</v>
      </c>
      <c r="K32" s="13">
        <f t="shared" si="1"/>
        <v>1</v>
      </c>
      <c r="L32" s="13" t="str">
        <f t="shared" si="2"/>
        <v>NA</v>
      </c>
      <c r="M32" s="13">
        <f t="shared" si="3"/>
        <v>0</v>
      </c>
      <c r="N32" s="13">
        <f t="shared" si="4"/>
        <v>1</v>
      </c>
    </row>
    <row r="33" spans="2:14" x14ac:dyDescent="0.2">
      <c r="B33" s="15">
        <v>58</v>
      </c>
      <c r="C33" s="13">
        <f>VLOOKUP($B33,Sheet1!$B$4:$K$41,MATCH(Discretization!C$4,Sheet1!$B$3:$K$3,0),FALSE)</f>
        <v>1188</v>
      </c>
      <c r="D33" s="13">
        <f>VLOOKUP($B33,Sheet1!$B$4:$K$41,MATCH(Discretization!D$4,Sheet1!$B$3:$K$3,0),FALSE)</f>
        <v>667.3</v>
      </c>
      <c r="E33" s="13" t="str">
        <f>VLOOKUP($B33,Sheet1!$B$4:$K$41,MATCH(Discretization!E$4,Sheet1!$B$3:$K$3,0),FALSE)</f>
        <v>NA</v>
      </c>
      <c r="F33" s="13" t="str">
        <f>VLOOKUP($B33,Sheet1!$B$4:$K$41,MATCH(Discretization!F$4,Sheet1!$B$3:$K$3,0),FALSE)</f>
        <v>Yes</v>
      </c>
      <c r="G33" s="13" t="str">
        <f>VLOOKUP($B33,Sheet1!$B$4:$K$41,MATCH(Discretization!G$4,Sheet1!$B$3:$K$3,0),FALSE)</f>
        <v>Yes</v>
      </c>
      <c r="I33" s="15">
        <v>58</v>
      </c>
      <c r="J33" s="13">
        <f t="shared" si="0"/>
        <v>1</v>
      </c>
      <c r="K33" s="13">
        <f t="shared" si="1"/>
        <v>1</v>
      </c>
      <c r="L33" s="13" t="str">
        <f t="shared" si="2"/>
        <v>NA</v>
      </c>
      <c r="M33" s="13">
        <f t="shared" si="3"/>
        <v>0</v>
      </c>
      <c r="N33" s="13">
        <f t="shared" si="4"/>
        <v>1</v>
      </c>
    </row>
    <row r="34" spans="2:14" x14ac:dyDescent="0.2">
      <c r="B34" s="15">
        <v>59</v>
      </c>
      <c r="C34" s="13">
        <f>VLOOKUP($B34,Sheet1!$B$4:$K$41,MATCH(Discretization!C$4,Sheet1!$B$3:$K$3,0),FALSE)</f>
        <v>1574</v>
      </c>
      <c r="D34" s="13">
        <f>VLOOKUP($B34,Sheet1!$B$4:$K$41,MATCH(Discretization!D$4,Sheet1!$B$3:$K$3,0),FALSE)</f>
        <v>694.2</v>
      </c>
      <c r="E34" s="13">
        <f>VLOOKUP($B34,Sheet1!$B$4:$K$41,MATCH(Discretization!E$4,Sheet1!$B$3:$K$3,0),FALSE)</f>
        <v>200</v>
      </c>
      <c r="F34" s="13" t="str">
        <f>VLOOKUP($B34,Sheet1!$B$4:$K$41,MATCH(Discretization!F$4,Sheet1!$B$3:$K$3,0),FALSE)</f>
        <v>No</v>
      </c>
      <c r="G34" s="13" t="str">
        <f>VLOOKUP($B34,Sheet1!$B$4:$K$41,MATCH(Discretization!G$4,Sheet1!$B$3:$K$3,0),FALSE)</f>
        <v>Yes</v>
      </c>
      <c r="I34" s="15">
        <v>59</v>
      </c>
      <c r="J34" s="13">
        <f t="shared" si="0"/>
        <v>1</v>
      </c>
      <c r="K34" s="13">
        <f t="shared" si="1"/>
        <v>1</v>
      </c>
      <c r="L34" s="13">
        <f t="shared" si="2"/>
        <v>1</v>
      </c>
      <c r="M34" s="13">
        <f t="shared" si="3"/>
        <v>1</v>
      </c>
      <c r="N34" s="13">
        <f t="shared" si="4"/>
        <v>1</v>
      </c>
    </row>
    <row r="35" spans="2:14" x14ac:dyDescent="0.2">
      <c r="B35" s="15">
        <v>5</v>
      </c>
      <c r="C35" s="13">
        <f>VLOOKUP($B35,Sheet1!$B$4:$K$41,MATCH(Discretization!C$4,Sheet1!$B$3:$K$3,0),FALSE)</f>
        <v>1829</v>
      </c>
      <c r="D35" s="13">
        <f>VLOOKUP($B35,Sheet1!$B$4:$K$41,MATCH(Discretization!D$4,Sheet1!$B$3:$K$3,0),FALSE)</f>
        <v>564.29999999999995</v>
      </c>
      <c r="E35" s="13">
        <f>VLOOKUP($B35,Sheet1!$B$4:$K$41,MATCH(Discretization!E$4,Sheet1!$B$3:$K$3,0),FALSE)</f>
        <v>300</v>
      </c>
      <c r="F35" s="13" t="str">
        <f>VLOOKUP($B35,Sheet1!$B$4:$K$41,MATCH(Discretization!F$4,Sheet1!$B$3:$K$3,0),FALSE)</f>
        <v>Yes</v>
      </c>
      <c r="G35" s="13" t="str">
        <f>VLOOKUP($B35,Sheet1!$B$4:$K$41,MATCH(Discretization!G$4,Sheet1!$B$3:$K$3,0),FALSE)</f>
        <v>Yes</v>
      </c>
      <c r="I35" s="15">
        <v>5</v>
      </c>
      <c r="J35" s="13">
        <f t="shared" si="0"/>
        <v>1</v>
      </c>
      <c r="K35" s="13">
        <f t="shared" si="1"/>
        <v>1</v>
      </c>
      <c r="L35" s="13">
        <f t="shared" si="2"/>
        <v>1</v>
      </c>
      <c r="M35" s="13">
        <f t="shared" si="3"/>
        <v>0</v>
      </c>
      <c r="N35" s="13">
        <f t="shared" si="4"/>
        <v>1</v>
      </c>
    </row>
    <row r="36" spans="2:14" x14ac:dyDescent="0.2">
      <c r="B36" s="15">
        <v>33</v>
      </c>
      <c r="C36" s="13">
        <f>VLOOKUP($B36,Sheet1!$B$4:$K$41,MATCH(Discretization!C$4,Sheet1!$B$3:$K$3,0),FALSE)</f>
        <v>2044</v>
      </c>
      <c r="D36" s="13">
        <f>VLOOKUP($B36,Sheet1!$B$4:$K$41,MATCH(Discretization!D$4,Sheet1!$B$3:$K$3,0),FALSE)</f>
        <v>612.4</v>
      </c>
      <c r="E36" s="13" t="str">
        <f>VLOOKUP($B36,Sheet1!$B$4:$K$41,MATCH(Discretization!E$4,Sheet1!$B$3:$K$3,0),FALSE)</f>
        <v>NA</v>
      </c>
      <c r="F36" s="13" t="str">
        <f>VLOOKUP($B36,Sheet1!$B$4:$K$41,MATCH(Discretization!F$4,Sheet1!$B$3:$K$3,0),FALSE)</f>
        <v>Yes</v>
      </c>
      <c r="G36" s="13" t="str">
        <f>VLOOKUP($B36,Sheet1!$B$4:$K$41,MATCH(Discretization!G$4,Sheet1!$B$3:$K$3,0),FALSE)</f>
        <v>Yes</v>
      </c>
      <c r="I36" s="15">
        <v>33</v>
      </c>
      <c r="J36" s="13">
        <f t="shared" si="0"/>
        <v>1</v>
      </c>
      <c r="K36" s="13">
        <f t="shared" si="1"/>
        <v>1</v>
      </c>
      <c r="L36" s="13" t="str">
        <f t="shared" si="2"/>
        <v>NA</v>
      </c>
      <c r="M36" s="13">
        <f t="shared" si="3"/>
        <v>0</v>
      </c>
      <c r="N36" s="13">
        <f t="shared" si="4"/>
        <v>1</v>
      </c>
    </row>
    <row r="37" spans="2:14" x14ac:dyDescent="0.2">
      <c r="B37" s="15">
        <v>60</v>
      </c>
      <c r="C37" s="13">
        <f>VLOOKUP($B37,Sheet1!$B$4:$K$41,MATCH(Discretization!C$4,Sheet1!$B$3:$K$3,0),FALSE)</f>
        <v>2804</v>
      </c>
      <c r="D37" s="13">
        <f>VLOOKUP($B37,Sheet1!$B$4:$K$41,MATCH(Discretization!D$4,Sheet1!$B$3:$K$3,0),FALSE)</f>
        <v>679.9</v>
      </c>
      <c r="E37" s="13" t="str">
        <f>VLOOKUP($B37,Sheet1!$B$4:$K$41,MATCH(Discretization!E$4,Sheet1!$B$3:$K$3,0),FALSE)</f>
        <v>NA</v>
      </c>
      <c r="F37" s="13" t="str">
        <f>VLOOKUP($B37,Sheet1!$B$4:$K$41,MATCH(Discretization!F$4,Sheet1!$B$3:$K$3,0),FALSE)</f>
        <v>No</v>
      </c>
      <c r="G37" s="13" t="str">
        <f>VLOOKUP($B37,Sheet1!$B$4:$K$41,MATCH(Discretization!G$4,Sheet1!$B$3:$K$3,0),FALSE)</f>
        <v>Yes</v>
      </c>
      <c r="I37" s="15">
        <v>60</v>
      </c>
      <c r="J37" s="13">
        <f t="shared" si="0"/>
        <v>0</v>
      </c>
      <c r="K37" s="13">
        <f t="shared" si="1"/>
        <v>1</v>
      </c>
      <c r="L37" s="13" t="str">
        <f t="shared" si="2"/>
        <v>NA</v>
      </c>
      <c r="M37" s="13">
        <f t="shared" si="3"/>
        <v>1</v>
      </c>
      <c r="N37" s="13">
        <f t="shared" si="4"/>
        <v>1</v>
      </c>
    </row>
    <row r="38" spans="2:14" x14ac:dyDescent="0.2">
      <c r="B38" s="15">
        <v>75</v>
      </c>
      <c r="C38" s="13">
        <f>VLOOKUP($B38,Sheet1!$B$4:$K$41,MATCH(Discretization!C$4,Sheet1!$B$3:$K$3,0),FALSE)</f>
        <v>2600</v>
      </c>
      <c r="D38" s="13">
        <f>VLOOKUP($B38,Sheet1!$B$4:$K$41,MATCH(Discretization!D$4,Sheet1!$B$3:$K$3,0),FALSE)</f>
        <v>571.29999999999995</v>
      </c>
      <c r="E38" s="13">
        <f>VLOOKUP($B38,Sheet1!$B$4:$K$41,MATCH(Discretization!E$4,Sheet1!$B$3:$K$3,0),FALSE)</f>
        <v>300</v>
      </c>
      <c r="F38" s="13" t="str">
        <f>VLOOKUP($B38,Sheet1!$B$4:$K$41,MATCH(Discretization!F$4,Sheet1!$B$3:$K$3,0),FALSE)</f>
        <v>No</v>
      </c>
      <c r="G38" s="13" t="str">
        <f>VLOOKUP($B38,Sheet1!$B$4:$K$41,MATCH(Discretization!G$4,Sheet1!$B$3:$K$3,0),FALSE)</f>
        <v>Inconclusive</v>
      </c>
      <c r="I38" s="15">
        <v>75</v>
      </c>
      <c r="J38" s="13">
        <f t="shared" si="0"/>
        <v>0</v>
      </c>
      <c r="K38" s="13">
        <f t="shared" si="1"/>
        <v>1</v>
      </c>
      <c r="L38" s="13">
        <f t="shared" si="2"/>
        <v>1</v>
      </c>
      <c r="M38" s="13">
        <f t="shared" si="3"/>
        <v>1</v>
      </c>
      <c r="N38" s="13">
        <f t="shared" si="4"/>
        <v>0</v>
      </c>
    </row>
    <row r="39" spans="2:14" x14ac:dyDescent="0.2">
      <c r="B39" s="15">
        <v>70</v>
      </c>
      <c r="C39" s="13">
        <f>VLOOKUP($B39,Sheet1!$B$4:$K$41,MATCH(Discretization!C$4,Sheet1!$B$3:$K$3,0),FALSE)</f>
        <v>1000</v>
      </c>
      <c r="D39" s="13">
        <f>VLOOKUP($B39,Sheet1!$B$4:$K$41,MATCH(Discretization!D$4,Sheet1!$B$3:$K$3,0),FALSE)</f>
        <v>121.9</v>
      </c>
      <c r="E39" s="13" t="str">
        <f>VLOOKUP($B39,Sheet1!$B$4:$K$41,MATCH(Discretization!E$4,Sheet1!$B$3:$K$3,0),FALSE)</f>
        <v>NA</v>
      </c>
      <c r="F39" s="13" t="str">
        <f>VLOOKUP($B39,Sheet1!$B$4:$K$41,MATCH(Discretization!F$4,Sheet1!$B$3:$K$3,0),FALSE)</f>
        <v>Yes</v>
      </c>
      <c r="G39" s="13" t="str">
        <f>VLOOKUP($B39,Sheet1!$B$4:$K$41,MATCH(Discretization!G$4,Sheet1!$B$3:$K$3,0),FALSE)</f>
        <v>No</v>
      </c>
      <c r="I39" s="15">
        <v>70</v>
      </c>
      <c r="J39" s="13">
        <f t="shared" si="0"/>
        <v>1</v>
      </c>
      <c r="K39" s="13">
        <f t="shared" si="1"/>
        <v>0</v>
      </c>
      <c r="L39" s="13" t="str">
        <f t="shared" si="2"/>
        <v>NA</v>
      </c>
      <c r="M39" s="13">
        <f t="shared" si="3"/>
        <v>0</v>
      </c>
      <c r="N39" s="13">
        <f t="shared" si="4"/>
        <v>0</v>
      </c>
    </row>
    <row r="40" spans="2:14" x14ac:dyDescent="0.2">
      <c r="B40" s="15">
        <v>74</v>
      </c>
      <c r="C40" s="13">
        <f>VLOOKUP($B40,Sheet1!$B$4:$K$41,MATCH(Discretization!C$4,Sheet1!$B$3:$K$3,0),FALSE)</f>
        <v>2400</v>
      </c>
      <c r="D40" s="13">
        <f>VLOOKUP($B40,Sheet1!$B$4:$K$41,MATCH(Discretization!D$4,Sheet1!$B$3:$K$3,0),FALSE)</f>
        <v>723.7</v>
      </c>
      <c r="E40" s="13">
        <f>VLOOKUP($B40,Sheet1!$B$4:$K$41,MATCH(Discretization!E$4,Sheet1!$B$3:$K$3,0),FALSE)</f>
        <v>500</v>
      </c>
      <c r="F40" s="13" t="str">
        <f>VLOOKUP($B40,Sheet1!$B$4:$K$41,MATCH(Discretization!F$4,Sheet1!$B$3:$K$3,0),FALSE)</f>
        <v>Yes</v>
      </c>
      <c r="G40" s="13" t="str">
        <f>VLOOKUP($B40,Sheet1!$B$4:$K$41,MATCH(Discretization!G$4,Sheet1!$B$3:$K$3,0),FALSE)</f>
        <v>Inconclusive</v>
      </c>
      <c r="I40" s="15">
        <v>74</v>
      </c>
      <c r="J40" s="13">
        <f t="shared" si="0"/>
        <v>1</v>
      </c>
      <c r="K40" s="13">
        <f t="shared" si="1"/>
        <v>1</v>
      </c>
      <c r="L40" s="13">
        <f t="shared" si="2"/>
        <v>1</v>
      </c>
      <c r="M40" s="13">
        <f t="shared" si="3"/>
        <v>0</v>
      </c>
      <c r="N40" s="13">
        <f t="shared" si="4"/>
        <v>0</v>
      </c>
    </row>
    <row r="41" spans="2:14" x14ac:dyDescent="0.2">
      <c r="B41" s="15">
        <v>72</v>
      </c>
      <c r="C41" s="13">
        <f>VLOOKUP($B41,Sheet1!$B$4:$K$41,MATCH(Discretization!C$4,Sheet1!$B$3:$K$3,0),FALSE)</f>
        <v>1163</v>
      </c>
      <c r="D41" s="13">
        <f>VLOOKUP($B41,Sheet1!$B$4:$K$41,MATCH(Discretization!D$4,Sheet1!$B$3:$K$3,0),FALSE)</f>
        <v>199.7</v>
      </c>
      <c r="E41" s="13">
        <f>VLOOKUP($B41,Sheet1!$B$4:$K$41,MATCH(Discretization!E$4,Sheet1!$B$3:$K$3,0),FALSE)</f>
        <v>150</v>
      </c>
      <c r="F41" s="13" t="str">
        <f>VLOOKUP($B41,Sheet1!$B$4:$K$41,MATCH(Discretization!F$4,Sheet1!$B$3:$K$3,0),FALSE)</f>
        <v>Yes</v>
      </c>
      <c r="G41" s="13" t="str">
        <f>VLOOKUP($B41,Sheet1!$B$4:$K$41,MATCH(Discretization!G$4,Sheet1!$B$3:$K$3,0),FALSE)</f>
        <v>No</v>
      </c>
      <c r="I41" s="15">
        <v>72</v>
      </c>
      <c r="J41" s="13">
        <f t="shared" si="0"/>
        <v>1</v>
      </c>
      <c r="K41" s="13">
        <f t="shared" si="1"/>
        <v>0</v>
      </c>
      <c r="L41" s="13">
        <f t="shared" si="2"/>
        <v>0</v>
      </c>
      <c r="M41" s="13">
        <f t="shared" si="3"/>
        <v>0</v>
      </c>
      <c r="N41" s="13">
        <f t="shared" si="4"/>
        <v>0</v>
      </c>
    </row>
    <row r="42" spans="2:14" x14ac:dyDescent="0.2">
      <c r="B42" s="15">
        <v>68</v>
      </c>
      <c r="C42" s="13">
        <f>VLOOKUP($B42,Sheet1!$B$4:$K$41,MATCH(Discretization!C$4,Sheet1!$B$3:$K$3,0),FALSE)</f>
        <v>180</v>
      </c>
      <c r="D42" s="13">
        <f>VLOOKUP($B42,Sheet1!$B$4:$K$41,MATCH(Discretization!D$4,Sheet1!$B$3:$K$3,0),FALSE)</f>
        <v>32.6</v>
      </c>
      <c r="E42" s="13">
        <f>VLOOKUP($B42,Sheet1!$B$4:$K$41,MATCH(Discretization!E$4,Sheet1!$B$3:$K$3,0),FALSE)</f>
        <v>100</v>
      </c>
      <c r="F42" s="13" t="str">
        <f>VLOOKUP($B42,Sheet1!$B$4:$K$41,MATCH(Discretization!F$4,Sheet1!$B$3:$K$3,0),FALSE)</f>
        <v>Yes</v>
      </c>
      <c r="G42" s="13" t="str">
        <f>VLOOKUP($B42,Sheet1!$B$4:$K$41,MATCH(Discretization!G$4,Sheet1!$B$3:$K$3,0),FALSE)</f>
        <v>No</v>
      </c>
      <c r="I42" s="15">
        <v>68</v>
      </c>
      <c r="J42" s="13">
        <f t="shared" si="0"/>
        <v>0</v>
      </c>
      <c r="K42" s="13">
        <f t="shared" si="1"/>
        <v>0</v>
      </c>
      <c r="L42" s="13">
        <f t="shared" si="2"/>
        <v>0</v>
      </c>
      <c r="M42" s="13">
        <f t="shared" si="3"/>
        <v>0</v>
      </c>
      <c r="N42" s="13">
        <f>IF(G42="Yes",1,0)</f>
        <v>0</v>
      </c>
    </row>
    <row r="44" spans="2:14" x14ac:dyDescent="0.2">
      <c r="B44" s="14" t="s">
        <v>14</v>
      </c>
    </row>
    <row r="45" spans="2:14" ht="22.5" x14ac:dyDescent="0.2">
      <c r="B45" s="12" t="str" cm="1">
        <f t="array" ref="B45:G45">B4:G4</f>
        <v>No</v>
      </c>
      <c r="C45" s="12" t="str">
        <v>Depth (m)</v>
      </c>
      <c r="D45" s="12" t="str">
        <v>CO2 Density (kg/m3)</v>
      </c>
      <c r="E45" s="12" t="str">
        <v>Seal Thickness (m)</v>
      </c>
      <c r="F45" s="12" t="str">
        <v>Fault</v>
      </c>
      <c r="G45" s="12" t="str">
        <v>Secure</v>
      </c>
      <c r="I45" s="12" t="str" cm="1">
        <f t="array" ref="I45:N45">B45:G45</f>
        <v>No</v>
      </c>
      <c r="J45" s="12" t="str">
        <v>Depth (m)</v>
      </c>
      <c r="K45" s="12" t="str">
        <v>CO2 Density (kg/m3)</v>
      </c>
      <c r="L45" s="12" t="str">
        <v>Seal Thickness (m)</v>
      </c>
      <c r="M45" s="12" t="str">
        <v>Fault</v>
      </c>
      <c r="N45" s="13" t="str">
        <v>Secure</v>
      </c>
    </row>
    <row r="46" spans="2:14" x14ac:dyDescent="0.2">
      <c r="B46" s="15" cm="1">
        <f t="array" ref="B46:B83">Sheet1!B45:B82</f>
        <v>22</v>
      </c>
      <c r="C46" s="13">
        <f>VLOOKUP($B46,Sheet1!$B$45:$K$82,MATCH(Discretization!C$45,Sheet1!$B$44:$K$44,0),FALSE)</f>
        <v>1234</v>
      </c>
      <c r="D46" s="13">
        <f>VLOOKUP($B46,Sheet1!$B$45:$K$82,MATCH(Discretization!D$45,Sheet1!$B$44:$K$44,0),FALSE)</f>
        <v>141</v>
      </c>
      <c r="E46" s="13" t="str">
        <f>VLOOKUP($B46,Sheet1!$B$45:$K$82,MATCH(Discretization!E$45,Sheet1!$B$44:$K$44,0),FALSE)</f>
        <v>NA</v>
      </c>
      <c r="F46" s="13" t="str">
        <f>VLOOKUP($B46,Sheet1!$B$45:$K$82,MATCH(Discretization!F$45,Sheet1!$B$44:$K$44,0),FALSE)</f>
        <v>NA</v>
      </c>
      <c r="G46" s="13" t="str">
        <f>VLOOKUP($B46,Sheet1!$B$45:$K$82,MATCH(Discretization!G$45,Sheet1!$B$44:$K$44,0),FALSE)</f>
        <v>Yes</v>
      </c>
      <c r="I46" s="15" cm="1">
        <f t="array" ref="I46:I83">_xlfn.ANCHORARRAY(B46)</f>
        <v>22</v>
      </c>
      <c r="J46" s="13">
        <f>IF(C46="NA","NA",IF(OR(C46&lt;$J$1,C46&gt;$J$2),0,1))</f>
        <v>1</v>
      </c>
      <c r="K46" s="13">
        <f>IF(D46="NA","NA",IF(D46&gt;$K$1,1,0))</f>
        <v>0</v>
      </c>
      <c r="L46" s="13" t="str">
        <f>IF(E46="NA","NA",IF(E46&gt;$L$1,1,0))</f>
        <v>NA</v>
      </c>
      <c r="M46" s="13" t="str">
        <f>IF(F46="NA","NA",IF(F46="Yes",0,1))</f>
        <v>NA</v>
      </c>
      <c r="N46" s="13">
        <f>IF(G46="Yes",1,0)</f>
        <v>1</v>
      </c>
    </row>
    <row r="47" spans="2:14" x14ac:dyDescent="0.2">
      <c r="B47" s="15">
        <v>26</v>
      </c>
      <c r="C47" s="13">
        <f>VLOOKUP($B47,Sheet1!$B$45:$K$82,MATCH(Discretization!C$45,Sheet1!$B$44:$K$44,0),FALSE)</f>
        <v>2715</v>
      </c>
      <c r="D47" s="13">
        <f>VLOOKUP($B47,Sheet1!$B$45:$K$82,MATCH(Discretization!D$45,Sheet1!$B$44:$K$44,0),FALSE)</f>
        <v>621.20000000000005</v>
      </c>
      <c r="E47" s="13">
        <f>VLOOKUP($B47,Sheet1!$B$45:$K$82,MATCH(Discretization!E$45,Sheet1!$B$44:$K$44,0),FALSE)</f>
        <v>600</v>
      </c>
      <c r="F47" s="13" t="str">
        <f>VLOOKUP($B47,Sheet1!$B$45:$K$82,MATCH(Discretization!F$45,Sheet1!$B$44:$K$44,0),FALSE)</f>
        <v>No</v>
      </c>
      <c r="G47" s="13" t="str">
        <f>VLOOKUP($B47,Sheet1!$B$45:$K$82,MATCH(Discretization!G$45,Sheet1!$B$44:$K$44,0),FALSE)</f>
        <v>Yes</v>
      </c>
      <c r="I47" s="15">
        <v>26</v>
      </c>
      <c r="J47" s="13">
        <f t="shared" ref="J47:J83" si="5">IF(C47="NA","NA",IF(OR(C47&lt;$J$1,C47&gt;$J$2),0,1))</f>
        <v>0</v>
      </c>
      <c r="K47" s="13">
        <f t="shared" ref="K47:K83" si="6">IF(D47="NA","NA",IF(D47&gt;$K$1,1,0))</f>
        <v>1</v>
      </c>
      <c r="L47" s="13">
        <f t="shared" ref="L47:L83" si="7">IF(E47="NA","NA",IF(E47&gt;$L$1,1,0))</f>
        <v>1</v>
      </c>
      <c r="M47" s="13">
        <f t="shared" ref="M47:M83" si="8">IF(F47="NA","NA",IF(F47="Yes",0,1))</f>
        <v>1</v>
      </c>
      <c r="N47" s="13">
        <f t="shared" ref="N47:N83" si="9">IF(G47="Yes",1,0)</f>
        <v>1</v>
      </c>
    </row>
    <row r="48" spans="2:14" x14ac:dyDescent="0.2">
      <c r="B48" s="15">
        <v>42</v>
      </c>
      <c r="C48" s="13">
        <f>VLOOKUP($B48,Sheet1!$B$45:$K$82,MATCH(Discretization!C$45,Sheet1!$B$44:$K$44,0),FALSE)</f>
        <v>3350</v>
      </c>
      <c r="D48" s="13">
        <f>VLOOKUP($B48,Sheet1!$B$45:$K$82,MATCH(Discretization!D$45,Sheet1!$B$44:$K$44,0),FALSE)</f>
        <v>700.3</v>
      </c>
      <c r="E48" s="13">
        <f>VLOOKUP($B48,Sheet1!$B$45:$K$82,MATCH(Discretization!E$45,Sheet1!$B$44:$K$44,0),FALSE)</f>
        <v>250</v>
      </c>
      <c r="F48" s="13" t="str">
        <f>VLOOKUP($B48,Sheet1!$B$45:$K$82,MATCH(Discretization!F$45,Sheet1!$B$44:$K$44,0),FALSE)</f>
        <v>Yes</v>
      </c>
      <c r="G48" s="13" t="str">
        <f>VLOOKUP($B48,Sheet1!$B$45:$K$82,MATCH(Discretization!G$45,Sheet1!$B$44:$K$44,0),FALSE)</f>
        <v>Yes</v>
      </c>
      <c r="I48" s="15">
        <v>42</v>
      </c>
      <c r="J48" s="13">
        <f t="shared" si="5"/>
        <v>0</v>
      </c>
      <c r="K48" s="13">
        <f t="shared" si="6"/>
        <v>1</v>
      </c>
      <c r="L48" s="13">
        <f t="shared" si="7"/>
        <v>1</v>
      </c>
      <c r="M48" s="13">
        <f t="shared" si="8"/>
        <v>0</v>
      </c>
      <c r="N48" s="13">
        <f t="shared" si="9"/>
        <v>1</v>
      </c>
    </row>
    <row r="49" spans="2:14" x14ac:dyDescent="0.2">
      <c r="B49" s="15">
        <v>30</v>
      </c>
      <c r="C49" s="13">
        <f>VLOOKUP($B49,Sheet1!$B$45:$K$82,MATCH(Discretization!C$45,Sheet1!$B$44:$K$44,0),FALSE)</f>
        <v>3200</v>
      </c>
      <c r="D49" s="13">
        <f>VLOOKUP($B49,Sheet1!$B$45:$K$82,MATCH(Discretization!D$45,Sheet1!$B$44:$K$44,0),FALSE)</f>
        <v>451.6</v>
      </c>
      <c r="E49" s="13" t="str">
        <f>VLOOKUP($B49,Sheet1!$B$45:$K$82,MATCH(Discretization!E$45,Sheet1!$B$44:$K$44,0),FALSE)</f>
        <v>NA</v>
      </c>
      <c r="F49" s="13" t="str">
        <f>VLOOKUP($B49,Sheet1!$B$45:$K$82,MATCH(Discretization!F$45,Sheet1!$B$44:$K$44,0),FALSE)</f>
        <v>NA</v>
      </c>
      <c r="G49" s="13" t="str">
        <f>VLOOKUP($B49,Sheet1!$B$45:$K$82,MATCH(Discretization!G$45,Sheet1!$B$44:$K$44,0),FALSE)</f>
        <v>Yes</v>
      </c>
      <c r="I49" s="15">
        <v>30</v>
      </c>
      <c r="J49" s="13">
        <f t="shared" si="5"/>
        <v>0</v>
      </c>
      <c r="K49" s="13">
        <f t="shared" si="6"/>
        <v>1</v>
      </c>
      <c r="L49" s="13" t="str">
        <f t="shared" si="7"/>
        <v>NA</v>
      </c>
      <c r="M49" s="13" t="str">
        <f t="shared" si="8"/>
        <v>NA</v>
      </c>
      <c r="N49" s="13">
        <f t="shared" si="9"/>
        <v>1</v>
      </c>
    </row>
    <row r="50" spans="2:14" x14ac:dyDescent="0.2">
      <c r="B50" s="15">
        <v>19</v>
      </c>
      <c r="C50" s="13">
        <f>VLOOKUP($B50,Sheet1!$B$45:$K$82,MATCH(Discretization!C$45,Sheet1!$B$44:$K$44,0),FALSE)</f>
        <v>710</v>
      </c>
      <c r="D50" s="13">
        <f>VLOOKUP($B50,Sheet1!$B$45:$K$82,MATCH(Discretization!D$45,Sheet1!$B$44:$K$44,0),FALSE)</f>
        <v>16.7</v>
      </c>
      <c r="E50" s="13">
        <f>VLOOKUP($B50,Sheet1!$B$45:$K$82,MATCH(Discretization!E$45,Sheet1!$B$44:$K$44,0),FALSE)</f>
        <v>45</v>
      </c>
      <c r="F50" s="13" t="str">
        <f>VLOOKUP($B50,Sheet1!$B$45:$K$82,MATCH(Discretization!F$45,Sheet1!$B$44:$K$44,0),FALSE)</f>
        <v>No</v>
      </c>
      <c r="G50" s="13" t="str">
        <f>VLOOKUP($B50,Sheet1!$B$45:$K$82,MATCH(Discretization!G$45,Sheet1!$B$44:$K$44,0),FALSE)</f>
        <v>Yes</v>
      </c>
      <c r="I50" s="15">
        <v>19</v>
      </c>
      <c r="J50" s="13">
        <f t="shared" si="5"/>
        <v>0</v>
      </c>
      <c r="K50" s="13">
        <f t="shared" si="6"/>
        <v>0</v>
      </c>
      <c r="L50" s="13">
        <f t="shared" si="7"/>
        <v>0</v>
      </c>
      <c r="M50" s="13">
        <f t="shared" si="8"/>
        <v>1</v>
      </c>
      <c r="N50" s="13">
        <f t="shared" si="9"/>
        <v>1</v>
      </c>
    </row>
    <row r="51" spans="2:14" x14ac:dyDescent="0.2">
      <c r="B51" s="15">
        <v>29</v>
      </c>
      <c r="C51" s="13">
        <f>VLOOKUP($B51,Sheet1!$B$45:$K$82,MATCH(Discretization!C$45,Sheet1!$B$44:$K$44,0),FALSE)</f>
        <v>2700</v>
      </c>
      <c r="D51" s="13">
        <f>VLOOKUP($B51,Sheet1!$B$45:$K$82,MATCH(Discretization!D$45,Sheet1!$B$44:$K$44,0),FALSE)</f>
        <v>559.70000000000005</v>
      </c>
      <c r="E51" s="13" t="str">
        <f>VLOOKUP($B51,Sheet1!$B$45:$K$82,MATCH(Discretization!E$45,Sheet1!$B$44:$K$44,0),FALSE)</f>
        <v>NA</v>
      </c>
      <c r="F51" s="13" t="str">
        <f>VLOOKUP($B51,Sheet1!$B$45:$K$82,MATCH(Discretization!F$45,Sheet1!$B$44:$K$44,0),FALSE)</f>
        <v>Yes</v>
      </c>
      <c r="G51" s="13" t="str">
        <f>VLOOKUP($B51,Sheet1!$B$45:$K$82,MATCH(Discretization!G$45,Sheet1!$B$44:$K$44,0),FALSE)</f>
        <v>Yes</v>
      </c>
      <c r="I51" s="15">
        <v>29</v>
      </c>
      <c r="J51" s="13">
        <f t="shared" si="5"/>
        <v>0</v>
      </c>
      <c r="K51" s="13">
        <f t="shared" si="6"/>
        <v>1</v>
      </c>
      <c r="L51" s="13" t="str">
        <f t="shared" si="7"/>
        <v>NA</v>
      </c>
      <c r="M51" s="13">
        <f t="shared" si="8"/>
        <v>0</v>
      </c>
      <c r="N51" s="13">
        <f t="shared" si="9"/>
        <v>1</v>
      </c>
    </row>
    <row r="52" spans="2:14" x14ac:dyDescent="0.2">
      <c r="B52" s="15">
        <v>50</v>
      </c>
      <c r="C52" s="13">
        <f>VLOOKUP($B52,Sheet1!$B$45:$K$82,MATCH(Discretization!C$45,Sheet1!$B$44:$K$44,0),FALSE)</f>
        <v>3000</v>
      </c>
      <c r="D52" s="13">
        <f>VLOOKUP($B52,Sheet1!$B$45:$K$82,MATCH(Discretization!D$45,Sheet1!$B$44:$K$44,0),FALSE)</f>
        <v>795.8</v>
      </c>
      <c r="E52" s="13">
        <f>VLOOKUP($B52,Sheet1!$B$45:$K$82,MATCH(Discretization!E$45,Sheet1!$B$44:$K$44,0),FALSE)</f>
        <v>3000</v>
      </c>
      <c r="F52" s="13" t="str">
        <f>VLOOKUP($B52,Sheet1!$B$45:$K$82,MATCH(Discretization!F$45,Sheet1!$B$44:$K$44,0),FALSE)</f>
        <v>No</v>
      </c>
      <c r="G52" s="13" t="str">
        <f>VLOOKUP($B52,Sheet1!$B$45:$K$82,MATCH(Discretization!G$45,Sheet1!$B$44:$K$44,0),FALSE)</f>
        <v>Yes</v>
      </c>
      <c r="I52" s="15">
        <v>50</v>
      </c>
      <c r="J52" s="13">
        <f t="shared" si="5"/>
        <v>0</v>
      </c>
      <c r="K52" s="13">
        <f t="shared" si="6"/>
        <v>1</v>
      </c>
      <c r="L52" s="13">
        <f t="shared" si="7"/>
        <v>1</v>
      </c>
      <c r="M52" s="13">
        <f t="shared" si="8"/>
        <v>1</v>
      </c>
      <c r="N52" s="13">
        <f t="shared" si="9"/>
        <v>1</v>
      </c>
    </row>
    <row r="53" spans="2:14" x14ac:dyDescent="0.2">
      <c r="B53" s="15">
        <v>52</v>
      </c>
      <c r="C53" s="13">
        <f>VLOOKUP($B53,Sheet1!$B$45:$K$82,MATCH(Discretization!C$45,Sheet1!$B$44:$K$44,0),FALSE)</f>
        <v>2791</v>
      </c>
      <c r="D53" s="13">
        <f>VLOOKUP($B53,Sheet1!$B$45:$K$82,MATCH(Discretization!D$45,Sheet1!$B$44:$K$44,0),FALSE)</f>
        <v>665.5</v>
      </c>
      <c r="E53" s="13">
        <f>VLOOKUP($B53,Sheet1!$B$45:$K$82,MATCH(Discretization!E$45,Sheet1!$B$44:$K$44,0),FALSE)</f>
        <v>200</v>
      </c>
      <c r="F53" s="13" t="str">
        <f>VLOOKUP($B53,Sheet1!$B$45:$K$82,MATCH(Discretization!F$45,Sheet1!$B$44:$K$44,0),FALSE)</f>
        <v>No</v>
      </c>
      <c r="G53" s="13" t="str">
        <f>VLOOKUP($B53,Sheet1!$B$45:$K$82,MATCH(Discretization!G$45,Sheet1!$B$44:$K$44,0),FALSE)</f>
        <v>Yes</v>
      </c>
      <c r="I53" s="15">
        <v>52</v>
      </c>
      <c r="J53" s="13">
        <f t="shared" si="5"/>
        <v>0</v>
      </c>
      <c r="K53" s="13">
        <f t="shared" si="6"/>
        <v>1</v>
      </c>
      <c r="L53" s="13">
        <f t="shared" si="7"/>
        <v>1</v>
      </c>
      <c r="M53" s="13">
        <f t="shared" si="8"/>
        <v>1</v>
      </c>
      <c r="N53" s="13">
        <f t="shared" si="9"/>
        <v>1</v>
      </c>
    </row>
    <row r="54" spans="2:14" x14ac:dyDescent="0.2">
      <c r="B54" s="15">
        <v>55</v>
      </c>
      <c r="C54" s="13">
        <f>VLOOKUP($B54,Sheet1!$B$45:$K$82,MATCH(Discretization!C$45,Sheet1!$B$44:$K$44,0),FALSE)</f>
        <v>1362.5</v>
      </c>
      <c r="D54" s="13">
        <f>VLOOKUP($B54,Sheet1!$B$45:$K$82,MATCH(Discretization!D$45,Sheet1!$B$44:$K$44,0),FALSE)</f>
        <v>516.29999999999995</v>
      </c>
      <c r="E54" s="13">
        <f>VLOOKUP($B54,Sheet1!$B$45:$K$82,MATCH(Discretization!E$45,Sheet1!$B$44:$K$44,0),FALSE)</f>
        <v>200</v>
      </c>
      <c r="F54" s="13" t="str">
        <f>VLOOKUP($B54,Sheet1!$B$45:$K$82,MATCH(Discretization!F$45,Sheet1!$B$44:$K$44,0),FALSE)</f>
        <v>Yes</v>
      </c>
      <c r="G54" s="13" t="str">
        <f>VLOOKUP($B54,Sheet1!$B$45:$K$82,MATCH(Discretization!G$45,Sheet1!$B$44:$K$44,0),FALSE)</f>
        <v>Yes</v>
      </c>
      <c r="I54" s="15">
        <v>55</v>
      </c>
      <c r="J54" s="13">
        <f t="shared" si="5"/>
        <v>1</v>
      </c>
      <c r="K54" s="13">
        <f t="shared" si="6"/>
        <v>1</v>
      </c>
      <c r="L54" s="13">
        <f t="shared" si="7"/>
        <v>1</v>
      </c>
      <c r="M54" s="13">
        <f t="shared" si="8"/>
        <v>0</v>
      </c>
      <c r="N54" s="13">
        <f t="shared" si="9"/>
        <v>1</v>
      </c>
    </row>
    <row r="55" spans="2:14" x14ac:dyDescent="0.2">
      <c r="B55" s="15">
        <v>56</v>
      </c>
      <c r="C55" s="13">
        <f>VLOOKUP($B55,Sheet1!$B$45:$K$82,MATCH(Discretization!C$45,Sheet1!$B$44:$K$44,0),FALSE)</f>
        <v>2051.3000000000002</v>
      </c>
      <c r="D55" s="13">
        <f>VLOOKUP($B55,Sheet1!$B$45:$K$82,MATCH(Discretization!D$45,Sheet1!$B$44:$K$44,0),FALSE)</f>
        <v>723</v>
      </c>
      <c r="E55" s="13" t="str">
        <f>VLOOKUP($B55,Sheet1!$B$45:$K$82,MATCH(Discretization!E$45,Sheet1!$B$44:$K$44,0),FALSE)</f>
        <v>NA</v>
      </c>
      <c r="F55" s="13" t="str">
        <f>VLOOKUP($B55,Sheet1!$B$45:$K$82,MATCH(Discretization!F$45,Sheet1!$B$44:$K$44,0),FALSE)</f>
        <v>NA</v>
      </c>
      <c r="G55" s="13" t="str">
        <f>VLOOKUP($B55,Sheet1!$B$45:$K$82,MATCH(Discretization!G$45,Sheet1!$B$44:$K$44,0),FALSE)</f>
        <v>Yes</v>
      </c>
      <c r="I55" s="15">
        <v>56</v>
      </c>
      <c r="J55" s="13">
        <f t="shared" si="5"/>
        <v>1</v>
      </c>
      <c r="K55" s="13">
        <f t="shared" si="6"/>
        <v>1</v>
      </c>
      <c r="L55" s="13" t="str">
        <f t="shared" si="7"/>
        <v>NA</v>
      </c>
      <c r="M55" s="13" t="str">
        <f t="shared" si="8"/>
        <v>NA</v>
      </c>
      <c r="N55" s="13">
        <f t="shared" si="9"/>
        <v>1</v>
      </c>
    </row>
    <row r="56" spans="2:14" x14ac:dyDescent="0.2">
      <c r="B56" s="15">
        <v>1</v>
      </c>
      <c r="C56" s="13">
        <f>VLOOKUP($B56,Sheet1!$B$45:$K$82,MATCH(Discretization!C$45,Sheet1!$B$44:$K$44,0),FALSE)</f>
        <v>2438</v>
      </c>
      <c r="D56" s="13">
        <f>VLOOKUP($B56,Sheet1!$B$45:$K$82,MATCH(Discretization!D$45,Sheet1!$B$44:$K$44,0),FALSE)</f>
        <v>619.70000000000005</v>
      </c>
      <c r="E56" s="13">
        <f>VLOOKUP($B56,Sheet1!$B$45:$K$82,MATCH(Discretization!E$45,Sheet1!$B$44:$K$44,0),FALSE)</f>
        <v>400</v>
      </c>
      <c r="F56" s="13" t="str">
        <f>VLOOKUP($B56,Sheet1!$B$45:$K$82,MATCH(Discretization!F$45,Sheet1!$B$44:$K$44,0),FALSE)</f>
        <v>No</v>
      </c>
      <c r="G56" s="13" t="str">
        <f>VLOOKUP($B56,Sheet1!$B$45:$K$82,MATCH(Discretization!G$45,Sheet1!$B$44:$K$44,0),FALSE)</f>
        <v>Yes</v>
      </c>
      <c r="I56" s="15">
        <v>1</v>
      </c>
      <c r="J56" s="13">
        <f t="shared" si="5"/>
        <v>1</v>
      </c>
      <c r="K56" s="13">
        <f t="shared" si="6"/>
        <v>1</v>
      </c>
      <c r="L56" s="13">
        <f t="shared" si="7"/>
        <v>1</v>
      </c>
      <c r="M56" s="13">
        <f t="shared" si="8"/>
        <v>1</v>
      </c>
      <c r="N56" s="13">
        <f t="shared" si="9"/>
        <v>1</v>
      </c>
    </row>
    <row r="57" spans="2:14" x14ac:dyDescent="0.2">
      <c r="B57" s="15">
        <v>61</v>
      </c>
      <c r="C57" s="13">
        <f>VLOOKUP($B57,Sheet1!$B$45:$K$82,MATCH(Discretization!C$45,Sheet1!$B$44:$K$44,0),FALSE)</f>
        <v>2500</v>
      </c>
      <c r="D57" s="13">
        <f>VLOOKUP($B57,Sheet1!$B$45:$K$82,MATCH(Discretization!D$45,Sheet1!$B$44:$K$44,0),FALSE)</f>
        <v>712</v>
      </c>
      <c r="E57" s="13" t="str">
        <f>VLOOKUP($B57,Sheet1!$B$45:$K$82,MATCH(Discretization!E$45,Sheet1!$B$44:$K$44,0),FALSE)</f>
        <v>NA</v>
      </c>
      <c r="F57" s="13" t="str">
        <f>VLOOKUP($B57,Sheet1!$B$45:$K$82,MATCH(Discretization!F$45,Sheet1!$B$44:$K$44,0),FALSE)</f>
        <v>Yes</v>
      </c>
      <c r="G57" s="13" t="str">
        <f>VLOOKUP($B57,Sheet1!$B$45:$K$82,MATCH(Discretization!G$45,Sheet1!$B$44:$K$44,0),FALSE)</f>
        <v>Yes</v>
      </c>
      <c r="I57" s="15">
        <v>61</v>
      </c>
      <c r="J57" s="13">
        <f t="shared" si="5"/>
        <v>1</v>
      </c>
      <c r="K57" s="13">
        <f t="shared" si="6"/>
        <v>1</v>
      </c>
      <c r="L57" s="13" t="str">
        <f t="shared" si="7"/>
        <v>NA</v>
      </c>
      <c r="M57" s="13">
        <f t="shared" si="8"/>
        <v>0</v>
      </c>
      <c r="N57" s="13">
        <f t="shared" si="9"/>
        <v>1</v>
      </c>
    </row>
    <row r="58" spans="2:14" x14ac:dyDescent="0.2">
      <c r="B58" s="15">
        <v>62</v>
      </c>
      <c r="C58" s="13">
        <f>VLOOKUP($B58,Sheet1!$B$45:$K$82,MATCH(Discretization!C$45,Sheet1!$B$44:$K$44,0),FALSE)</f>
        <v>618</v>
      </c>
      <c r="D58" s="13">
        <f>VLOOKUP($B58,Sheet1!$B$45:$K$82,MATCH(Discretization!D$45,Sheet1!$B$44:$K$44,0),FALSE)</f>
        <v>544</v>
      </c>
      <c r="E58" s="13" t="str">
        <f>VLOOKUP($B58,Sheet1!$B$45:$K$82,MATCH(Discretization!E$45,Sheet1!$B$44:$K$44,0),FALSE)</f>
        <v>NA</v>
      </c>
      <c r="F58" s="13" t="str">
        <f>VLOOKUP($B58,Sheet1!$B$45:$K$82,MATCH(Discretization!F$45,Sheet1!$B$44:$K$44,0),FALSE)</f>
        <v>No</v>
      </c>
      <c r="G58" s="13" t="str">
        <f>VLOOKUP($B58,Sheet1!$B$45:$K$82,MATCH(Discretization!G$45,Sheet1!$B$44:$K$44,0),FALSE)</f>
        <v>Yes</v>
      </c>
      <c r="I58" s="15">
        <v>62</v>
      </c>
      <c r="J58" s="13">
        <f t="shared" si="5"/>
        <v>0</v>
      </c>
      <c r="K58" s="13">
        <f t="shared" si="6"/>
        <v>1</v>
      </c>
      <c r="L58" s="13" t="str">
        <f t="shared" si="7"/>
        <v>NA</v>
      </c>
      <c r="M58" s="13">
        <f t="shared" si="8"/>
        <v>1</v>
      </c>
      <c r="N58" s="13">
        <f t="shared" si="9"/>
        <v>1</v>
      </c>
    </row>
    <row r="59" spans="2:14" x14ac:dyDescent="0.2">
      <c r="B59" s="15">
        <v>63</v>
      </c>
      <c r="C59" s="13">
        <f>VLOOKUP($B59,Sheet1!$B$45:$K$82,MATCH(Discretization!C$45,Sheet1!$B$44:$K$44,0),FALSE)</f>
        <v>1716</v>
      </c>
      <c r="D59" s="13">
        <f>VLOOKUP($B59,Sheet1!$B$45:$K$82,MATCH(Discretization!D$45,Sheet1!$B$44:$K$44,0),FALSE)</f>
        <v>429.2</v>
      </c>
      <c r="E59" s="13">
        <f>VLOOKUP($B59,Sheet1!$B$45:$K$82,MATCH(Discretization!E$45,Sheet1!$B$44:$K$44,0),FALSE)</f>
        <v>300</v>
      </c>
      <c r="F59" s="13" t="str">
        <f>VLOOKUP($B59,Sheet1!$B$45:$K$82,MATCH(Discretization!F$45,Sheet1!$B$44:$K$44,0),FALSE)</f>
        <v>No</v>
      </c>
      <c r="G59" s="13" t="str">
        <f>VLOOKUP($B59,Sheet1!$B$45:$K$82,MATCH(Discretization!G$45,Sheet1!$B$44:$K$44,0),FALSE)</f>
        <v>Yes</v>
      </c>
      <c r="I59" s="15">
        <v>63</v>
      </c>
      <c r="J59" s="13">
        <f t="shared" si="5"/>
        <v>1</v>
      </c>
      <c r="K59" s="13">
        <f t="shared" si="6"/>
        <v>1</v>
      </c>
      <c r="L59" s="13">
        <f t="shared" si="7"/>
        <v>1</v>
      </c>
      <c r="M59" s="13">
        <f t="shared" si="8"/>
        <v>1</v>
      </c>
      <c r="N59" s="13">
        <f t="shared" si="9"/>
        <v>1</v>
      </c>
    </row>
    <row r="60" spans="2:14" x14ac:dyDescent="0.2">
      <c r="B60" s="15">
        <v>23</v>
      </c>
      <c r="C60" s="13">
        <f>VLOOKUP($B60,Sheet1!$B$45:$K$82,MATCH(Discretization!C$45,Sheet1!$B$44:$K$44,0),FALSE)</f>
        <v>900</v>
      </c>
      <c r="D60" s="13">
        <f>VLOOKUP($B60,Sheet1!$B$45:$K$82,MATCH(Discretization!D$45,Sheet1!$B$44:$K$44,0),FALSE)</f>
        <v>122.7</v>
      </c>
      <c r="E60" s="13">
        <f>VLOOKUP($B60,Sheet1!$B$45:$K$82,MATCH(Discretization!E$45,Sheet1!$B$44:$K$44,0),FALSE)</f>
        <v>400</v>
      </c>
      <c r="F60" s="13" t="str">
        <f>VLOOKUP($B60,Sheet1!$B$45:$K$82,MATCH(Discretization!F$45,Sheet1!$B$44:$K$44,0),FALSE)</f>
        <v>No</v>
      </c>
      <c r="G60" s="13" t="str">
        <f>VLOOKUP($B60,Sheet1!$B$45:$K$82,MATCH(Discretization!G$45,Sheet1!$B$44:$K$44,0),FALSE)</f>
        <v>Yes</v>
      </c>
      <c r="I60" s="15">
        <v>23</v>
      </c>
      <c r="J60" s="13">
        <f t="shared" si="5"/>
        <v>0</v>
      </c>
      <c r="K60" s="13">
        <f t="shared" si="6"/>
        <v>0</v>
      </c>
      <c r="L60" s="13">
        <f t="shared" si="7"/>
        <v>1</v>
      </c>
      <c r="M60" s="13">
        <f t="shared" si="8"/>
        <v>1</v>
      </c>
      <c r="N60" s="13">
        <f t="shared" si="9"/>
        <v>1</v>
      </c>
    </row>
    <row r="61" spans="2:14" x14ac:dyDescent="0.2">
      <c r="B61" s="15">
        <v>51</v>
      </c>
      <c r="C61" s="13">
        <f>VLOOKUP($B61,Sheet1!$B$45:$K$82,MATCH(Discretization!C$45,Sheet1!$B$44:$K$44,0),FALSE)</f>
        <v>2474</v>
      </c>
      <c r="D61" s="13">
        <f>VLOOKUP($B61,Sheet1!$B$45:$K$82,MATCH(Discretization!D$45,Sheet1!$B$44:$K$44,0),FALSE)</f>
        <v>565.1</v>
      </c>
      <c r="E61" s="13" t="str">
        <f>VLOOKUP($B61,Sheet1!$B$45:$K$82,MATCH(Discretization!E$45,Sheet1!$B$44:$K$44,0),FALSE)</f>
        <v>NA</v>
      </c>
      <c r="F61" s="13" t="str">
        <f>VLOOKUP($B61,Sheet1!$B$45:$K$82,MATCH(Discretization!F$45,Sheet1!$B$44:$K$44,0),FALSE)</f>
        <v>Yes</v>
      </c>
      <c r="G61" s="13" t="str">
        <f>VLOOKUP($B61,Sheet1!$B$45:$K$82,MATCH(Discretization!G$45,Sheet1!$B$44:$K$44,0),FALSE)</f>
        <v>Yes</v>
      </c>
      <c r="I61" s="15">
        <v>51</v>
      </c>
      <c r="J61" s="13">
        <f t="shared" si="5"/>
        <v>1</v>
      </c>
      <c r="K61" s="13">
        <f t="shared" si="6"/>
        <v>1</v>
      </c>
      <c r="L61" s="13" t="str">
        <f t="shared" si="7"/>
        <v>NA</v>
      </c>
      <c r="M61" s="13">
        <f t="shared" si="8"/>
        <v>0</v>
      </c>
      <c r="N61" s="13">
        <f t="shared" si="9"/>
        <v>1</v>
      </c>
    </row>
    <row r="62" spans="2:14" x14ac:dyDescent="0.2">
      <c r="B62" s="15">
        <v>64</v>
      </c>
      <c r="C62" s="13">
        <f>VLOOKUP($B62,Sheet1!$B$45:$K$82,MATCH(Discretization!C$45,Sheet1!$B$44:$K$44,0),FALSE)</f>
        <v>3799.9</v>
      </c>
      <c r="D62" s="13">
        <f>VLOOKUP($B62,Sheet1!$B$45:$K$82,MATCH(Discretization!D$45,Sheet1!$B$44:$K$44,0),FALSE)</f>
        <v>625.9</v>
      </c>
      <c r="E62" s="13">
        <f>VLOOKUP($B62,Sheet1!$B$45:$K$82,MATCH(Discretization!E$45,Sheet1!$B$44:$K$44,0),FALSE)</f>
        <v>500</v>
      </c>
      <c r="F62" s="13" t="str">
        <f>VLOOKUP($B62,Sheet1!$B$45:$K$82,MATCH(Discretization!F$45,Sheet1!$B$44:$K$44,0),FALSE)</f>
        <v>NA</v>
      </c>
      <c r="G62" s="13" t="str">
        <f>VLOOKUP($B62,Sheet1!$B$45:$K$82,MATCH(Discretization!G$45,Sheet1!$B$44:$K$44,0),FALSE)</f>
        <v>Yes</v>
      </c>
      <c r="I62" s="15">
        <v>64</v>
      </c>
      <c r="J62" s="13">
        <f t="shared" si="5"/>
        <v>0</v>
      </c>
      <c r="K62" s="13">
        <f t="shared" si="6"/>
        <v>1</v>
      </c>
      <c r="L62" s="13">
        <f t="shared" si="7"/>
        <v>1</v>
      </c>
      <c r="M62" s="13" t="str">
        <f t="shared" si="8"/>
        <v>NA</v>
      </c>
      <c r="N62" s="13">
        <f t="shared" si="9"/>
        <v>1</v>
      </c>
    </row>
    <row r="63" spans="2:14" x14ac:dyDescent="0.2">
      <c r="B63" s="15">
        <v>65</v>
      </c>
      <c r="C63" s="13">
        <f>VLOOKUP($B63,Sheet1!$B$45:$K$82,MATCH(Discretization!C$45,Sheet1!$B$44:$K$44,0),FALSE)</f>
        <v>1832</v>
      </c>
      <c r="D63" s="13">
        <f>VLOOKUP($B63,Sheet1!$B$45:$K$82,MATCH(Discretization!D$45,Sheet1!$B$44:$K$44,0),FALSE)</f>
        <v>476.5</v>
      </c>
      <c r="E63" s="13">
        <f>VLOOKUP($B63,Sheet1!$B$45:$K$82,MATCH(Discretization!E$45,Sheet1!$B$44:$K$44,0),FALSE)</f>
        <v>300</v>
      </c>
      <c r="F63" s="13" t="str">
        <f>VLOOKUP($B63,Sheet1!$B$45:$K$82,MATCH(Discretization!F$45,Sheet1!$B$44:$K$44,0),FALSE)</f>
        <v>Yes</v>
      </c>
      <c r="G63" s="13" t="str">
        <f>VLOOKUP($B63,Sheet1!$B$45:$K$82,MATCH(Discretization!G$45,Sheet1!$B$44:$K$44,0),FALSE)</f>
        <v>Yes</v>
      </c>
      <c r="I63" s="15">
        <v>65</v>
      </c>
      <c r="J63" s="13">
        <f t="shared" si="5"/>
        <v>1</v>
      </c>
      <c r="K63" s="13">
        <f t="shared" si="6"/>
        <v>1</v>
      </c>
      <c r="L63" s="13">
        <f t="shared" si="7"/>
        <v>1</v>
      </c>
      <c r="M63" s="13">
        <f t="shared" si="8"/>
        <v>0</v>
      </c>
      <c r="N63" s="13">
        <f t="shared" si="9"/>
        <v>1</v>
      </c>
    </row>
    <row r="64" spans="2:14" x14ac:dyDescent="0.2">
      <c r="B64" s="15">
        <v>44</v>
      </c>
      <c r="C64" s="13">
        <f>VLOOKUP($B64,Sheet1!$B$45:$K$82,MATCH(Discretization!C$45,Sheet1!$B$44:$K$44,0),FALSE)</f>
        <v>2063</v>
      </c>
      <c r="D64" s="13">
        <f>VLOOKUP($B64,Sheet1!$B$45:$K$82,MATCH(Discretization!D$45,Sheet1!$B$44:$K$44,0),FALSE)</f>
        <v>498.3</v>
      </c>
      <c r="E64" s="13">
        <f>VLOOKUP($B64,Sheet1!$B$45:$K$82,MATCH(Discretization!E$45,Sheet1!$B$44:$K$44,0),FALSE)</f>
        <v>150</v>
      </c>
      <c r="F64" s="13" t="str">
        <f>VLOOKUP($B64,Sheet1!$B$45:$K$82,MATCH(Discretization!F$45,Sheet1!$B$44:$K$44,0),FALSE)</f>
        <v>Yes</v>
      </c>
      <c r="G64" s="13" t="str">
        <f>VLOOKUP($B64,Sheet1!$B$45:$K$82,MATCH(Discretization!G$45,Sheet1!$B$44:$K$44,0),FALSE)</f>
        <v>Yes</v>
      </c>
      <c r="I64" s="15">
        <v>44</v>
      </c>
      <c r="J64" s="13">
        <f t="shared" si="5"/>
        <v>1</v>
      </c>
      <c r="K64" s="13">
        <f t="shared" si="6"/>
        <v>1</v>
      </c>
      <c r="L64" s="13">
        <f t="shared" si="7"/>
        <v>0</v>
      </c>
      <c r="M64" s="13">
        <f t="shared" si="8"/>
        <v>0</v>
      </c>
      <c r="N64" s="13">
        <f t="shared" si="9"/>
        <v>1</v>
      </c>
    </row>
    <row r="65" spans="2:14" x14ac:dyDescent="0.2">
      <c r="B65" s="15">
        <v>66</v>
      </c>
      <c r="C65" s="13">
        <f>VLOOKUP($B65,Sheet1!$B$45:$K$82,MATCH(Discretization!C$45,Sheet1!$B$44:$K$44,0),FALSE)</f>
        <v>1486</v>
      </c>
      <c r="D65" s="13">
        <f>VLOOKUP($B65,Sheet1!$B$45:$K$82,MATCH(Discretization!D$45,Sheet1!$B$44:$K$44,0),FALSE)</f>
        <v>437.3</v>
      </c>
      <c r="E65" s="13">
        <f>VLOOKUP($B65,Sheet1!$B$45:$K$82,MATCH(Discretization!E$45,Sheet1!$B$44:$K$44,0),FALSE)</f>
        <v>300</v>
      </c>
      <c r="F65" s="13" t="str">
        <f>VLOOKUP($B65,Sheet1!$B$45:$K$82,MATCH(Discretization!F$45,Sheet1!$B$44:$K$44,0),FALSE)</f>
        <v>Yes</v>
      </c>
      <c r="G65" s="13" t="str">
        <f>VLOOKUP($B65,Sheet1!$B$45:$K$82,MATCH(Discretization!G$45,Sheet1!$B$44:$K$44,0),FALSE)</f>
        <v>Yes</v>
      </c>
      <c r="I65" s="15">
        <v>66</v>
      </c>
      <c r="J65" s="13">
        <f t="shared" si="5"/>
        <v>1</v>
      </c>
      <c r="K65" s="13">
        <f t="shared" si="6"/>
        <v>1</v>
      </c>
      <c r="L65" s="13">
        <f t="shared" si="7"/>
        <v>1</v>
      </c>
      <c r="M65" s="13">
        <f t="shared" si="8"/>
        <v>0</v>
      </c>
      <c r="N65" s="13">
        <f t="shared" si="9"/>
        <v>1</v>
      </c>
    </row>
    <row r="66" spans="2:14" x14ac:dyDescent="0.2">
      <c r="B66" s="15">
        <v>15</v>
      </c>
      <c r="C66" s="13">
        <f>VLOOKUP($B66,Sheet1!$B$45:$K$82,MATCH(Discretization!C$45,Sheet1!$B$44:$K$44,0),FALSE)</f>
        <v>1676</v>
      </c>
      <c r="D66" s="13">
        <f>VLOOKUP($B66,Sheet1!$B$45:$K$82,MATCH(Discretization!D$45,Sheet1!$B$44:$K$44,0),FALSE)</f>
        <v>732</v>
      </c>
      <c r="E66" s="13">
        <f>VLOOKUP($B66,Sheet1!$B$45:$K$82,MATCH(Discretization!E$45,Sheet1!$B$44:$K$44,0),FALSE)</f>
        <v>600</v>
      </c>
      <c r="F66" s="13" t="str">
        <f>VLOOKUP($B66,Sheet1!$B$45:$K$82,MATCH(Discretization!F$45,Sheet1!$B$44:$K$44,0),FALSE)</f>
        <v>Yes</v>
      </c>
      <c r="G66" s="13" t="str">
        <f>VLOOKUP($B66,Sheet1!$B$45:$K$82,MATCH(Discretization!G$45,Sheet1!$B$44:$K$44,0),FALSE)</f>
        <v>Yes</v>
      </c>
      <c r="I66" s="15">
        <v>15</v>
      </c>
      <c r="J66" s="13">
        <f t="shared" si="5"/>
        <v>1</v>
      </c>
      <c r="K66" s="13">
        <f t="shared" si="6"/>
        <v>1</v>
      </c>
      <c r="L66" s="13">
        <f t="shared" si="7"/>
        <v>1</v>
      </c>
      <c r="M66" s="13">
        <f t="shared" si="8"/>
        <v>0</v>
      </c>
      <c r="N66" s="13">
        <f t="shared" si="9"/>
        <v>1</v>
      </c>
    </row>
    <row r="67" spans="2:14" x14ac:dyDescent="0.2">
      <c r="B67" s="15">
        <v>39</v>
      </c>
      <c r="C67" s="13">
        <f>VLOOKUP($B67,Sheet1!$B$45:$K$82,MATCH(Discretization!C$45,Sheet1!$B$44:$K$44,0),FALSE)</f>
        <v>1980</v>
      </c>
      <c r="D67" s="13">
        <f>VLOOKUP($B67,Sheet1!$B$45:$K$82,MATCH(Discretization!D$45,Sheet1!$B$44:$K$44,0),FALSE)</f>
        <v>554.1</v>
      </c>
      <c r="E67" s="13">
        <f>VLOOKUP($B67,Sheet1!$B$45:$K$82,MATCH(Discretization!E$45,Sheet1!$B$44:$K$44,0),FALSE)</f>
        <v>100</v>
      </c>
      <c r="F67" s="13" t="str">
        <f>VLOOKUP($B67,Sheet1!$B$45:$K$82,MATCH(Discretization!F$45,Sheet1!$B$44:$K$44,0),FALSE)</f>
        <v>Yes</v>
      </c>
      <c r="G67" s="13" t="str">
        <f>VLOOKUP($B67,Sheet1!$B$45:$K$82,MATCH(Discretization!G$45,Sheet1!$B$44:$K$44,0),FALSE)</f>
        <v>Yes</v>
      </c>
      <c r="I67" s="15">
        <v>39</v>
      </c>
      <c r="J67" s="13">
        <f t="shared" si="5"/>
        <v>1</v>
      </c>
      <c r="K67" s="13">
        <f t="shared" si="6"/>
        <v>1</v>
      </c>
      <c r="L67" s="13">
        <f t="shared" si="7"/>
        <v>0</v>
      </c>
      <c r="M67" s="13">
        <f t="shared" si="8"/>
        <v>0</v>
      </c>
      <c r="N67" s="13">
        <f t="shared" si="9"/>
        <v>1</v>
      </c>
    </row>
    <row r="68" spans="2:14" x14ac:dyDescent="0.2">
      <c r="B68" s="15">
        <v>40</v>
      </c>
      <c r="C68" s="13">
        <f>VLOOKUP($B68,Sheet1!$B$45:$K$82,MATCH(Discretization!C$45,Sheet1!$B$44:$K$44,0),FALSE)</f>
        <v>1960</v>
      </c>
      <c r="D68" s="13">
        <f>VLOOKUP($B68,Sheet1!$B$45:$K$82,MATCH(Discretization!D$45,Sheet1!$B$44:$K$44,0),FALSE)</f>
        <v>513.70000000000005</v>
      </c>
      <c r="E68" s="13">
        <f>VLOOKUP($B68,Sheet1!$B$45:$K$82,MATCH(Discretization!E$45,Sheet1!$B$44:$K$44,0),FALSE)</f>
        <v>100</v>
      </c>
      <c r="F68" s="13" t="str">
        <f>VLOOKUP($B68,Sheet1!$B$45:$K$82,MATCH(Discretization!F$45,Sheet1!$B$44:$K$44,0),FALSE)</f>
        <v>Yes</v>
      </c>
      <c r="G68" s="13" t="str">
        <f>VLOOKUP($B68,Sheet1!$B$45:$K$82,MATCH(Discretization!G$45,Sheet1!$B$44:$K$44,0),FALSE)</f>
        <v>Yes</v>
      </c>
      <c r="I68" s="15">
        <v>40</v>
      </c>
      <c r="J68" s="13">
        <f t="shared" si="5"/>
        <v>1</v>
      </c>
      <c r="K68" s="13">
        <f t="shared" si="6"/>
        <v>1</v>
      </c>
      <c r="L68" s="13">
        <f t="shared" si="7"/>
        <v>0</v>
      </c>
      <c r="M68" s="13">
        <f t="shared" si="8"/>
        <v>0</v>
      </c>
      <c r="N68" s="13">
        <f t="shared" si="9"/>
        <v>1</v>
      </c>
    </row>
    <row r="69" spans="2:14" x14ac:dyDescent="0.2">
      <c r="B69" s="15">
        <v>32</v>
      </c>
      <c r="C69" s="13">
        <f>VLOOKUP($B69,Sheet1!$B$45:$K$82,MATCH(Discretization!C$45,Sheet1!$B$44:$K$44,0),FALSE)</f>
        <v>1600</v>
      </c>
      <c r="D69" s="13">
        <f>VLOOKUP($B69,Sheet1!$B$45:$K$82,MATCH(Discretization!D$45,Sheet1!$B$44:$K$44,0),FALSE)</f>
        <v>624.29999999999995</v>
      </c>
      <c r="E69" s="13">
        <f>VLOOKUP($B69,Sheet1!$B$45:$K$82,MATCH(Discretization!E$45,Sheet1!$B$44:$K$44,0),FALSE)</f>
        <v>200</v>
      </c>
      <c r="F69" s="13" t="str">
        <f>VLOOKUP($B69,Sheet1!$B$45:$K$82,MATCH(Discretization!F$45,Sheet1!$B$44:$K$44,0),FALSE)</f>
        <v>Yes</v>
      </c>
      <c r="G69" s="13" t="str">
        <f>VLOOKUP($B69,Sheet1!$B$45:$K$82,MATCH(Discretization!G$45,Sheet1!$B$44:$K$44,0),FALSE)</f>
        <v>Yes</v>
      </c>
      <c r="I69" s="15">
        <v>32</v>
      </c>
      <c r="J69" s="13">
        <f t="shared" si="5"/>
        <v>1</v>
      </c>
      <c r="K69" s="13">
        <f t="shared" si="6"/>
        <v>1</v>
      </c>
      <c r="L69" s="13">
        <f t="shared" si="7"/>
        <v>1</v>
      </c>
      <c r="M69" s="13">
        <f t="shared" si="8"/>
        <v>0</v>
      </c>
      <c r="N69" s="13">
        <f t="shared" si="9"/>
        <v>1</v>
      </c>
    </row>
    <row r="70" spans="2:14" x14ac:dyDescent="0.2">
      <c r="B70" s="15">
        <v>45</v>
      </c>
      <c r="C70" s="13">
        <f>VLOOKUP($B70,Sheet1!$B$45:$K$82,MATCH(Discretization!C$45,Sheet1!$B$44:$K$44,0),FALSE)</f>
        <v>2755</v>
      </c>
      <c r="D70" s="13">
        <f>VLOOKUP($B70,Sheet1!$B$45:$K$82,MATCH(Discretization!D$45,Sheet1!$B$44:$K$44,0),FALSE)</f>
        <v>515.20000000000005</v>
      </c>
      <c r="E70" s="13">
        <f>VLOOKUP($B70,Sheet1!$B$45:$K$82,MATCH(Discretization!E$45,Sheet1!$B$44:$K$44,0),FALSE)</f>
        <v>500</v>
      </c>
      <c r="F70" s="13" t="str">
        <f>VLOOKUP($B70,Sheet1!$B$45:$K$82,MATCH(Discretization!F$45,Sheet1!$B$44:$K$44,0),FALSE)</f>
        <v>No</v>
      </c>
      <c r="G70" s="13" t="str">
        <f>VLOOKUP($B70,Sheet1!$B$45:$K$82,MATCH(Discretization!G$45,Sheet1!$B$44:$K$44,0),FALSE)</f>
        <v>Yes</v>
      </c>
      <c r="I70" s="15">
        <v>45</v>
      </c>
      <c r="J70" s="13">
        <f t="shared" si="5"/>
        <v>0</v>
      </c>
      <c r="K70" s="13">
        <f t="shared" si="6"/>
        <v>1</v>
      </c>
      <c r="L70" s="13">
        <f t="shared" si="7"/>
        <v>1</v>
      </c>
      <c r="M70" s="13">
        <f t="shared" si="8"/>
        <v>1</v>
      </c>
      <c r="N70" s="13">
        <f t="shared" si="9"/>
        <v>1</v>
      </c>
    </row>
    <row r="71" spans="2:14" x14ac:dyDescent="0.2">
      <c r="B71" s="15">
        <v>12</v>
      </c>
      <c r="C71" s="13">
        <f>VLOOKUP($B71,Sheet1!$B$45:$K$82,MATCH(Discretization!C$45,Sheet1!$B$44:$K$44,0),FALSE)</f>
        <v>4724</v>
      </c>
      <c r="D71" s="13">
        <f>VLOOKUP($B71,Sheet1!$B$45:$K$82,MATCH(Discretization!D$45,Sheet1!$B$44:$K$44,0),FALSE)</f>
        <v>626.5</v>
      </c>
      <c r="E71" s="13">
        <f>VLOOKUP($B71,Sheet1!$B$45:$K$82,MATCH(Discretization!E$45,Sheet1!$B$44:$K$44,0),FALSE)</f>
        <v>180</v>
      </c>
      <c r="F71" s="13" t="str">
        <f>VLOOKUP($B71,Sheet1!$B$45:$K$82,MATCH(Discretization!F$45,Sheet1!$B$44:$K$44,0),FALSE)</f>
        <v>No</v>
      </c>
      <c r="G71" s="13" t="str">
        <f>VLOOKUP($B71,Sheet1!$B$45:$K$82,MATCH(Discretization!G$45,Sheet1!$B$44:$K$44,0),FALSE)</f>
        <v>Yes</v>
      </c>
      <c r="I71" s="15">
        <v>12</v>
      </c>
      <c r="J71" s="13">
        <f t="shared" si="5"/>
        <v>0</v>
      </c>
      <c r="K71" s="13">
        <f t="shared" si="6"/>
        <v>1</v>
      </c>
      <c r="L71" s="13">
        <f t="shared" si="7"/>
        <v>1</v>
      </c>
      <c r="M71" s="13">
        <f t="shared" si="8"/>
        <v>1</v>
      </c>
      <c r="N71" s="13">
        <f t="shared" si="9"/>
        <v>1</v>
      </c>
    </row>
    <row r="72" spans="2:14" x14ac:dyDescent="0.2">
      <c r="B72" s="15">
        <v>10</v>
      </c>
      <c r="C72" s="13">
        <f>VLOOKUP($B72,Sheet1!$B$45:$K$82,MATCH(Discretization!C$45,Sheet1!$B$44:$K$44,0),FALSE)</f>
        <v>5533</v>
      </c>
      <c r="D72" s="13">
        <f>VLOOKUP($B72,Sheet1!$B$45:$K$82,MATCH(Discretization!D$45,Sheet1!$B$44:$K$44,0),FALSE)</f>
        <v>645</v>
      </c>
      <c r="E72" s="13">
        <f>VLOOKUP($B72,Sheet1!$B$45:$K$82,MATCH(Discretization!E$45,Sheet1!$B$44:$K$44,0),FALSE)</f>
        <v>200</v>
      </c>
      <c r="F72" s="13" t="str">
        <f>VLOOKUP($B72,Sheet1!$B$45:$K$82,MATCH(Discretization!F$45,Sheet1!$B$44:$K$44,0),FALSE)</f>
        <v>No</v>
      </c>
      <c r="G72" s="13" t="str">
        <f>VLOOKUP($B72,Sheet1!$B$45:$K$82,MATCH(Discretization!G$45,Sheet1!$B$44:$K$44,0),FALSE)</f>
        <v>Yes</v>
      </c>
      <c r="I72" s="15">
        <v>10</v>
      </c>
      <c r="J72" s="13">
        <f t="shared" si="5"/>
        <v>0</v>
      </c>
      <c r="K72" s="13">
        <f t="shared" si="6"/>
        <v>1</v>
      </c>
      <c r="L72" s="13">
        <f t="shared" si="7"/>
        <v>1</v>
      </c>
      <c r="M72" s="13">
        <f t="shared" si="8"/>
        <v>1</v>
      </c>
      <c r="N72" s="13">
        <f t="shared" si="9"/>
        <v>1</v>
      </c>
    </row>
    <row r="73" spans="2:14" x14ac:dyDescent="0.2">
      <c r="B73" s="15">
        <v>16</v>
      </c>
      <c r="C73" s="13">
        <f>VLOOKUP($B73,Sheet1!$B$45:$K$82,MATCH(Discretization!C$45,Sheet1!$B$44:$K$44,0),FALSE)</f>
        <v>3834</v>
      </c>
      <c r="D73" s="13">
        <f>VLOOKUP($B73,Sheet1!$B$45:$K$82,MATCH(Discretization!D$45,Sheet1!$B$44:$K$44,0),FALSE)</f>
        <v>788.1</v>
      </c>
      <c r="E73" s="13">
        <f>VLOOKUP($B73,Sheet1!$B$45:$K$82,MATCH(Discretization!E$45,Sheet1!$B$44:$K$44,0),FALSE)</f>
        <v>280</v>
      </c>
      <c r="F73" s="13" t="str">
        <f>VLOOKUP($B73,Sheet1!$B$45:$K$82,MATCH(Discretization!F$45,Sheet1!$B$44:$K$44,0),FALSE)</f>
        <v>Yes</v>
      </c>
      <c r="G73" s="13" t="str">
        <f>VLOOKUP($B73,Sheet1!$B$45:$K$82,MATCH(Discretization!G$45,Sheet1!$B$44:$K$44,0),FALSE)</f>
        <v>Yes</v>
      </c>
      <c r="I73" s="15">
        <v>16</v>
      </c>
      <c r="J73" s="13">
        <f t="shared" si="5"/>
        <v>0</v>
      </c>
      <c r="K73" s="13">
        <f t="shared" si="6"/>
        <v>1</v>
      </c>
      <c r="L73" s="13">
        <f t="shared" si="7"/>
        <v>1</v>
      </c>
      <c r="M73" s="13">
        <f t="shared" si="8"/>
        <v>0</v>
      </c>
      <c r="N73" s="13">
        <f t="shared" si="9"/>
        <v>1</v>
      </c>
    </row>
    <row r="74" spans="2:14" x14ac:dyDescent="0.2">
      <c r="B74" s="15">
        <v>2</v>
      </c>
      <c r="C74" s="13">
        <f>VLOOKUP($B74,Sheet1!$B$45:$K$82,MATCH(Discretization!C$45,Sheet1!$B$44:$K$44,0),FALSE)</f>
        <v>777</v>
      </c>
      <c r="D74" s="13">
        <f>VLOOKUP($B74,Sheet1!$B$45:$K$82,MATCH(Discretization!D$45,Sheet1!$B$44:$K$44,0),FALSE)</f>
        <v>105.5</v>
      </c>
      <c r="E74" s="13">
        <f>VLOOKUP($B74,Sheet1!$B$45:$K$82,MATCH(Discretization!E$45,Sheet1!$B$44:$K$44,0),FALSE)</f>
        <v>45</v>
      </c>
      <c r="F74" s="13" t="str">
        <f>VLOOKUP($B74,Sheet1!$B$45:$K$82,MATCH(Discretization!F$45,Sheet1!$B$44:$K$44,0),FALSE)</f>
        <v>Yes</v>
      </c>
      <c r="G74" s="13" t="str">
        <f>VLOOKUP($B74,Sheet1!$B$45:$K$82,MATCH(Discretization!G$45,Sheet1!$B$44:$K$44,0),FALSE)</f>
        <v>Yes</v>
      </c>
      <c r="I74" s="15">
        <v>2</v>
      </c>
      <c r="J74" s="13">
        <f t="shared" si="5"/>
        <v>0</v>
      </c>
      <c r="K74" s="13">
        <f t="shared" si="6"/>
        <v>0</v>
      </c>
      <c r="L74" s="13">
        <f t="shared" si="7"/>
        <v>0</v>
      </c>
      <c r="M74" s="13">
        <f t="shared" si="8"/>
        <v>0</v>
      </c>
      <c r="N74" s="13">
        <f t="shared" si="9"/>
        <v>1</v>
      </c>
    </row>
    <row r="75" spans="2:14" x14ac:dyDescent="0.2">
      <c r="B75" s="15">
        <v>4</v>
      </c>
      <c r="C75" s="13">
        <f>VLOOKUP($B75,Sheet1!$B$45:$K$82,MATCH(Discretization!C$45,Sheet1!$B$44:$K$44,0),FALSE)</f>
        <v>4133</v>
      </c>
      <c r="D75" s="13">
        <f>VLOOKUP($B75,Sheet1!$B$45:$K$82,MATCH(Discretization!D$45,Sheet1!$B$44:$K$44,0),FALSE)</f>
        <v>748.8</v>
      </c>
      <c r="E75" s="13" t="str">
        <f>VLOOKUP($B75,Sheet1!$B$45:$K$82,MATCH(Discretization!E$45,Sheet1!$B$44:$K$44,0),FALSE)</f>
        <v>NA</v>
      </c>
      <c r="F75" s="13" t="str">
        <f>VLOOKUP($B75,Sheet1!$B$45:$K$82,MATCH(Discretization!F$45,Sheet1!$B$44:$K$44,0),FALSE)</f>
        <v>Yes</v>
      </c>
      <c r="G75" s="13" t="str">
        <f>VLOOKUP($B75,Sheet1!$B$45:$K$82,MATCH(Discretization!G$45,Sheet1!$B$44:$K$44,0),FALSE)</f>
        <v>Yes</v>
      </c>
      <c r="I75" s="15">
        <v>4</v>
      </c>
      <c r="J75" s="13">
        <f t="shared" si="5"/>
        <v>0</v>
      </c>
      <c r="K75" s="13">
        <f t="shared" si="6"/>
        <v>1</v>
      </c>
      <c r="L75" s="13" t="str">
        <f t="shared" si="7"/>
        <v>NA</v>
      </c>
      <c r="M75" s="13">
        <f t="shared" si="8"/>
        <v>0</v>
      </c>
      <c r="N75" s="13">
        <f t="shared" si="9"/>
        <v>1</v>
      </c>
    </row>
    <row r="76" spans="2:14" x14ac:dyDescent="0.2">
      <c r="B76" s="15">
        <v>9</v>
      </c>
      <c r="C76" s="13">
        <f>VLOOKUP($B76,Sheet1!$B$45:$K$82,MATCH(Discretization!C$45,Sheet1!$B$44:$K$44,0),FALSE)</f>
        <v>4985</v>
      </c>
      <c r="D76" s="13">
        <f>VLOOKUP($B76,Sheet1!$B$45:$K$82,MATCH(Discretization!D$45,Sheet1!$B$44:$K$44,0),FALSE)</f>
        <v>638.6</v>
      </c>
      <c r="E76" s="13">
        <f>VLOOKUP($B76,Sheet1!$B$45:$K$82,MATCH(Discretization!E$45,Sheet1!$B$44:$K$44,0),FALSE)</f>
        <v>200</v>
      </c>
      <c r="F76" s="13" t="str">
        <f>VLOOKUP($B76,Sheet1!$B$45:$K$82,MATCH(Discretization!F$45,Sheet1!$B$44:$K$44,0),FALSE)</f>
        <v>No</v>
      </c>
      <c r="G76" s="13" t="str">
        <f>VLOOKUP($B76,Sheet1!$B$45:$K$82,MATCH(Discretization!G$45,Sheet1!$B$44:$K$44,0),FALSE)</f>
        <v>Yes</v>
      </c>
      <c r="I76" s="15">
        <v>9</v>
      </c>
      <c r="J76" s="13">
        <f t="shared" si="5"/>
        <v>0</v>
      </c>
      <c r="K76" s="13">
        <f t="shared" si="6"/>
        <v>1</v>
      </c>
      <c r="L76" s="13">
        <f t="shared" si="7"/>
        <v>1</v>
      </c>
      <c r="M76" s="13">
        <f t="shared" si="8"/>
        <v>1</v>
      </c>
      <c r="N76" s="13">
        <f t="shared" si="9"/>
        <v>1</v>
      </c>
    </row>
    <row r="77" spans="2:14" x14ac:dyDescent="0.2">
      <c r="B77" s="15">
        <v>7</v>
      </c>
      <c r="C77" s="13">
        <f>VLOOKUP($B77,Sheet1!$B$45:$K$82,MATCH(Discretization!C$45,Sheet1!$B$44:$K$44,0),FALSE)</f>
        <v>2926</v>
      </c>
      <c r="D77" s="13">
        <f>VLOOKUP($B77,Sheet1!$B$45:$K$82,MATCH(Discretization!D$45,Sheet1!$B$44:$K$44,0),FALSE)</f>
        <v>501.8</v>
      </c>
      <c r="E77" s="13" t="str">
        <f>VLOOKUP($B77,Sheet1!$B$45:$K$82,MATCH(Discretization!E$45,Sheet1!$B$44:$K$44,0),FALSE)</f>
        <v>NA</v>
      </c>
      <c r="F77" s="13" t="str">
        <f>VLOOKUP($B77,Sheet1!$B$45:$K$82,MATCH(Discretization!F$45,Sheet1!$B$44:$K$44,0),FALSE)</f>
        <v>NA</v>
      </c>
      <c r="G77" s="13" t="str">
        <f>VLOOKUP($B77,Sheet1!$B$45:$K$82,MATCH(Discretization!G$45,Sheet1!$B$44:$K$44,0),FALSE)</f>
        <v>Yes</v>
      </c>
      <c r="I77" s="15">
        <v>7</v>
      </c>
      <c r="J77" s="13">
        <f t="shared" si="5"/>
        <v>0</v>
      </c>
      <c r="K77" s="13">
        <f t="shared" si="6"/>
        <v>1</v>
      </c>
      <c r="L77" s="13" t="str">
        <f t="shared" si="7"/>
        <v>NA</v>
      </c>
      <c r="M77" s="13" t="str">
        <f t="shared" si="8"/>
        <v>NA</v>
      </c>
      <c r="N77" s="13">
        <f>IF(G77="Yes",1,0)</f>
        <v>1</v>
      </c>
    </row>
    <row r="78" spans="2:14" x14ac:dyDescent="0.2">
      <c r="B78" s="15">
        <v>11</v>
      </c>
      <c r="C78" s="13">
        <f>VLOOKUP($B78,Sheet1!$B$45:$K$82,MATCH(Discretization!C$45,Sheet1!$B$44:$K$44,0),FALSE)</f>
        <v>7224</v>
      </c>
      <c r="D78" s="13">
        <f>VLOOKUP($B78,Sheet1!$B$45:$K$82,MATCH(Discretization!D$45,Sheet1!$B$44:$K$44,0),FALSE)</f>
        <v>780.5</v>
      </c>
      <c r="E78" s="13">
        <f>VLOOKUP($B78,Sheet1!$B$45:$K$82,MATCH(Discretization!E$45,Sheet1!$B$44:$K$44,0),FALSE)</f>
        <v>780</v>
      </c>
      <c r="F78" s="13" t="str">
        <f>VLOOKUP($B78,Sheet1!$B$45:$K$82,MATCH(Discretization!F$45,Sheet1!$B$44:$K$44,0),FALSE)</f>
        <v>No</v>
      </c>
      <c r="G78" s="13" t="str">
        <f>VLOOKUP($B78,Sheet1!$B$45:$K$82,MATCH(Discretization!G$45,Sheet1!$B$44:$K$44,0),FALSE)</f>
        <v>Yes</v>
      </c>
      <c r="I78" s="15">
        <v>11</v>
      </c>
      <c r="J78" s="13">
        <f t="shared" si="5"/>
        <v>0</v>
      </c>
      <c r="K78" s="13">
        <f t="shared" si="6"/>
        <v>1</v>
      </c>
      <c r="L78" s="13">
        <f t="shared" si="7"/>
        <v>1</v>
      </c>
      <c r="M78" s="13">
        <f t="shared" si="8"/>
        <v>1</v>
      </c>
      <c r="N78" s="13">
        <f t="shared" si="9"/>
        <v>1</v>
      </c>
    </row>
    <row r="79" spans="2:14" x14ac:dyDescent="0.2">
      <c r="B79" s="15">
        <v>71</v>
      </c>
      <c r="C79" s="13">
        <f>VLOOKUP($B79,Sheet1!$B$45:$K$82,MATCH(Discretization!C$45,Sheet1!$B$44:$K$44,0),FALSE)</f>
        <v>3600</v>
      </c>
      <c r="D79" s="13">
        <f>VLOOKUP($B79,Sheet1!$B$45:$K$82,MATCH(Discretization!D$45,Sheet1!$B$44:$K$44,0),FALSE)</f>
        <v>830.4</v>
      </c>
      <c r="E79" s="13">
        <f>VLOOKUP($B79,Sheet1!$B$45:$K$82,MATCH(Discretization!E$45,Sheet1!$B$44:$K$44,0),FALSE)</f>
        <v>300</v>
      </c>
      <c r="F79" s="13" t="str">
        <f>VLOOKUP($B79,Sheet1!$B$45:$K$82,MATCH(Discretization!F$45,Sheet1!$B$44:$K$44,0),FALSE)</f>
        <v>Yes</v>
      </c>
      <c r="G79" s="13" t="str">
        <f>VLOOKUP($B79,Sheet1!$B$45:$K$82,MATCH(Discretization!G$45,Sheet1!$B$44:$K$44,0),FALSE)</f>
        <v>No</v>
      </c>
      <c r="I79" s="15">
        <v>71</v>
      </c>
      <c r="J79" s="13">
        <f t="shared" si="5"/>
        <v>0</v>
      </c>
      <c r="K79" s="13">
        <f t="shared" si="6"/>
        <v>1</v>
      </c>
      <c r="L79" s="13">
        <f t="shared" si="7"/>
        <v>1</v>
      </c>
      <c r="M79" s="13">
        <f t="shared" si="8"/>
        <v>0</v>
      </c>
      <c r="N79" s="13">
        <f t="shared" si="9"/>
        <v>0</v>
      </c>
    </row>
    <row r="80" spans="2:14" x14ac:dyDescent="0.2">
      <c r="B80" s="15">
        <v>76</v>
      </c>
      <c r="C80" s="13">
        <f>VLOOKUP($B80,Sheet1!$B$45:$K$82,MATCH(Discretization!C$45,Sheet1!$B$44:$K$44,0),FALSE)</f>
        <v>375</v>
      </c>
      <c r="D80" s="13">
        <f>VLOOKUP($B80,Sheet1!$B$45:$K$82,MATCH(Discretization!D$45,Sheet1!$B$44:$K$44,0),FALSE)</f>
        <v>81.099999999999994</v>
      </c>
      <c r="E80" s="13">
        <f>VLOOKUP($B80,Sheet1!$B$45:$K$82,MATCH(Discretization!E$45,Sheet1!$B$44:$K$44,0),FALSE)</f>
        <v>150</v>
      </c>
      <c r="F80" s="13" t="str">
        <f>VLOOKUP($B80,Sheet1!$B$45:$K$82,MATCH(Discretization!F$45,Sheet1!$B$44:$K$44,0),FALSE)</f>
        <v>NA</v>
      </c>
      <c r="G80" s="13" t="str">
        <f>VLOOKUP($B80,Sheet1!$B$45:$K$82,MATCH(Discretization!G$45,Sheet1!$B$44:$K$44,0),FALSE)</f>
        <v>Inconclusive</v>
      </c>
      <c r="I80" s="15">
        <v>76</v>
      </c>
      <c r="J80" s="13">
        <f t="shared" si="5"/>
        <v>0</v>
      </c>
      <c r="K80" s="13">
        <f t="shared" si="6"/>
        <v>0</v>
      </c>
      <c r="L80" s="13">
        <f t="shared" si="7"/>
        <v>0</v>
      </c>
      <c r="M80" s="13" t="str">
        <f t="shared" si="8"/>
        <v>NA</v>
      </c>
      <c r="N80" s="13">
        <f t="shared" si="9"/>
        <v>0</v>
      </c>
    </row>
    <row r="81" spans="2:14" x14ac:dyDescent="0.2">
      <c r="B81" s="15">
        <v>67</v>
      </c>
      <c r="C81" s="13">
        <f>VLOOKUP($B81,Sheet1!$B$45:$K$82,MATCH(Discretization!C$45,Sheet1!$B$44:$K$44,0),FALSE)</f>
        <v>465</v>
      </c>
      <c r="D81" s="13">
        <f>VLOOKUP($B81,Sheet1!$B$45:$K$82,MATCH(Discretization!D$45,Sheet1!$B$44:$K$44,0),FALSE)</f>
        <v>184.3</v>
      </c>
      <c r="E81" s="13">
        <f>VLOOKUP($B81,Sheet1!$B$45:$K$82,MATCH(Discretization!E$45,Sheet1!$B$44:$K$44,0),FALSE)</f>
        <v>220</v>
      </c>
      <c r="F81" s="13" t="str">
        <f>VLOOKUP($B81,Sheet1!$B$45:$K$82,MATCH(Discretization!F$45,Sheet1!$B$44:$K$44,0),FALSE)</f>
        <v>Yes</v>
      </c>
      <c r="G81" s="13" t="str">
        <f>VLOOKUP($B81,Sheet1!$B$45:$K$82,MATCH(Discretization!G$45,Sheet1!$B$44:$K$44,0),FALSE)</f>
        <v>No</v>
      </c>
      <c r="I81" s="15">
        <v>67</v>
      </c>
      <c r="J81" s="13">
        <f t="shared" si="5"/>
        <v>0</v>
      </c>
      <c r="K81" s="13">
        <f t="shared" si="6"/>
        <v>0</v>
      </c>
      <c r="L81" s="13">
        <f t="shared" si="7"/>
        <v>1</v>
      </c>
      <c r="M81" s="13">
        <f t="shared" si="8"/>
        <v>0</v>
      </c>
      <c r="N81" s="13">
        <f t="shared" si="9"/>
        <v>0</v>
      </c>
    </row>
    <row r="82" spans="2:14" x14ac:dyDescent="0.2">
      <c r="B82" s="15">
        <v>69</v>
      </c>
      <c r="C82" s="13">
        <f>VLOOKUP($B82,Sheet1!$B$45:$K$82,MATCH(Discretization!C$45,Sheet1!$B$44:$K$44,0),FALSE)</f>
        <v>200</v>
      </c>
      <c r="D82" s="13">
        <f>VLOOKUP($B82,Sheet1!$B$45:$K$82,MATCH(Discretization!D$45,Sheet1!$B$44:$K$44,0),FALSE)</f>
        <v>14.8</v>
      </c>
      <c r="E82" s="13">
        <f>VLOOKUP($B82,Sheet1!$B$45:$K$82,MATCH(Discretization!E$45,Sheet1!$B$44:$K$44,0),FALSE)</f>
        <v>20</v>
      </c>
      <c r="F82" s="13" t="str">
        <f>VLOOKUP($B82,Sheet1!$B$45:$K$82,MATCH(Discretization!F$45,Sheet1!$B$44:$K$44,0),FALSE)</f>
        <v>NA</v>
      </c>
      <c r="G82" s="13" t="str">
        <f>VLOOKUP($B82,Sheet1!$B$45:$K$82,MATCH(Discretization!G$45,Sheet1!$B$44:$K$44,0),FALSE)</f>
        <v>No</v>
      </c>
      <c r="I82" s="15">
        <v>69</v>
      </c>
      <c r="J82" s="13">
        <f t="shared" si="5"/>
        <v>0</v>
      </c>
      <c r="K82" s="13">
        <f t="shared" si="6"/>
        <v>0</v>
      </c>
      <c r="L82" s="13">
        <f t="shared" si="7"/>
        <v>0</v>
      </c>
      <c r="M82" s="13" t="str">
        <f t="shared" si="8"/>
        <v>NA</v>
      </c>
      <c r="N82" s="13">
        <f t="shared" si="9"/>
        <v>0</v>
      </c>
    </row>
    <row r="83" spans="2:14" x14ac:dyDescent="0.2">
      <c r="B83" s="15">
        <v>73</v>
      </c>
      <c r="C83" s="13">
        <f>VLOOKUP($B83,Sheet1!$B$45:$K$82,MATCH(Discretization!C$45,Sheet1!$B$44:$K$44,0),FALSE)</f>
        <v>1219</v>
      </c>
      <c r="D83" s="13">
        <f>VLOOKUP($B83,Sheet1!$B$45:$K$82,MATCH(Discretization!D$45,Sheet1!$B$44:$K$44,0),FALSE)</f>
        <v>760.3</v>
      </c>
      <c r="E83" s="13">
        <f>VLOOKUP($B83,Sheet1!$B$45:$K$82,MATCH(Discretization!E$45,Sheet1!$B$44:$K$44,0),FALSE)</f>
        <v>180</v>
      </c>
      <c r="F83" s="13" t="str">
        <f>VLOOKUP($B83,Sheet1!$B$45:$K$82,MATCH(Discretization!F$45,Sheet1!$B$44:$K$44,0),FALSE)</f>
        <v>Yes</v>
      </c>
      <c r="G83" s="13" t="str">
        <f>VLOOKUP($B83,Sheet1!$B$45:$K$82,MATCH(Discretization!G$45,Sheet1!$B$44:$K$44,0),FALSE)</f>
        <v>Inconclusive</v>
      </c>
      <c r="I83" s="15">
        <v>73</v>
      </c>
      <c r="J83" s="13">
        <f t="shared" si="5"/>
        <v>1</v>
      </c>
      <c r="K83" s="13">
        <f t="shared" si="6"/>
        <v>1</v>
      </c>
      <c r="L83" s="13">
        <f t="shared" si="7"/>
        <v>1</v>
      </c>
      <c r="M83" s="13">
        <f t="shared" si="8"/>
        <v>0</v>
      </c>
      <c r="N83" s="13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C12" sqref="C12"/>
    </sheetView>
  </sheetViews>
  <sheetFormatPr defaultColWidth="11.42578125" defaultRowHeight="15" x14ac:dyDescent="0.25"/>
  <cols>
    <col min="2" max="2" width="13.28515625" bestFit="1" customWidth="1"/>
    <col min="3" max="3" width="14.85546875" bestFit="1" customWidth="1"/>
    <col min="4" max="4" width="8" bestFit="1" customWidth="1"/>
    <col min="5" max="5" width="10" bestFit="1" customWidth="1"/>
    <col min="7" max="7" width="13.28515625" bestFit="1" customWidth="1"/>
    <col min="8" max="8" width="14.85546875" bestFit="1" customWidth="1"/>
    <col min="9" max="9" width="8" bestFit="1" customWidth="1"/>
    <col min="10" max="10" width="10" bestFit="1" customWidth="1"/>
    <col min="12" max="12" width="12.140625" bestFit="1" customWidth="1"/>
    <col min="13" max="13" width="13.28515625" bestFit="1" customWidth="1"/>
  </cols>
  <sheetData>
    <row r="3" spans="2:13" x14ac:dyDescent="0.25">
      <c r="B3" s="18" t="s">
        <v>21</v>
      </c>
      <c r="C3" s="18" t="s">
        <v>20</v>
      </c>
      <c r="G3" s="18" t="s">
        <v>21</v>
      </c>
      <c r="H3" s="18" t="s">
        <v>20</v>
      </c>
      <c r="L3" s="18" t="s">
        <v>18</v>
      </c>
      <c r="M3" t="s">
        <v>21</v>
      </c>
    </row>
    <row r="4" spans="2:13" x14ac:dyDescent="0.25">
      <c r="B4" s="18" t="s">
        <v>18</v>
      </c>
      <c r="C4">
        <v>0</v>
      </c>
      <c r="D4">
        <v>1</v>
      </c>
      <c r="E4" t="s">
        <v>19</v>
      </c>
      <c r="G4" s="18" t="s">
        <v>18</v>
      </c>
      <c r="H4">
        <v>0</v>
      </c>
      <c r="I4">
        <v>1</v>
      </c>
      <c r="J4" t="s">
        <v>19</v>
      </c>
      <c r="L4" s="19">
        <v>0</v>
      </c>
      <c r="M4" s="20">
        <v>0.13157894736842105</v>
      </c>
    </row>
    <row r="5" spans="2:13" x14ac:dyDescent="0.25">
      <c r="B5" s="19">
        <v>0</v>
      </c>
      <c r="C5" s="20">
        <v>0.4</v>
      </c>
      <c r="D5" s="20">
        <v>0.45454545454545453</v>
      </c>
      <c r="E5" s="20">
        <v>0.44736842105263158</v>
      </c>
      <c r="G5" s="19">
        <v>0</v>
      </c>
      <c r="H5" s="20">
        <v>0.5</v>
      </c>
      <c r="I5" s="20">
        <v>0.27272727272727271</v>
      </c>
      <c r="J5" s="20">
        <v>0.30769230769230771</v>
      </c>
      <c r="L5" s="19">
        <v>1</v>
      </c>
      <c r="M5" s="20">
        <v>0.86842105263157898</v>
      </c>
    </row>
    <row r="6" spans="2:13" x14ac:dyDescent="0.25">
      <c r="B6" s="19">
        <v>1</v>
      </c>
      <c r="C6" s="20">
        <v>0.6</v>
      </c>
      <c r="D6" s="20">
        <v>0.54545454545454541</v>
      </c>
      <c r="E6" s="20">
        <v>0.55263157894736847</v>
      </c>
      <c r="G6" s="19">
        <v>1</v>
      </c>
      <c r="H6" s="20">
        <v>0.5</v>
      </c>
      <c r="I6" s="20">
        <v>0.72727272727272729</v>
      </c>
      <c r="J6" s="20">
        <v>0.69230769230769229</v>
      </c>
      <c r="L6" s="19" t="s">
        <v>19</v>
      </c>
      <c r="M6" s="20">
        <v>1</v>
      </c>
    </row>
    <row r="7" spans="2:13" x14ac:dyDescent="0.25">
      <c r="B7" s="19" t="s">
        <v>19</v>
      </c>
      <c r="C7" s="20">
        <v>1</v>
      </c>
      <c r="D7" s="20">
        <v>1</v>
      </c>
      <c r="E7" s="20">
        <v>1</v>
      </c>
      <c r="G7" s="19" t="s">
        <v>19</v>
      </c>
      <c r="H7" s="20">
        <v>1</v>
      </c>
      <c r="I7" s="20">
        <v>1</v>
      </c>
      <c r="J7" s="20">
        <v>1</v>
      </c>
    </row>
    <row r="10" spans="2:13" x14ac:dyDescent="0.25">
      <c r="B10" s="18" t="s">
        <v>21</v>
      </c>
      <c r="C10" s="18" t="s">
        <v>20</v>
      </c>
      <c r="G10" s="18" t="s">
        <v>21</v>
      </c>
      <c r="H10" s="18" t="s">
        <v>20</v>
      </c>
    </row>
    <row r="11" spans="2:13" x14ac:dyDescent="0.25">
      <c r="B11" s="18" t="s">
        <v>18</v>
      </c>
      <c r="C11">
        <v>0</v>
      </c>
      <c r="D11">
        <v>1</v>
      </c>
      <c r="E11" t="s">
        <v>19</v>
      </c>
      <c r="G11" s="18" t="s">
        <v>18</v>
      </c>
      <c r="H11">
        <v>0</v>
      </c>
      <c r="I11">
        <v>1</v>
      </c>
      <c r="J11" t="s">
        <v>19</v>
      </c>
    </row>
    <row r="12" spans="2:13" x14ac:dyDescent="0.25">
      <c r="B12" s="19">
        <v>0</v>
      </c>
      <c r="C12" s="20">
        <v>0.6</v>
      </c>
      <c r="D12" s="20">
        <v>0.18181818181818182</v>
      </c>
      <c r="E12" s="20">
        <v>0.23684210526315788</v>
      </c>
      <c r="G12" s="19">
        <v>0</v>
      </c>
      <c r="H12" s="20">
        <v>0.8</v>
      </c>
      <c r="I12" s="20">
        <v>0.5357142857142857</v>
      </c>
      <c r="J12" s="20">
        <v>0.5757575757575758</v>
      </c>
    </row>
    <row r="13" spans="2:13" x14ac:dyDescent="0.25">
      <c r="B13" s="19">
        <v>1</v>
      </c>
      <c r="C13" s="20">
        <v>0.4</v>
      </c>
      <c r="D13" s="20">
        <v>0.81818181818181823</v>
      </c>
      <c r="E13" s="20">
        <v>0.76315789473684215</v>
      </c>
      <c r="G13" s="19">
        <v>1</v>
      </c>
      <c r="H13" s="20">
        <v>0.2</v>
      </c>
      <c r="I13" s="20">
        <v>0.4642857142857143</v>
      </c>
      <c r="J13" s="20">
        <v>0.42424242424242425</v>
      </c>
    </row>
    <row r="14" spans="2:13" x14ac:dyDescent="0.25">
      <c r="B14" s="19" t="s">
        <v>19</v>
      </c>
      <c r="C14" s="20">
        <v>1</v>
      </c>
      <c r="D14" s="20">
        <v>1</v>
      </c>
      <c r="E14" s="20">
        <v>1</v>
      </c>
      <c r="G14" s="19" t="s">
        <v>19</v>
      </c>
      <c r="H14" s="20">
        <v>1</v>
      </c>
      <c r="I14" s="20">
        <v>1</v>
      </c>
      <c r="J14" s="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0"/>
  <sheetViews>
    <sheetView topLeftCell="A21" workbookViewId="0">
      <selection activeCell="X38" sqref="X38"/>
    </sheetView>
  </sheetViews>
  <sheetFormatPr defaultColWidth="11.42578125" defaultRowHeight="15" x14ac:dyDescent="0.25"/>
  <sheetData>
    <row r="2" spans="2:24" ht="45" x14ac:dyDescent="0.25">
      <c r="B2" s="10" t="str" cm="1">
        <f t="array" ref="B2:G40">Discretization!I4:N42</f>
        <v>No</v>
      </c>
      <c r="C2" s="10" t="str">
        <v>Depth (m)</v>
      </c>
      <c r="D2" s="10" t="str">
        <v>CO2 Density (kg/m3)</v>
      </c>
      <c r="E2" s="10" t="str">
        <v>Seal Thickness (m)</v>
      </c>
      <c r="F2" s="10" t="str">
        <v>Fault</v>
      </c>
      <c r="G2" s="10" t="str">
        <v>Secure</v>
      </c>
      <c r="I2" s="21" t="s">
        <v>22</v>
      </c>
      <c r="J2" s="21" t="s">
        <v>23</v>
      </c>
      <c r="K2" s="21" t="s">
        <v>24</v>
      </c>
      <c r="L2" s="21" t="s">
        <v>25</v>
      </c>
      <c r="M2" s="21" t="s">
        <v>26</v>
      </c>
      <c r="N2" s="21" t="s">
        <v>27</v>
      </c>
      <c r="O2" s="21" t="s">
        <v>28</v>
      </c>
      <c r="P2" s="21" t="s">
        <v>29</v>
      </c>
      <c r="R2" s="23" t="s">
        <v>30</v>
      </c>
      <c r="S2" s="23" t="s">
        <v>31</v>
      </c>
      <c r="U2" s="23" t="s">
        <v>32</v>
      </c>
      <c r="V2" s="23" t="s">
        <v>33</v>
      </c>
      <c r="W2" s="23" t="s">
        <v>34</v>
      </c>
      <c r="X2" s="23" t="s">
        <v>35</v>
      </c>
    </row>
    <row r="3" spans="2:24" x14ac:dyDescent="0.25">
      <c r="B3" s="17">
        <v>14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I3" s="13">
        <f>IF(C3="NA",1,VLOOKUP(C3,'Pivot Tables'!$B$3:$E$7,2,FALSE))</f>
        <v>0.6</v>
      </c>
      <c r="J3" s="13">
        <f>IF(D3="NA",1,VLOOKUP(D3,'Pivot Tables'!$B$10:$E$14,2,FALSE))</f>
        <v>0.4</v>
      </c>
      <c r="K3" s="13">
        <f>IF(E3="NA",1,VLOOKUP(E3,'Pivot Tables'!$G$3:$J$7,2,FALSE))</f>
        <v>0.5</v>
      </c>
      <c r="L3" s="13">
        <f>IF(F3="NA",1,VLOOKUP(F3,'Pivot Tables'!$G$10:$J$14,2,FALSE))</f>
        <v>0.2</v>
      </c>
      <c r="M3" s="13">
        <f>IF(C3="NA",1,VLOOKUP(C3,'Pivot Tables'!$B$3:$E$7,3,FALSE))</f>
        <v>0.54545454545454541</v>
      </c>
      <c r="N3" s="13">
        <f>IF(D3="NA",1,VLOOKUP(D3,'Pivot Tables'!$B$10:$E$14,3,FALSE))</f>
        <v>0.81818181818181823</v>
      </c>
      <c r="O3" s="13">
        <f>IF(E3="NA",1,VLOOKUP(E3,'Pivot Tables'!$G$3:$J$7,3,FALSE))</f>
        <v>0.72727272727272729</v>
      </c>
      <c r="P3" s="13">
        <f>IF(F3="NA",1,VLOOKUP(F3,'Pivot Tables'!$G$10:$J$14,3,FALSE))</f>
        <v>0.4642857142857143</v>
      </c>
      <c r="R3" s="22">
        <f>PRODUCT(I3:L3)*GETPIVOTDATA("Secure",'Pivot Tables'!$L$3,"Secure",0)</f>
        <v>3.1578947368421052E-3</v>
      </c>
      <c r="S3" s="22">
        <f>PRODUCT(M3:P3)*GETPIVOTDATA("Secure",'Pivot Tables'!$L$3,"Secure",1)</f>
        <v>0.13086435096004476</v>
      </c>
      <c r="U3" s="13">
        <f>R3/(R3+S3)</f>
        <v>2.3562466965254398E-2</v>
      </c>
      <c r="V3" s="13">
        <f>1-U3</f>
        <v>0.97643753303474556</v>
      </c>
      <c r="W3" s="13">
        <f>IF(V3&gt;U3,1,0)</f>
        <v>1</v>
      </c>
      <c r="X3" s="15" t="str">
        <f>IF(W3=G3,"TRUE","FALSE")</f>
        <v>TRUE</v>
      </c>
    </row>
    <row r="4" spans="2:24" x14ac:dyDescent="0.25">
      <c r="B4" s="17">
        <v>20</v>
      </c>
      <c r="C4" s="9">
        <v>0</v>
      </c>
      <c r="D4" s="9">
        <v>0</v>
      </c>
      <c r="E4" s="9">
        <v>0</v>
      </c>
      <c r="F4" s="9">
        <v>1</v>
      </c>
      <c r="G4" s="9">
        <v>1</v>
      </c>
      <c r="I4" s="13">
        <f>IF(C4="NA",1,VLOOKUP(C4,'Pivot Tables'!$B$3:$E$7,2,FALSE))</f>
        <v>0.4</v>
      </c>
      <c r="J4" s="13">
        <f>IF(D4="NA",1,VLOOKUP(D4,'Pivot Tables'!$B$10:$E$14,2,FALSE))</f>
        <v>0.6</v>
      </c>
      <c r="K4" s="13">
        <f>IF(E4="NA",1,VLOOKUP(E4,'Pivot Tables'!$G$3:$J$7,2,FALSE))</f>
        <v>0.5</v>
      </c>
      <c r="L4" s="13">
        <f>IF(F4="NA",1,VLOOKUP(F4,'Pivot Tables'!$G$10:$J$14,2,FALSE))</f>
        <v>0.2</v>
      </c>
      <c r="M4" s="13">
        <f>IF(C4="NA",1,VLOOKUP(C4,'Pivot Tables'!$B$3:$E$7,3,FALSE))</f>
        <v>0.45454545454545453</v>
      </c>
      <c r="N4" s="13">
        <f>IF(D4="NA",1,VLOOKUP(D4,'Pivot Tables'!$B$10:$E$14,3,FALSE))</f>
        <v>0.18181818181818182</v>
      </c>
      <c r="O4" s="13">
        <f>IF(E4="NA",1,VLOOKUP(E4,'Pivot Tables'!$G$3:$J$7,3,FALSE))</f>
        <v>0.27272727272727271</v>
      </c>
      <c r="P4" s="13">
        <f>IF(F4="NA",1,VLOOKUP(F4,'Pivot Tables'!$G$10:$J$14,3,FALSE))</f>
        <v>0.4642857142857143</v>
      </c>
      <c r="R4" s="22">
        <f>PRODUCT(I4:L4)*GETPIVOTDATA("Secure",'Pivot Tables'!$L$3,"Secure",0)</f>
        <v>3.1578947368421052E-3</v>
      </c>
      <c r="S4" s="22">
        <f>PRODUCT(M4:P4)*GETPIVOTDATA("Secure",'Pivot Tables'!$L$3,"Secure",1)</f>
        <v>9.0878021500031079E-3</v>
      </c>
      <c r="U4" s="13">
        <f t="shared" ref="U4:U40" si="0">R4/(R4+S4)</f>
        <v>0.25787791140203986</v>
      </c>
      <c r="V4" s="13">
        <f t="shared" ref="V4:V39" si="1">1-U4</f>
        <v>0.74212208859796014</v>
      </c>
      <c r="W4" s="13">
        <f t="shared" ref="W4:W40" si="2">IF(V4&gt;U4,1,0)</f>
        <v>1</v>
      </c>
      <c r="X4" s="15" t="str">
        <f t="shared" ref="X4:X40" si="3">IF(W4=G4,"TRUE","FALSE")</f>
        <v>TRUE</v>
      </c>
    </row>
    <row r="5" spans="2:24" x14ac:dyDescent="0.25">
      <c r="B5" s="17">
        <v>3</v>
      </c>
      <c r="C5" s="9">
        <v>0</v>
      </c>
      <c r="D5" s="9">
        <v>1</v>
      </c>
      <c r="E5" s="9">
        <v>1</v>
      </c>
      <c r="F5" s="9">
        <v>1</v>
      </c>
      <c r="G5" s="9">
        <v>1</v>
      </c>
      <c r="I5" s="13">
        <f>IF(C5="NA",1,VLOOKUP(C5,'Pivot Tables'!$B$3:$E$7,2,FALSE))</f>
        <v>0.4</v>
      </c>
      <c r="J5" s="13">
        <f>IF(D5="NA",1,VLOOKUP(D5,'Pivot Tables'!$B$10:$E$14,2,FALSE))</f>
        <v>0.4</v>
      </c>
      <c r="K5" s="13">
        <f>IF(E5="NA",1,VLOOKUP(E5,'Pivot Tables'!$G$3:$J$7,2,FALSE))</f>
        <v>0.5</v>
      </c>
      <c r="L5" s="13">
        <f>IF(F5="NA",1,VLOOKUP(F5,'Pivot Tables'!$G$10:$J$14,2,FALSE))</f>
        <v>0.2</v>
      </c>
      <c r="M5" s="13">
        <f>IF(C5="NA",1,VLOOKUP(C5,'Pivot Tables'!$B$3:$E$7,3,FALSE))</f>
        <v>0.45454545454545453</v>
      </c>
      <c r="N5" s="13">
        <f>IF(D5="NA",1,VLOOKUP(D5,'Pivot Tables'!$B$10:$E$14,3,FALSE))</f>
        <v>0.81818181818181823</v>
      </c>
      <c r="O5" s="13">
        <f>IF(E5="NA",1,VLOOKUP(E5,'Pivot Tables'!$G$3:$J$7,3,FALSE))</f>
        <v>0.72727272727272729</v>
      </c>
      <c r="P5" s="13">
        <f>IF(F5="NA",1,VLOOKUP(F5,'Pivot Tables'!$G$10:$J$14,3,FALSE))</f>
        <v>0.4642857142857143</v>
      </c>
      <c r="R5" s="22">
        <f>PRODUCT(I5:L5)*GETPIVOTDATA("Secure",'Pivot Tables'!$L$3,"Secure",0)</f>
        <v>2.1052631578947372E-3</v>
      </c>
      <c r="S5" s="22">
        <f>PRODUCT(M5:P5)*GETPIVOTDATA("Secure",'Pivot Tables'!$L$3,"Secure",1)</f>
        <v>0.10905362580003732</v>
      </c>
      <c r="U5" s="13">
        <f t="shared" si="0"/>
        <v>1.8939224542730646E-2</v>
      </c>
      <c r="V5" s="13">
        <f t="shared" si="1"/>
        <v>0.98106077545726933</v>
      </c>
      <c r="W5" s="13">
        <f t="shared" si="2"/>
        <v>1</v>
      </c>
      <c r="X5" s="15" t="str">
        <f t="shared" si="3"/>
        <v>TRUE</v>
      </c>
    </row>
    <row r="6" spans="2:24" x14ac:dyDescent="0.25">
      <c r="B6" s="17">
        <v>18</v>
      </c>
      <c r="C6" s="9">
        <v>1</v>
      </c>
      <c r="D6" s="9">
        <v>1</v>
      </c>
      <c r="E6" s="9">
        <v>0</v>
      </c>
      <c r="F6" s="9">
        <v>1</v>
      </c>
      <c r="G6" s="9">
        <v>1</v>
      </c>
      <c r="I6" s="13">
        <f>IF(C6="NA",1,VLOOKUP(C6,'Pivot Tables'!$B$3:$E$7,2,FALSE))</f>
        <v>0.6</v>
      </c>
      <c r="J6" s="13">
        <f>IF(D6="NA",1,VLOOKUP(D6,'Pivot Tables'!$B$10:$E$14,2,FALSE))</f>
        <v>0.4</v>
      </c>
      <c r="K6" s="13">
        <f>IF(E6="NA",1,VLOOKUP(E6,'Pivot Tables'!$G$3:$J$7,2,FALSE))</f>
        <v>0.5</v>
      </c>
      <c r="L6" s="13">
        <f>IF(F6="NA",1,VLOOKUP(F6,'Pivot Tables'!$G$10:$J$14,2,FALSE))</f>
        <v>0.2</v>
      </c>
      <c r="M6" s="13">
        <f>IF(C6="NA",1,VLOOKUP(C6,'Pivot Tables'!$B$3:$E$7,3,FALSE))</f>
        <v>0.54545454545454541</v>
      </c>
      <c r="N6" s="13">
        <f>IF(D6="NA",1,VLOOKUP(D6,'Pivot Tables'!$B$10:$E$14,3,FALSE))</f>
        <v>0.81818181818181823</v>
      </c>
      <c r="O6" s="13">
        <f>IF(E6="NA",1,VLOOKUP(E6,'Pivot Tables'!$G$3:$J$7,3,FALSE))</f>
        <v>0.27272727272727271</v>
      </c>
      <c r="P6" s="13">
        <f>IF(F6="NA",1,VLOOKUP(F6,'Pivot Tables'!$G$10:$J$14,3,FALSE))</f>
        <v>0.4642857142857143</v>
      </c>
      <c r="R6" s="22">
        <f>PRODUCT(I6:L6)*GETPIVOTDATA("Secure",'Pivot Tables'!$L$3,"Secure",0)</f>
        <v>3.1578947368421052E-3</v>
      </c>
      <c r="S6" s="22">
        <f>PRODUCT(M6:P6)*GETPIVOTDATA("Secure",'Pivot Tables'!$L$3,"Secure",1)</f>
        <v>4.907413161001678E-2</v>
      </c>
      <c r="U6" s="13">
        <f t="shared" si="0"/>
        <v>6.0458974267461364E-2</v>
      </c>
      <c r="V6" s="13">
        <f t="shared" si="1"/>
        <v>0.93954102573253861</v>
      </c>
      <c r="W6" s="13">
        <f t="shared" si="2"/>
        <v>1</v>
      </c>
      <c r="X6" s="15" t="str">
        <f t="shared" si="3"/>
        <v>TRUE</v>
      </c>
    </row>
    <row r="7" spans="2:24" x14ac:dyDescent="0.25">
      <c r="B7" s="17">
        <v>24</v>
      </c>
      <c r="C7" s="9">
        <v>1</v>
      </c>
      <c r="D7" s="9">
        <v>1</v>
      </c>
      <c r="E7" s="9">
        <v>1</v>
      </c>
      <c r="F7" s="9">
        <v>0</v>
      </c>
      <c r="G7" s="9">
        <v>1</v>
      </c>
      <c r="I7" s="13">
        <f>IF(C7="NA",1,VLOOKUP(C7,'Pivot Tables'!$B$3:$E$7,2,FALSE))</f>
        <v>0.6</v>
      </c>
      <c r="J7" s="13">
        <f>IF(D7="NA",1,VLOOKUP(D7,'Pivot Tables'!$B$10:$E$14,2,FALSE))</f>
        <v>0.4</v>
      </c>
      <c r="K7" s="13">
        <f>IF(E7="NA",1,VLOOKUP(E7,'Pivot Tables'!$G$3:$J$7,2,FALSE))</f>
        <v>0.5</v>
      </c>
      <c r="L7" s="13">
        <f>IF(F7="NA",1,VLOOKUP(F7,'Pivot Tables'!$G$10:$J$14,2,FALSE))</f>
        <v>0.8</v>
      </c>
      <c r="M7" s="13">
        <f>IF(C7="NA",1,VLOOKUP(C7,'Pivot Tables'!$B$3:$E$7,3,FALSE))</f>
        <v>0.54545454545454541</v>
      </c>
      <c r="N7" s="13">
        <f>IF(D7="NA",1,VLOOKUP(D7,'Pivot Tables'!$B$10:$E$14,3,FALSE))</f>
        <v>0.81818181818181823</v>
      </c>
      <c r="O7" s="13">
        <f>IF(E7="NA",1,VLOOKUP(E7,'Pivot Tables'!$G$3:$J$7,3,FALSE))</f>
        <v>0.72727272727272729</v>
      </c>
      <c r="P7" s="13">
        <f>IF(F7="NA",1,VLOOKUP(F7,'Pivot Tables'!$G$10:$J$14,3,FALSE))</f>
        <v>0.5357142857142857</v>
      </c>
      <c r="R7" s="22">
        <f>PRODUCT(I7:L7)*GETPIVOTDATA("Secure",'Pivot Tables'!$L$3,"Secure",0)</f>
        <v>1.2631578947368421E-2</v>
      </c>
      <c r="S7" s="22">
        <f>PRODUCT(M7:P7)*GETPIVOTDATA("Secure",'Pivot Tables'!$L$3,"Secure",1)</f>
        <v>0.15099732803082086</v>
      </c>
      <c r="U7" s="13">
        <f t="shared" si="0"/>
        <v>7.7196500182282177E-2</v>
      </c>
      <c r="V7" s="13">
        <f t="shared" si="1"/>
        <v>0.92280349981771781</v>
      </c>
      <c r="W7" s="13">
        <f t="shared" si="2"/>
        <v>1</v>
      </c>
      <c r="X7" s="15" t="str">
        <f t="shared" si="3"/>
        <v>TRUE</v>
      </c>
    </row>
    <row r="8" spans="2:24" x14ac:dyDescent="0.25">
      <c r="B8" s="17">
        <v>25</v>
      </c>
      <c r="C8" s="9">
        <v>0</v>
      </c>
      <c r="D8" s="9">
        <v>0</v>
      </c>
      <c r="E8" s="9">
        <v>1</v>
      </c>
      <c r="F8" s="9">
        <v>1</v>
      </c>
      <c r="G8" s="9">
        <v>1</v>
      </c>
      <c r="I8" s="13">
        <f>IF(C8="NA",1,VLOOKUP(C8,'Pivot Tables'!$B$3:$E$7,2,FALSE))</f>
        <v>0.4</v>
      </c>
      <c r="J8" s="13">
        <f>IF(D8="NA",1,VLOOKUP(D8,'Pivot Tables'!$B$10:$E$14,2,FALSE))</f>
        <v>0.6</v>
      </c>
      <c r="K8" s="13">
        <f>IF(E8="NA",1,VLOOKUP(E8,'Pivot Tables'!$G$3:$J$7,2,FALSE))</f>
        <v>0.5</v>
      </c>
      <c r="L8" s="13">
        <f>IF(F8="NA",1,VLOOKUP(F8,'Pivot Tables'!$G$10:$J$14,2,FALSE))</f>
        <v>0.2</v>
      </c>
      <c r="M8" s="13">
        <f>IF(C8="NA",1,VLOOKUP(C8,'Pivot Tables'!$B$3:$E$7,3,FALSE))</f>
        <v>0.45454545454545453</v>
      </c>
      <c r="N8" s="13">
        <f>IF(D8="NA",1,VLOOKUP(D8,'Pivot Tables'!$B$10:$E$14,3,FALSE))</f>
        <v>0.18181818181818182</v>
      </c>
      <c r="O8" s="13">
        <f>IF(E8="NA",1,VLOOKUP(E8,'Pivot Tables'!$G$3:$J$7,3,FALSE))</f>
        <v>0.72727272727272729</v>
      </c>
      <c r="P8" s="13">
        <f>IF(F8="NA",1,VLOOKUP(F8,'Pivot Tables'!$G$10:$J$14,3,FALSE))</f>
        <v>0.4642857142857143</v>
      </c>
      <c r="R8" s="22">
        <f>PRODUCT(I8:L8)*GETPIVOTDATA("Secure",'Pivot Tables'!$L$3,"Secure",0)</f>
        <v>3.1578947368421052E-3</v>
      </c>
      <c r="S8" s="22">
        <f>PRODUCT(M8:P8)*GETPIVOTDATA("Secure",'Pivot Tables'!$L$3,"Secure",1)</f>
        <v>2.4234139066674959E-2</v>
      </c>
      <c r="U8" s="13">
        <f t="shared" si="0"/>
        <v>0.1152851504015244</v>
      </c>
      <c r="V8" s="13">
        <f t="shared" si="1"/>
        <v>0.88471484959847557</v>
      </c>
      <c r="W8" s="13">
        <f t="shared" si="2"/>
        <v>1</v>
      </c>
      <c r="X8" s="15" t="str">
        <f t="shared" si="3"/>
        <v>TRUE</v>
      </c>
    </row>
    <row r="9" spans="2:24" x14ac:dyDescent="0.25">
      <c r="B9" s="17">
        <v>27</v>
      </c>
      <c r="C9" s="9">
        <v>0</v>
      </c>
      <c r="D9" s="9">
        <v>0</v>
      </c>
      <c r="E9" s="9">
        <v>1</v>
      </c>
      <c r="F9" s="9">
        <v>1</v>
      </c>
      <c r="G9" s="9">
        <v>1</v>
      </c>
      <c r="I9" s="13">
        <f>IF(C9="NA",1,VLOOKUP(C9,'Pivot Tables'!$B$3:$E$7,2,FALSE))</f>
        <v>0.4</v>
      </c>
      <c r="J9" s="13">
        <f>IF(D9="NA",1,VLOOKUP(D9,'Pivot Tables'!$B$10:$E$14,2,FALSE))</f>
        <v>0.6</v>
      </c>
      <c r="K9" s="13">
        <f>IF(E9="NA",1,VLOOKUP(E9,'Pivot Tables'!$G$3:$J$7,2,FALSE))</f>
        <v>0.5</v>
      </c>
      <c r="L9" s="13">
        <f>IF(F9="NA",1,VLOOKUP(F9,'Pivot Tables'!$G$10:$J$14,2,FALSE))</f>
        <v>0.2</v>
      </c>
      <c r="M9" s="13">
        <f>IF(C9="NA",1,VLOOKUP(C9,'Pivot Tables'!$B$3:$E$7,3,FALSE))</f>
        <v>0.45454545454545453</v>
      </c>
      <c r="N9" s="13">
        <f>IF(D9="NA",1,VLOOKUP(D9,'Pivot Tables'!$B$10:$E$14,3,FALSE))</f>
        <v>0.18181818181818182</v>
      </c>
      <c r="O9" s="13">
        <f>IF(E9="NA",1,VLOOKUP(E9,'Pivot Tables'!$G$3:$J$7,3,FALSE))</f>
        <v>0.72727272727272729</v>
      </c>
      <c r="P9" s="13">
        <f>IF(F9="NA",1,VLOOKUP(F9,'Pivot Tables'!$G$10:$J$14,3,FALSE))</f>
        <v>0.4642857142857143</v>
      </c>
      <c r="R9" s="22">
        <f>PRODUCT(I9:L9)*GETPIVOTDATA("Secure",'Pivot Tables'!$L$3,"Secure",0)</f>
        <v>3.1578947368421052E-3</v>
      </c>
      <c r="S9" s="22">
        <f>PRODUCT(M9:P9)*GETPIVOTDATA("Secure",'Pivot Tables'!$L$3,"Secure",1)</f>
        <v>2.4234139066674959E-2</v>
      </c>
      <c r="U9" s="13">
        <f t="shared" si="0"/>
        <v>0.1152851504015244</v>
      </c>
      <c r="V9" s="13">
        <f t="shared" si="1"/>
        <v>0.88471484959847557</v>
      </c>
      <c r="W9" s="13">
        <f t="shared" si="2"/>
        <v>1</v>
      </c>
      <c r="X9" s="15" t="str">
        <f t="shared" si="3"/>
        <v>TRUE</v>
      </c>
    </row>
    <row r="10" spans="2:24" x14ac:dyDescent="0.25">
      <c r="B10" s="17">
        <v>21</v>
      </c>
      <c r="C10" s="9">
        <v>0</v>
      </c>
      <c r="D10" s="9">
        <v>1</v>
      </c>
      <c r="E10" s="9" t="str">
        <v>NA</v>
      </c>
      <c r="F10" s="9" t="str">
        <v>NA</v>
      </c>
      <c r="G10" s="9">
        <v>1</v>
      </c>
      <c r="I10" s="13">
        <f>IF(C10="NA",1,VLOOKUP(C10,'Pivot Tables'!$B$3:$E$7,2,FALSE))</f>
        <v>0.4</v>
      </c>
      <c r="J10" s="13">
        <f>IF(D10="NA",1,VLOOKUP(D10,'Pivot Tables'!$B$10:$E$14,2,FALSE))</f>
        <v>0.4</v>
      </c>
      <c r="K10" s="13">
        <f>IF(E10="NA",1,VLOOKUP(E10,'Pivot Tables'!$G$3:$J$7,2,FALSE))</f>
        <v>1</v>
      </c>
      <c r="L10" s="13">
        <f>IF(F10="NA",1,VLOOKUP(F10,'Pivot Tables'!$G$10:$J$14,2,FALSE))</f>
        <v>1</v>
      </c>
      <c r="M10" s="13">
        <f>IF(C10="NA",1,VLOOKUP(C10,'Pivot Tables'!$B$3:$E$7,3,FALSE))</f>
        <v>0.45454545454545453</v>
      </c>
      <c r="N10" s="13">
        <f>IF(D10="NA",1,VLOOKUP(D10,'Pivot Tables'!$B$10:$E$14,3,FALSE))</f>
        <v>0.81818181818181823</v>
      </c>
      <c r="O10" s="13">
        <f>IF(E10="NA",1,VLOOKUP(E10,'Pivot Tables'!$G$3:$J$7,3,FALSE))</f>
        <v>1</v>
      </c>
      <c r="P10" s="13">
        <f>IF(F10="NA",1,VLOOKUP(F10,'Pivot Tables'!$G$10:$J$14,3,FALSE))</f>
        <v>1</v>
      </c>
      <c r="R10" s="22">
        <f>PRODUCT(I10:L10)*GETPIVOTDATA("Secure",'Pivot Tables'!$L$3,"Secure",0)</f>
        <v>2.1052631578947371E-2</v>
      </c>
      <c r="S10" s="22">
        <f>PRODUCT(M10:P10)*GETPIVOTDATA("Secure",'Pivot Tables'!$L$3,"Secure",1)</f>
        <v>0.32296650717703351</v>
      </c>
      <c r="U10" s="13">
        <f t="shared" si="0"/>
        <v>6.1196105702364396E-2</v>
      </c>
      <c r="V10" s="13">
        <f t="shared" si="1"/>
        <v>0.93880389429763555</v>
      </c>
      <c r="W10" s="13">
        <f t="shared" si="2"/>
        <v>1</v>
      </c>
      <c r="X10" s="15" t="str">
        <f t="shared" si="3"/>
        <v>TRUE</v>
      </c>
    </row>
    <row r="11" spans="2:24" x14ac:dyDescent="0.25">
      <c r="B11" s="17">
        <v>31</v>
      </c>
      <c r="C11" s="9">
        <v>1</v>
      </c>
      <c r="D11" s="9">
        <v>1</v>
      </c>
      <c r="E11" s="9">
        <v>1</v>
      </c>
      <c r="F11" s="9">
        <v>0</v>
      </c>
      <c r="G11" s="9">
        <v>1</v>
      </c>
      <c r="I11" s="13">
        <f>IF(C11="NA",1,VLOOKUP(C11,'Pivot Tables'!$B$3:$E$7,2,FALSE))</f>
        <v>0.6</v>
      </c>
      <c r="J11" s="13">
        <f>IF(D11="NA",1,VLOOKUP(D11,'Pivot Tables'!$B$10:$E$14,2,FALSE))</f>
        <v>0.4</v>
      </c>
      <c r="K11" s="13">
        <f>IF(E11="NA",1,VLOOKUP(E11,'Pivot Tables'!$G$3:$J$7,2,FALSE))</f>
        <v>0.5</v>
      </c>
      <c r="L11" s="13">
        <f>IF(F11="NA",1,VLOOKUP(F11,'Pivot Tables'!$G$10:$J$14,2,FALSE))</f>
        <v>0.8</v>
      </c>
      <c r="M11" s="13">
        <f>IF(C11="NA",1,VLOOKUP(C11,'Pivot Tables'!$B$3:$E$7,3,FALSE))</f>
        <v>0.54545454545454541</v>
      </c>
      <c r="N11" s="13">
        <f>IF(D11="NA",1,VLOOKUP(D11,'Pivot Tables'!$B$10:$E$14,3,FALSE))</f>
        <v>0.81818181818181823</v>
      </c>
      <c r="O11" s="13">
        <f>IF(E11="NA",1,VLOOKUP(E11,'Pivot Tables'!$G$3:$J$7,3,FALSE))</f>
        <v>0.72727272727272729</v>
      </c>
      <c r="P11" s="13">
        <f>IF(F11="NA",1,VLOOKUP(F11,'Pivot Tables'!$G$10:$J$14,3,FALSE))</f>
        <v>0.5357142857142857</v>
      </c>
      <c r="R11" s="22">
        <f>PRODUCT(I11:L11)*GETPIVOTDATA("Secure",'Pivot Tables'!$L$3,"Secure",0)</f>
        <v>1.2631578947368421E-2</v>
      </c>
      <c r="S11" s="22">
        <f>PRODUCT(M11:P11)*GETPIVOTDATA("Secure",'Pivot Tables'!$L$3,"Secure",1)</f>
        <v>0.15099732803082086</v>
      </c>
      <c r="U11" s="13">
        <f t="shared" si="0"/>
        <v>7.7196500182282177E-2</v>
      </c>
      <c r="V11" s="13">
        <f t="shared" si="1"/>
        <v>0.92280349981771781</v>
      </c>
      <c r="W11" s="13">
        <f t="shared" si="2"/>
        <v>1</v>
      </c>
      <c r="X11" s="15" t="str">
        <f t="shared" si="3"/>
        <v>TRUE</v>
      </c>
    </row>
    <row r="12" spans="2:24" x14ac:dyDescent="0.25">
      <c r="B12" s="17">
        <v>36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I12" s="13">
        <f>IF(C12="NA",1,VLOOKUP(C12,'Pivot Tables'!$B$3:$E$7,2,FALSE))</f>
        <v>0.6</v>
      </c>
      <c r="J12" s="13">
        <f>IF(D12="NA",1,VLOOKUP(D12,'Pivot Tables'!$B$10:$E$14,2,FALSE))</f>
        <v>0.4</v>
      </c>
      <c r="K12" s="13">
        <f>IF(E12="NA",1,VLOOKUP(E12,'Pivot Tables'!$G$3:$J$7,2,FALSE))</f>
        <v>0.5</v>
      </c>
      <c r="L12" s="13">
        <f>IF(F12="NA",1,VLOOKUP(F12,'Pivot Tables'!$G$10:$J$14,2,FALSE))</f>
        <v>0.2</v>
      </c>
      <c r="M12" s="13">
        <f>IF(C12="NA",1,VLOOKUP(C12,'Pivot Tables'!$B$3:$E$7,3,FALSE))</f>
        <v>0.54545454545454541</v>
      </c>
      <c r="N12" s="13">
        <f>IF(D12="NA",1,VLOOKUP(D12,'Pivot Tables'!$B$10:$E$14,3,FALSE))</f>
        <v>0.81818181818181823</v>
      </c>
      <c r="O12" s="13">
        <f>IF(E12="NA",1,VLOOKUP(E12,'Pivot Tables'!$G$3:$J$7,3,FALSE))</f>
        <v>0.72727272727272729</v>
      </c>
      <c r="P12" s="13">
        <f>IF(F12="NA",1,VLOOKUP(F12,'Pivot Tables'!$G$10:$J$14,3,FALSE))</f>
        <v>0.4642857142857143</v>
      </c>
      <c r="R12" s="22">
        <f>PRODUCT(I12:L12)*GETPIVOTDATA("Secure",'Pivot Tables'!$L$3,"Secure",0)</f>
        <v>3.1578947368421052E-3</v>
      </c>
      <c r="S12" s="22">
        <f>PRODUCT(M12:P12)*GETPIVOTDATA("Secure",'Pivot Tables'!$L$3,"Secure",1)</f>
        <v>0.13086435096004476</v>
      </c>
      <c r="U12" s="13">
        <f t="shared" si="0"/>
        <v>2.3562466965254398E-2</v>
      </c>
      <c r="V12" s="13">
        <f t="shared" si="1"/>
        <v>0.97643753303474556</v>
      </c>
      <c r="W12" s="13">
        <f t="shared" si="2"/>
        <v>1</v>
      </c>
      <c r="X12" s="15" t="str">
        <f t="shared" si="3"/>
        <v>TRUE</v>
      </c>
    </row>
    <row r="13" spans="2:24" x14ac:dyDescent="0.25">
      <c r="B13" s="17">
        <v>38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I13" s="13">
        <f>IF(C13="NA",1,VLOOKUP(C13,'Pivot Tables'!$B$3:$E$7,2,FALSE))</f>
        <v>0.4</v>
      </c>
      <c r="J13" s="13">
        <f>IF(D13="NA",1,VLOOKUP(D13,'Pivot Tables'!$B$10:$E$14,2,FALSE))</f>
        <v>0.4</v>
      </c>
      <c r="K13" s="13">
        <f>IF(E13="NA",1,VLOOKUP(E13,'Pivot Tables'!$G$3:$J$7,2,FALSE))</f>
        <v>0.5</v>
      </c>
      <c r="L13" s="13">
        <f>IF(F13="NA",1,VLOOKUP(F13,'Pivot Tables'!$G$10:$J$14,2,FALSE))</f>
        <v>0.8</v>
      </c>
      <c r="M13" s="13">
        <f>IF(C13="NA",1,VLOOKUP(C13,'Pivot Tables'!$B$3:$E$7,3,FALSE))</f>
        <v>0.45454545454545453</v>
      </c>
      <c r="N13" s="13">
        <f>IF(D13="NA",1,VLOOKUP(D13,'Pivot Tables'!$B$10:$E$14,3,FALSE))</f>
        <v>0.81818181818181823</v>
      </c>
      <c r="O13" s="13">
        <f>IF(E13="NA",1,VLOOKUP(E13,'Pivot Tables'!$G$3:$J$7,3,FALSE))</f>
        <v>0.27272727272727271</v>
      </c>
      <c r="P13" s="13">
        <f>IF(F13="NA",1,VLOOKUP(F13,'Pivot Tables'!$G$10:$J$14,3,FALSE))</f>
        <v>0.5357142857142857</v>
      </c>
      <c r="R13" s="22">
        <f>PRODUCT(I13:L13)*GETPIVOTDATA("Secure",'Pivot Tables'!$L$3,"Secure",0)</f>
        <v>8.4210526315789489E-3</v>
      </c>
      <c r="S13" s="22">
        <f>PRODUCT(M13:P13)*GETPIVOTDATA("Secure",'Pivot Tables'!$L$3,"Secure",1)</f>
        <v>4.718666500963152E-2</v>
      </c>
      <c r="U13" s="13">
        <f t="shared" si="0"/>
        <v>0.15143676073729323</v>
      </c>
      <c r="V13" s="13">
        <f t="shared" si="1"/>
        <v>0.84856323926270671</v>
      </c>
      <c r="W13" s="13">
        <f t="shared" si="2"/>
        <v>1</v>
      </c>
      <c r="X13" s="15" t="str">
        <f t="shared" si="3"/>
        <v>TRUE</v>
      </c>
    </row>
    <row r="14" spans="2:24" x14ac:dyDescent="0.25">
      <c r="B14" s="17">
        <v>46</v>
      </c>
      <c r="C14" s="9">
        <v>0</v>
      </c>
      <c r="D14" s="9">
        <v>1</v>
      </c>
      <c r="E14" s="9" t="str">
        <v>NA</v>
      </c>
      <c r="F14" s="9">
        <v>0</v>
      </c>
      <c r="G14" s="9">
        <v>1</v>
      </c>
      <c r="I14" s="13">
        <f>IF(C14="NA",1,VLOOKUP(C14,'Pivot Tables'!$B$3:$E$7,2,FALSE))</f>
        <v>0.4</v>
      </c>
      <c r="J14" s="13">
        <f>IF(D14="NA",1,VLOOKUP(D14,'Pivot Tables'!$B$10:$E$14,2,FALSE))</f>
        <v>0.4</v>
      </c>
      <c r="K14" s="13">
        <f>IF(E14="NA",1,VLOOKUP(E14,'Pivot Tables'!$G$3:$J$7,2,FALSE))</f>
        <v>1</v>
      </c>
      <c r="L14" s="13">
        <f>IF(F14="NA",1,VLOOKUP(F14,'Pivot Tables'!$G$10:$J$14,2,FALSE))</f>
        <v>0.8</v>
      </c>
      <c r="M14" s="13">
        <f>IF(C14="NA",1,VLOOKUP(C14,'Pivot Tables'!$B$3:$E$7,3,FALSE))</f>
        <v>0.45454545454545453</v>
      </c>
      <c r="N14" s="13">
        <f>IF(D14="NA",1,VLOOKUP(D14,'Pivot Tables'!$B$10:$E$14,3,FALSE))</f>
        <v>0.81818181818181823</v>
      </c>
      <c r="O14" s="13">
        <f>IF(E14="NA",1,VLOOKUP(E14,'Pivot Tables'!$G$3:$J$7,3,FALSE))</f>
        <v>1</v>
      </c>
      <c r="P14" s="13">
        <f>IF(F14="NA",1,VLOOKUP(F14,'Pivot Tables'!$G$10:$J$14,3,FALSE))</f>
        <v>0.5357142857142857</v>
      </c>
      <c r="R14" s="22">
        <f>PRODUCT(I14:L14)*GETPIVOTDATA("Secure",'Pivot Tables'!$L$3,"Secure",0)</f>
        <v>1.6842105263157898E-2</v>
      </c>
      <c r="S14" s="22">
        <f>PRODUCT(M14:P14)*GETPIVOTDATA("Secure",'Pivot Tables'!$L$3,"Secure",1)</f>
        <v>0.17301777170198226</v>
      </c>
      <c r="U14" s="13">
        <f t="shared" si="0"/>
        <v>8.8708080571706288E-2</v>
      </c>
      <c r="V14" s="13">
        <f t="shared" si="1"/>
        <v>0.91129191942829368</v>
      </c>
      <c r="W14" s="13">
        <f t="shared" si="2"/>
        <v>1</v>
      </c>
      <c r="X14" s="15" t="str">
        <f t="shared" si="3"/>
        <v>TRUE</v>
      </c>
    </row>
    <row r="15" spans="2:24" x14ac:dyDescent="0.25">
      <c r="B15" s="17">
        <v>49</v>
      </c>
      <c r="C15" s="9">
        <v>1</v>
      </c>
      <c r="D15" s="9">
        <v>1</v>
      </c>
      <c r="E15" s="9" t="str">
        <v>NA</v>
      </c>
      <c r="F15" s="9" t="str">
        <v>NA</v>
      </c>
      <c r="G15" s="9">
        <v>1</v>
      </c>
      <c r="I15" s="13">
        <f>IF(C15="NA",1,VLOOKUP(C15,'Pivot Tables'!$B$3:$E$7,2,FALSE))</f>
        <v>0.6</v>
      </c>
      <c r="J15" s="13">
        <f>IF(D15="NA",1,VLOOKUP(D15,'Pivot Tables'!$B$10:$E$14,2,FALSE))</f>
        <v>0.4</v>
      </c>
      <c r="K15" s="13">
        <f>IF(E15="NA",1,VLOOKUP(E15,'Pivot Tables'!$G$3:$J$7,2,FALSE))</f>
        <v>1</v>
      </c>
      <c r="L15" s="13">
        <f>IF(F15="NA",1,VLOOKUP(F15,'Pivot Tables'!$G$10:$J$14,2,FALSE))</f>
        <v>1</v>
      </c>
      <c r="M15" s="13">
        <f>IF(C15="NA",1,VLOOKUP(C15,'Pivot Tables'!$B$3:$E$7,3,FALSE))</f>
        <v>0.54545454545454541</v>
      </c>
      <c r="N15" s="13">
        <f>IF(D15="NA",1,VLOOKUP(D15,'Pivot Tables'!$B$10:$E$14,3,FALSE))</f>
        <v>0.81818181818181823</v>
      </c>
      <c r="O15" s="13">
        <f>IF(E15="NA",1,VLOOKUP(E15,'Pivot Tables'!$G$3:$J$7,3,FALSE))</f>
        <v>1</v>
      </c>
      <c r="P15" s="13">
        <f>IF(F15="NA",1,VLOOKUP(F15,'Pivot Tables'!$G$10:$J$14,3,FALSE))</f>
        <v>1</v>
      </c>
      <c r="R15" s="22">
        <f>PRODUCT(I15:L15)*GETPIVOTDATA("Secure",'Pivot Tables'!$L$3,"Secure",0)</f>
        <v>3.1578947368421047E-2</v>
      </c>
      <c r="S15" s="22">
        <f>PRODUCT(M15:P15)*GETPIVOTDATA("Secure",'Pivot Tables'!$L$3,"Secure",1)</f>
        <v>0.38755980861244022</v>
      </c>
      <c r="U15" s="13">
        <f t="shared" si="0"/>
        <v>7.5342465753424639E-2</v>
      </c>
      <c r="V15" s="13">
        <f t="shared" si="1"/>
        <v>0.92465753424657537</v>
      </c>
      <c r="W15" s="13">
        <f t="shared" si="2"/>
        <v>1</v>
      </c>
      <c r="X15" s="15" t="str">
        <f t="shared" si="3"/>
        <v>TRUE</v>
      </c>
    </row>
    <row r="16" spans="2:24" x14ac:dyDescent="0.25">
      <c r="B16" s="17">
        <v>17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I16" s="13">
        <f>IF(C16="NA",1,VLOOKUP(C16,'Pivot Tables'!$B$3:$E$7,2,FALSE))</f>
        <v>0.6</v>
      </c>
      <c r="J16" s="13">
        <f>IF(D16="NA",1,VLOOKUP(D16,'Pivot Tables'!$B$10:$E$14,2,FALSE))</f>
        <v>0.4</v>
      </c>
      <c r="K16" s="13">
        <f>IF(E16="NA",1,VLOOKUP(E16,'Pivot Tables'!$G$3:$J$7,2,FALSE))</f>
        <v>0.5</v>
      </c>
      <c r="L16" s="13">
        <f>IF(F16="NA",1,VLOOKUP(F16,'Pivot Tables'!$G$10:$J$14,2,FALSE))</f>
        <v>0.2</v>
      </c>
      <c r="M16" s="13">
        <f>IF(C16="NA",1,VLOOKUP(C16,'Pivot Tables'!$B$3:$E$7,3,FALSE))</f>
        <v>0.54545454545454541</v>
      </c>
      <c r="N16" s="13">
        <f>IF(D16="NA",1,VLOOKUP(D16,'Pivot Tables'!$B$10:$E$14,3,FALSE))</f>
        <v>0.81818181818181823</v>
      </c>
      <c r="O16" s="13">
        <f>IF(E16="NA",1,VLOOKUP(E16,'Pivot Tables'!$G$3:$J$7,3,FALSE))</f>
        <v>0.72727272727272729</v>
      </c>
      <c r="P16" s="13">
        <f>IF(F16="NA",1,VLOOKUP(F16,'Pivot Tables'!$G$10:$J$14,3,FALSE))</f>
        <v>0.4642857142857143</v>
      </c>
      <c r="R16" s="22">
        <f>PRODUCT(I16:L16)*GETPIVOTDATA("Secure",'Pivot Tables'!$L$3,"Secure",0)</f>
        <v>3.1578947368421052E-3</v>
      </c>
      <c r="S16" s="22">
        <f>PRODUCT(M16:P16)*GETPIVOTDATA("Secure",'Pivot Tables'!$L$3,"Secure",1)</f>
        <v>0.13086435096004476</v>
      </c>
      <c r="U16" s="13">
        <f t="shared" si="0"/>
        <v>2.3562466965254398E-2</v>
      </c>
      <c r="V16" s="13">
        <f t="shared" si="1"/>
        <v>0.97643753303474556</v>
      </c>
      <c r="W16" s="13">
        <f t="shared" si="2"/>
        <v>1</v>
      </c>
      <c r="X16" s="15" t="str">
        <f t="shared" si="3"/>
        <v>TRUE</v>
      </c>
    </row>
    <row r="17" spans="2:24" x14ac:dyDescent="0.25">
      <c r="B17" s="17">
        <v>34</v>
      </c>
      <c r="C17" s="9">
        <v>1</v>
      </c>
      <c r="D17" s="9">
        <v>0</v>
      </c>
      <c r="E17" s="9">
        <v>0</v>
      </c>
      <c r="F17" s="9">
        <v>0</v>
      </c>
      <c r="G17" s="9">
        <v>1</v>
      </c>
      <c r="I17" s="13">
        <f>IF(C17="NA",1,VLOOKUP(C17,'Pivot Tables'!$B$3:$E$7,2,FALSE))</f>
        <v>0.6</v>
      </c>
      <c r="J17" s="13">
        <f>IF(D17="NA",1,VLOOKUP(D17,'Pivot Tables'!$B$10:$E$14,2,FALSE))</f>
        <v>0.6</v>
      </c>
      <c r="K17" s="13">
        <f>IF(E17="NA",1,VLOOKUP(E17,'Pivot Tables'!$G$3:$J$7,2,FALSE))</f>
        <v>0.5</v>
      </c>
      <c r="L17" s="13">
        <f>IF(F17="NA",1,VLOOKUP(F17,'Pivot Tables'!$G$10:$J$14,2,FALSE))</f>
        <v>0.8</v>
      </c>
      <c r="M17" s="13">
        <f>IF(C17="NA",1,VLOOKUP(C17,'Pivot Tables'!$B$3:$E$7,3,FALSE))</f>
        <v>0.54545454545454541</v>
      </c>
      <c r="N17" s="13">
        <f>IF(D17="NA",1,VLOOKUP(D17,'Pivot Tables'!$B$10:$E$14,3,FALSE))</f>
        <v>0.18181818181818182</v>
      </c>
      <c r="O17" s="13">
        <f>IF(E17="NA",1,VLOOKUP(E17,'Pivot Tables'!$G$3:$J$7,3,FALSE))</f>
        <v>0.27272727272727271</v>
      </c>
      <c r="P17" s="13">
        <f>IF(F17="NA",1,VLOOKUP(F17,'Pivot Tables'!$G$10:$J$14,3,FALSE))</f>
        <v>0.5357142857142857</v>
      </c>
      <c r="R17" s="22">
        <f>PRODUCT(I17:L17)*GETPIVOTDATA("Secure",'Pivot Tables'!$L$3,"Secure",0)</f>
        <v>1.8947368421052629E-2</v>
      </c>
      <c r="S17" s="22">
        <f>PRODUCT(M17:P17)*GETPIVOTDATA("Secure",'Pivot Tables'!$L$3,"Secure",1)</f>
        <v>1.258311066923507E-2</v>
      </c>
      <c r="U17" s="13">
        <f t="shared" si="0"/>
        <v>0.60092231287690667</v>
      </c>
      <c r="V17" s="13">
        <f t="shared" si="1"/>
        <v>0.39907768712309333</v>
      </c>
      <c r="W17" s="13">
        <f t="shared" si="2"/>
        <v>0</v>
      </c>
      <c r="X17" s="15" t="str">
        <f t="shared" si="3"/>
        <v>FALSE</v>
      </c>
    </row>
    <row r="18" spans="2:24" x14ac:dyDescent="0.25">
      <c r="B18" s="17">
        <v>6</v>
      </c>
      <c r="C18" s="9">
        <v>1</v>
      </c>
      <c r="D18" s="9">
        <v>1</v>
      </c>
      <c r="E18" s="9">
        <v>1</v>
      </c>
      <c r="F18" s="9">
        <v>0</v>
      </c>
      <c r="G18" s="9">
        <v>1</v>
      </c>
      <c r="I18" s="13">
        <f>IF(C18="NA",1,VLOOKUP(C18,'Pivot Tables'!$B$3:$E$7,2,FALSE))</f>
        <v>0.6</v>
      </c>
      <c r="J18" s="13">
        <f>IF(D18="NA",1,VLOOKUP(D18,'Pivot Tables'!$B$10:$E$14,2,FALSE))</f>
        <v>0.4</v>
      </c>
      <c r="K18" s="13">
        <f>IF(E18="NA",1,VLOOKUP(E18,'Pivot Tables'!$G$3:$J$7,2,FALSE))</f>
        <v>0.5</v>
      </c>
      <c r="L18" s="13">
        <f>IF(F18="NA",1,VLOOKUP(F18,'Pivot Tables'!$G$10:$J$14,2,FALSE))</f>
        <v>0.8</v>
      </c>
      <c r="M18" s="13">
        <f>IF(C18="NA",1,VLOOKUP(C18,'Pivot Tables'!$B$3:$E$7,3,FALSE))</f>
        <v>0.54545454545454541</v>
      </c>
      <c r="N18" s="13">
        <f>IF(D18="NA",1,VLOOKUP(D18,'Pivot Tables'!$B$10:$E$14,3,FALSE))</f>
        <v>0.81818181818181823</v>
      </c>
      <c r="O18" s="13">
        <f>IF(E18="NA",1,VLOOKUP(E18,'Pivot Tables'!$G$3:$J$7,3,FALSE))</f>
        <v>0.72727272727272729</v>
      </c>
      <c r="P18" s="13">
        <f>IF(F18="NA",1,VLOOKUP(F18,'Pivot Tables'!$G$10:$J$14,3,FALSE))</f>
        <v>0.5357142857142857</v>
      </c>
      <c r="R18" s="22">
        <f>PRODUCT(I18:L18)*GETPIVOTDATA("Secure",'Pivot Tables'!$L$3,"Secure",0)</f>
        <v>1.2631578947368421E-2</v>
      </c>
      <c r="S18" s="22">
        <f>PRODUCT(M18:P18)*GETPIVOTDATA("Secure",'Pivot Tables'!$L$3,"Secure",1)</f>
        <v>0.15099732803082086</v>
      </c>
      <c r="U18" s="13">
        <f t="shared" si="0"/>
        <v>7.7196500182282177E-2</v>
      </c>
      <c r="V18" s="13">
        <f t="shared" si="1"/>
        <v>0.92280349981771781</v>
      </c>
      <c r="W18" s="13">
        <f t="shared" si="2"/>
        <v>1</v>
      </c>
      <c r="X18" s="15" t="str">
        <f t="shared" si="3"/>
        <v>TRUE</v>
      </c>
    </row>
    <row r="19" spans="2:24" x14ac:dyDescent="0.25">
      <c r="B19" s="17">
        <v>28</v>
      </c>
      <c r="C19" s="9">
        <v>0</v>
      </c>
      <c r="D19" s="9">
        <v>1</v>
      </c>
      <c r="E19" s="9" t="str">
        <v>NA</v>
      </c>
      <c r="F19" s="9">
        <v>1</v>
      </c>
      <c r="G19" s="9">
        <v>1</v>
      </c>
      <c r="I19" s="13">
        <f>IF(C19="NA",1,VLOOKUP(C19,'Pivot Tables'!$B$3:$E$7,2,FALSE))</f>
        <v>0.4</v>
      </c>
      <c r="J19" s="13">
        <f>IF(D19="NA",1,VLOOKUP(D19,'Pivot Tables'!$B$10:$E$14,2,FALSE))</f>
        <v>0.4</v>
      </c>
      <c r="K19" s="13">
        <f>IF(E19="NA",1,VLOOKUP(E19,'Pivot Tables'!$G$3:$J$7,2,FALSE))</f>
        <v>1</v>
      </c>
      <c r="L19" s="13">
        <f>IF(F19="NA",1,VLOOKUP(F19,'Pivot Tables'!$G$10:$J$14,2,FALSE))</f>
        <v>0.2</v>
      </c>
      <c r="M19" s="13">
        <f>IF(C19="NA",1,VLOOKUP(C19,'Pivot Tables'!$B$3:$E$7,3,FALSE))</f>
        <v>0.45454545454545453</v>
      </c>
      <c r="N19" s="13">
        <f>IF(D19="NA",1,VLOOKUP(D19,'Pivot Tables'!$B$10:$E$14,3,FALSE))</f>
        <v>0.81818181818181823</v>
      </c>
      <c r="O19" s="13">
        <f>IF(E19="NA",1,VLOOKUP(E19,'Pivot Tables'!$G$3:$J$7,3,FALSE))</f>
        <v>1</v>
      </c>
      <c r="P19" s="13">
        <f>IF(F19="NA",1,VLOOKUP(F19,'Pivot Tables'!$G$10:$J$14,3,FALSE))</f>
        <v>0.4642857142857143</v>
      </c>
      <c r="R19" s="22">
        <f>PRODUCT(I19:L19)*GETPIVOTDATA("Secure",'Pivot Tables'!$L$3,"Secure",0)</f>
        <v>4.2105263157894745E-3</v>
      </c>
      <c r="S19" s="22">
        <f>PRODUCT(M19:P19)*GETPIVOTDATA("Secure",'Pivot Tables'!$L$3,"Secure",1)</f>
        <v>0.14994873547505128</v>
      </c>
      <c r="U19" s="13">
        <f t="shared" si="0"/>
        <v>2.7312833928215135E-2</v>
      </c>
      <c r="V19" s="13">
        <f t="shared" si="1"/>
        <v>0.97268716607178485</v>
      </c>
      <c r="W19" s="13">
        <f t="shared" si="2"/>
        <v>1</v>
      </c>
      <c r="X19" s="15" t="str">
        <f t="shared" si="3"/>
        <v>TRUE</v>
      </c>
    </row>
    <row r="20" spans="2:24" x14ac:dyDescent="0.25">
      <c r="B20" s="17">
        <v>37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I20" s="13">
        <f>IF(C20="NA",1,VLOOKUP(C20,'Pivot Tables'!$B$3:$E$7,2,FALSE))</f>
        <v>0.4</v>
      </c>
      <c r="J20" s="13">
        <f>IF(D20="NA",1,VLOOKUP(D20,'Pivot Tables'!$B$10:$E$14,2,FALSE))</f>
        <v>0.4</v>
      </c>
      <c r="K20" s="13">
        <f>IF(E20="NA",1,VLOOKUP(E20,'Pivot Tables'!$G$3:$J$7,2,FALSE))</f>
        <v>0.5</v>
      </c>
      <c r="L20" s="13">
        <f>IF(F20="NA",1,VLOOKUP(F20,'Pivot Tables'!$G$10:$J$14,2,FALSE))</f>
        <v>0.8</v>
      </c>
      <c r="M20" s="13">
        <f>IF(C20="NA",1,VLOOKUP(C20,'Pivot Tables'!$B$3:$E$7,3,FALSE))</f>
        <v>0.45454545454545453</v>
      </c>
      <c r="N20" s="13">
        <f>IF(D20="NA",1,VLOOKUP(D20,'Pivot Tables'!$B$10:$E$14,3,FALSE))</f>
        <v>0.81818181818181823</v>
      </c>
      <c r="O20" s="13">
        <f>IF(E20="NA",1,VLOOKUP(E20,'Pivot Tables'!$G$3:$J$7,3,FALSE))</f>
        <v>0.72727272727272729</v>
      </c>
      <c r="P20" s="13">
        <f>IF(F20="NA",1,VLOOKUP(F20,'Pivot Tables'!$G$10:$J$14,3,FALSE))</f>
        <v>0.5357142857142857</v>
      </c>
      <c r="R20" s="22">
        <f>PRODUCT(I20:L20)*GETPIVOTDATA("Secure",'Pivot Tables'!$L$3,"Secure",0)</f>
        <v>8.4210526315789489E-3</v>
      </c>
      <c r="S20" s="22">
        <f>PRODUCT(M20:P20)*GETPIVOTDATA("Secure",'Pivot Tables'!$L$3,"Secure",1)</f>
        <v>0.12583110669235073</v>
      </c>
      <c r="U20" s="13">
        <f t="shared" si="0"/>
        <v>6.2725640123673931E-2</v>
      </c>
      <c r="V20" s="13">
        <f t="shared" si="1"/>
        <v>0.93727435987632601</v>
      </c>
      <c r="W20" s="13">
        <f t="shared" si="2"/>
        <v>1</v>
      </c>
      <c r="X20" s="15" t="str">
        <f t="shared" si="3"/>
        <v>TRUE</v>
      </c>
    </row>
    <row r="21" spans="2:24" x14ac:dyDescent="0.25">
      <c r="B21" s="17">
        <v>41</v>
      </c>
      <c r="C21" s="9">
        <v>1</v>
      </c>
      <c r="D21" s="9">
        <v>1</v>
      </c>
      <c r="E21" s="9">
        <v>1</v>
      </c>
      <c r="F21" s="9">
        <v>0</v>
      </c>
      <c r="G21" s="9">
        <v>1</v>
      </c>
      <c r="I21" s="13">
        <f>IF(C21="NA",1,VLOOKUP(C21,'Pivot Tables'!$B$3:$E$7,2,FALSE))</f>
        <v>0.6</v>
      </c>
      <c r="J21" s="13">
        <f>IF(D21="NA",1,VLOOKUP(D21,'Pivot Tables'!$B$10:$E$14,2,FALSE))</f>
        <v>0.4</v>
      </c>
      <c r="K21" s="13">
        <f>IF(E21="NA",1,VLOOKUP(E21,'Pivot Tables'!$G$3:$J$7,2,FALSE))</f>
        <v>0.5</v>
      </c>
      <c r="L21" s="13">
        <f>IF(F21="NA",1,VLOOKUP(F21,'Pivot Tables'!$G$10:$J$14,2,FALSE))</f>
        <v>0.8</v>
      </c>
      <c r="M21" s="13">
        <f>IF(C21="NA",1,VLOOKUP(C21,'Pivot Tables'!$B$3:$E$7,3,FALSE))</f>
        <v>0.54545454545454541</v>
      </c>
      <c r="N21" s="13">
        <f>IF(D21="NA",1,VLOOKUP(D21,'Pivot Tables'!$B$10:$E$14,3,FALSE))</f>
        <v>0.81818181818181823</v>
      </c>
      <c r="O21" s="13">
        <f>IF(E21="NA",1,VLOOKUP(E21,'Pivot Tables'!$G$3:$J$7,3,FALSE))</f>
        <v>0.72727272727272729</v>
      </c>
      <c r="P21" s="13">
        <f>IF(F21="NA",1,VLOOKUP(F21,'Pivot Tables'!$G$10:$J$14,3,FALSE))</f>
        <v>0.5357142857142857</v>
      </c>
      <c r="R21" s="22">
        <f>PRODUCT(I21:L21)*GETPIVOTDATA("Secure",'Pivot Tables'!$L$3,"Secure",0)</f>
        <v>1.2631578947368421E-2</v>
      </c>
      <c r="S21" s="22">
        <f>PRODUCT(M21:P21)*GETPIVOTDATA("Secure",'Pivot Tables'!$L$3,"Secure",1)</f>
        <v>0.15099732803082086</v>
      </c>
      <c r="U21" s="13">
        <f t="shared" si="0"/>
        <v>7.7196500182282177E-2</v>
      </c>
      <c r="V21" s="13">
        <f t="shared" si="1"/>
        <v>0.92280349981771781</v>
      </c>
      <c r="W21" s="13">
        <f t="shared" si="2"/>
        <v>1</v>
      </c>
      <c r="X21" s="15" t="str">
        <f t="shared" si="3"/>
        <v>TRUE</v>
      </c>
    </row>
    <row r="22" spans="2:24" x14ac:dyDescent="0.25">
      <c r="B22" s="17">
        <v>13</v>
      </c>
      <c r="C22" s="9">
        <v>0</v>
      </c>
      <c r="D22" s="9">
        <v>0</v>
      </c>
      <c r="E22" s="9">
        <v>1</v>
      </c>
      <c r="F22" s="9" t="str">
        <v>NA</v>
      </c>
      <c r="G22" s="9">
        <v>1</v>
      </c>
      <c r="I22" s="13">
        <f>IF(C22="NA",1,VLOOKUP(C22,'Pivot Tables'!$B$3:$E$7,2,FALSE))</f>
        <v>0.4</v>
      </c>
      <c r="J22" s="13">
        <f>IF(D22="NA",1,VLOOKUP(D22,'Pivot Tables'!$B$10:$E$14,2,FALSE))</f>
        <v>0.6</v>
      </c>
      <c r="K22" s="13">
        <f>IF(E22="NA",1,VLOOKUP(E22,'Pivot Tables'!$G$3:$J$7,2,FALSE))</f>
        <v>0.5</v>
      </c>
      <c r="L22" s="13">
        <f>IF(F22="NA",1,VLOOKUP(F22,'Pivot Tables'!$G$10:$J$14,2,FALSE))</f>
        <v>1</v>
      </c>
      <c r="M22" s="13">
        <f>IF(C22="NA",1,VLOOKUP(C22,'Pivot Tables'!$B$3:$E$7,3,FALSE))</f>
        <v>0.45454545454545453</v>
      </c>
      <c r="N22" s="13">
        <f>IF(D22="NA",1,VLOOKUP(D22,'Pivot Tables'!$B$10:$E$14,3,FALSE))</f>
        <v>0.18181818181818182</v>
      </c>
      <c r="O22" s="13">
        <f>IF(E22="NA",1,VLOOKUP(E22,'Pivot Tables'!$G$3:$J$7,3,FALSE))</f>
        <v>0.72727272727272729</v>
      </c>
      <c r="P22" s="13">
        <f>IF(F22="NA",1,VLOOKUP(F22,'Pivot Tables'!$G$10:$J$14,3,FALSE))</f>
        <v>1</v>
      </c>
      <c r="R22" s="22">
        <f>PRODUCT(I22:L22)*GETPIVOTDATA("Secure",'Pivot Tables'!$L$3,"Secure",0)</f>
        <v>1.5789473684210523E-2</v>
      </c>
      <c r="S22" s="22">
        <f>PRODUCT(M22:P22)*GETPIVOTDATA("Secure",'Pivot Tables'!$L$3,"Secure",1)</f>
        <v>5.2196607220530676E-2</v>
      </c>
      <c r="U22" s="13">
        <f t="shared" si="0"/>
        <v>0.2322456813819577</v>
      </c>
      <c r="V22" s="13">
        <f t="shared" si="1"/>
        <v>0.76775431861804233</v>
      </c>
      <c r="W22" s="13">
        <f t="shared" si="2"/>
        <v>1</v>
      </c>
      <c r="X22" s="15" t="str">
        <f t="shared" si="3"/>
        <v>TRUE</v>
      </c>
    </row>
    <row r="23" spans="2:24" x14ac:dyDescent="0.25">
      <c r="B23" s="17">
        <v>43</v>
      </c>
      <c r="C23" s="9">
        <v>0</v>
      </c>
      <c r="D23" s="9">
        <v>0</v>
      </c>
      <c r="E23" s="9">
        <v>0</v>
      </c>
      <c r="F23" s="9">
        <v>0</v>
      </c>
      <c r="G23" s="9">
        <v>1</v>
      </c>
      <c r="I23" s="13">
        <f>IF(C23="NA",1,VLOOKUP(C23,'Pivot Tables'!$B$3:$E$7,2,FALSE))</f>
        <v>0.4</v>
      </c>
      <c r="J23" s="13">
        <f>IF(D23="NA",1,VLOOKUP(D23,'Pivot Tables'!$B$10:$E$14,2,FALSE))</f>
        <v>0.6</v>
      </c>
      <c r="K23" s="13">
        <f>IF(E23="NA",1,VLOOKUP(E23,'Pivot Tables'!$G$3:$J$7,2,FALSE))</f>
        <v>0.5</v>
      </c>
      <c r="L23" s="13">
        <f>IF(F23="NA",1,VLOOKUP(F23,'Pivot Tables'!$G$10:$J$14,2,FALSE))</f>
        <v>0.8</v>
      </c>
      <c r="M23" s="13">
        <f>IF(C23="NA",1,VLOOKUP(C23,'Pivot Tables'!$B$3:$E$7,3,FALSE))</f>
        <v>0.45454545454545453</v>
      </c>
      <c r="N23" s="13">
        <f>IF(D23="NA",1,VLOOKUP(D23,'Pivot Tables'!$B$10:$E$14,3,FALSE))</f>
        <v>0.18181818181818182</v>
      </c>
      <c r="O23" s="13">
        <f>IF(E23="NA",1,VLOOKUP(E23,'Pivot Tables'!$G$3:$J$7,3,FALSE))</f>
        <v>0.27272727272727271</v>
      </c>
      <c r="P23" s="13">
        <f>IF(F23="NA",1,VLOOKUP(F23,'Pivot Tables'!$G$10:$J$14,3,FALSE))</f>
        <v>0.5357142857142857</v>
      </c>
      <c r="R23" s="22">
        <f>PRODUCT(I23:L23)*GETPIVOTDATA("Secure",'Pivot Tables'!$L$3,"Secure",0)</f>
        <v>1.2631578947368421E-2</v>
      </c>
      <c r="S23" s="22">
        <f>PRODUCT(M23:P23)*GETPIVOTDATA("Secure",'Pivot Tables'!$L$3,"Secure",1)</f>
        <v>1.0485925557695893E-2</v>
      </c>
      <c r="U23" s="13">
        <f t="shared" si="0"/>
        <v>0.54640754777840495</v>
      </c>
      <c r="V23" s="13">
        <f t="shared" si="1"/>
        <v>0.45359245222159505</v>
      </c>
      <c r="W23" s="13">
        <f t="shared" si="2"/>
        <v>0</v>
      </c>
      <c r="X23" s="15" t="str">
        <f t="shared" si="3"/>
        <v>FALSE</v>
      </c>
    </row>
    <row r="24" spans="2:24" x14ac:dyDescent="0.25">
      <c r="B24" s="17">
        <v>48</v>
      </c>
      <c r="C24" s="9">
        <v>1</v>
      </c>
      <c r="D24" s="9">
        <v>1</v>
      </c>
      <c r="E24" s="9" t="str">
        <v>NA</v>
      </c>
      <c r="F24" s="9" t="str">
        <v>NA</v>
      </c>
      <c r="G24" s="9">
        <v>1</v>
      </c>
      <c r="I24" s="13">
        <f>IF(C24="NA",1,VLOOKUP(C24,'Pivot Tables'!$B$3:$E$7,2,FALSE))</f>
        <v>0.6</v>
      </c>
      <c r="J24" s="13">
        <f>IF(D24="NA",1,VLOOKUP(D24,'Pivot Tables'!$B$10:$E$14,2,FALSE))</f>
        <v>0.4</v>
      </c>
      <c r="K24" s="13">
        <f>IF(E24="NA",1,VLOOKUP(E24,'Pivot Tables'!$G$3:$J$7,2,FALSE))</f>
        <v>1</v>
      </c>
      <c r="L24" s="13">
        <f>IF(F24="NA",1,VLOOKUP(F24,'Pivot Tables'!$G$10:$J$14,2,FALSE))</f>
        <v>1</v>
      </c>
      <c r="M24" s="13">
        <f>IF(C24="NA",1,VLOOKUP(C24,'Pivot Tables'!$B$3:$E$7,3,FALSE))</f>
        <v>0.54545454545454541</v>
      </c>
      <c r="N24" s="13">
        <f>IF(D24="NA",1,VLOOKUP(D24,'Pivot Tables'!$B$10:$E$14,3,FALSE))</f>
        <v>0.81818181818181823</v>
      </c>
      <c r="O24" s="13">
        <f>IF(E24="NA",1,VLOOKUP(E24,'Pivot Tables'!$G$3:$J$7,3,FALSE))</f>
        <v>1</v>
      </c>
      <c r="P24" s="13">
        <f>IF(F24="NA",1,VLOOKUP(F24,'Pivot Tables'!$G$10:$J$14,3,FALSE))</f>
        <v>1</v>
      </c>
      <c r="R24" s="22">
        <f>PRODUCT(I24:L24)*GETPIVOTDATA("Secure",'Pivot Tables'!$L$3,"Secure",0)</f>
        <v>3.1578947368421047E-2</v>
      </c>
      <c r="S24" s="22">
        <f>PRODUCT(M24:P24)*GETPIVOTDATA("Secure",'Pivot Tables'!$L$3,"Secure",1)</f>
        <v>0.38755980861244022</v>
      </c>
      <c r="U24" s="13">
        <f t="shared" si="0"/>
        <v>7.5342465753424639E-2</v>
      </c>
      <c r="V24" s="13">
        <f t="shared" si="1"/>
        <v>0.92465753424657537</v>
      </c>
      <c r="W24" s="13">
        <f t="shared" si="2"/>
        <v>1</v>
      </c>
      <c r="X24" s="15" t="str">
        <f t="shared" si="3"/>
        <v>TRUE</v>
      </c>
    </row>
    <row r="25" spans="2:24" x14ac:dyDescent="0.25">
      <c r="B25" s="17">
        <v>8</v>
      </c>
      <c r="C25" s="9">
        <v>0</v>
      </c>
      <c r="D25" s="9">
        <v>1</v>
      </c>
      <c r="E25" s="9">
        <v>1</v>
      </c>
      <c r="F25" s="9">
        <v>1</v>
      </c>
      <c r="G25" s="9">
        <v>1</v>
      </c>
      <c r="I25" s="13">
        <f>IF(C25="NA",1,VLOOKUP(C25,'Pivot Tables'!$B$3:$E$7,2,FALSE))</f>
        <v>0.4</v>
      </c>
      <c r="J25" s="13">
        <f>IF(D25="NA",1,VLOOKUP(D25,'Pivot Tables'!$B$10:$E$14,2,FALSE))</f>
        <v>0.4</v>
      </c>
      <c r="K25" s="13">
        <f>IF(E25="NA",1,VLOOKUP(E25,'Pivot Tables'!$G$3:$J$7,2,FALSE))</f>
        <v>0.5</v>
      </c>
      <c r="L25" s="13">
        <f>IF(F25="NA",1,VLOOKUP(F25,'Pivot Tables'!$G$10:$J$14,2,FALSE))</f>
        <v>0.2</v>
      </c>
      <c r="M25" s="13">
        <f>IF(C25="NA",1,VLOOKUP(C25,'Pivot Tables'!$B$3:$E$7,3,FALSE))</f>
        <v>0.45454545454545453</v>
      </c>
      <c r="N25" s="13">
        <f>IF(D25="NA",1,VLOOKUP(D25,'Pivot Tables'!$B$10:$E$14,3,FALSE))</f>
        <v>0.81818181818181823</v>
      </c>
      <c r="O25" s="13">
        <f>IF(E25="NA",1,VLOOKUP(E25,'Pivot Tables'!$G$3:$J$7,3,FALSE))</f>
        <v>0.72727272727272729</v>
      </c>
      <c r="P25" s="13">
        <f>IF(F25="NA",1,VLOOKUP(F25,'Pivot Tables'!$G$10:$J$14,3,FALSE))</f>
        <v>0.4642857142857143</v>
      </c>
      <c r="R25" s="22">
        <f>PRODUCT(I25:L25)*GETPIVOTDATA("Secure",'Pivot Tables'!$L$3,"Secure",0)</f>
        <v>2.1052631578947372E-3</v>
      </c>
      <c r="S25" s="22">
        <f>PRODUCT(M25:P25)*GETPIVOTDATA("Secure",'Pivot Tables'!$L$3,"Secure",1)</f>
        <v>0.10905362580003732</v>
      </c>
      <c r="U25" s="13">
        <f t="shared" si="0"/>
        <v>1.8939224542730646E-2</v>
      </c>
      <c r="V25" s="13">
        <f t="shared" si="1"/>
        <v>0.98106077545726933</v>
      </c>
      <c r="W25" s="13">
        <f t="shared" si="2"/>
        <v>1</v>
      </c>
      <c r="X25" s="15" t="str">
        <f t="shared" si="3"/>
        <v>TRUE</v>
      </c>
    </row>
    <row r="26" spans="2:24" x14ac:dyDescent="0.25">
      <c r="B26" s="17">
        <v>47</v>
      </c>
      <c r="C26" s="9">
        <v>1</v>
      </c>
      <c r="D26" s="9">
        <v>1</v>
      </c>
      <c r="E26" s="9" t="str">
        <v>NA</v>
      </c>
      <c r="F26" s="9" t="str">
        <v>NA</v>
      </c>
      <c r="G26" s="9">
        <v>1</v>
      </c>
      <c r="I26" s="13">
        <f>IF(C26="NA",1,VLOOKUP(C26,'Pivot Tables'!$B$3:$E$7,2,FALSE))</f>
        <v>0.6</v>
      </c>
      <c r="J26" s="13">
        <f>IF(D26="NA",1,VLOOKUP(D26,'Pivot Tables'!$B$10:$E$14,2,FALSE))</f>
        <v>0.4</v>
      </c>
      <c r="K26" s="13">
        <f>IF(E26="NA",1,VLOOKUP(E26,'Pivot Tables'!$G$3:$J$7,2,FALSE))</f>
        <v>1</v>
      </c>
      <c r="L26" s="13">
        <f>IF(F26="NA",1,VLOOKUP(F26,'Pivot Tables'!$G$10:$J$14,2,FALSE))</f>
        <v>1</v>
      </c>
      <c r="M26" s="13">
        <f>IF(C26="NA",1,VLOOKUP(C26,'Pivot Tables'!$B$3:$E$7,3,FALSE))</f>
        <v>0.54545454545454541</v>
      </c>
      <c r="N26" s="13">
        <f>IF(D26="NA",1,VLOOKUP(D26,'Pivot Tables'!$B$10:$E$14,3,FALSE))</f>
        <v>0.81818181818181823</v>
      </c>
      <c r="O26" s="13">
        <f>IF(E26="NA",1,VLOOKUP(E26,'Pivot Tables'!$G$3:$J$7,3,FALSE))</f>
        <v>1</v>
      </c>
      <c r="P26" s="13">
        <f>IF(F26="NA",1,VLOOKUP(F26,'Pivot Tables'!$G$10:$J$14,3,FALSE))</f>
        <v>1</v>
      </c>
      <c r="R26" s="22">
        <f>PRODUCT(I26:L26)*GETPIVOTDATA("Secure",'Pivot Tables'!$L$3,"Secure",0)</f>
        <v>3.1578947368421047E-2</v>
      </c>
      <c r="S26" s="22">
        <f>PRODUCT(M26:P26)*GETPIVOTDATA("Secure",'Pivot Tables'!$L$3,"Secure",1)</f>
        <v>0.38755980861244022</v>
      </c>
      <c r="U26" s="13">
        <f t="shared" si="0"/>
        <v>7.5342465753424639E-2</v>
      </c>
      <c r="V26" s="13">
        <f t="shared" si="1"/>
        <v>0.92465753424657537</v>
      </c>
      <c r="W26" s="13">
        <f t="shared" si="2"/>
        <v>1</v>
      </c>
      <c r="X26" s="15" t="str">
        <f t="shared" si="3"/>
        <v>TRUE</v>
      </c>
    </row>
    <row r="27" spans="2:24" x14ac:dyDescent="0.25">
      <c r="B27" s="17">
        <v>53</v>
      </c>
      <c r="C27" s="9">
        <v>1</v>
      </c>
      <c r="D27" s="9">
        <v>1</v>
      </c>
      <c r="E27" s="9">
        <v>1</v>
      </c>
      <c r="F27" s="9">
        <v>0</v>
      </c>
      <c r="G27" s="9">
        <v>1</v>
      </c>
      <c r="I27" s="13">
        <f>IF(C27="NA",1,VLOOKUP(C27,'Pivot Tables'!$B$3:$E$7,2,FALSE))</f>
        <v>0.6</v>
      </c>
      <c r="J27" s="13">
        <f>IF(D27="NA",1,VLOOKUP(D27,'Pivot Tables'!$B$10:$E$14,2,FALSE))</f>
        <v>0.4</v>
      </c>
      <c r="K27" s="13">
        <f>IF(E27="NA",1,VLOOKUP(E27,'Pivot Tables'!$G$3:$J$7,2,FALSE))</f>
        <v>0.5</v>
      </c>
      <c r="L27" s="13">
        <f>IF(F27="NA",1,VLOOKUP(F27,'Pivot Tables'!$G$10:$J$14,2,FALSE))</f>
        <v>0.8</v>
      </c>
      <c r="M27" s="13">
        <f>IF(C27="NA",1,VLOOKUP(C27,'Pivot Tables'!$B$3:$E$7,3,FALSE))</f>
        <v>0.54545454545454541</v>
      </c>
      <c r="N27" s="13">
        <f>IF(D27="NA",1,VLOOKUP(D27,'Pivot Tables'!$B$10:$E$14,3,FALSE))</f>
        <v>0.81818181818181823</v>
      </c>
      <c r="O27" s="13">
        <f>IF(E27="NA",1,VLOOKUP(E27,'Pivot Tables'!$G$3:$J$7,3,FALSE))</f>
        <v>0.72727272727272729</v>
      </c>
      <c r="P27" s="13">
        <f>IF(F27="NA",1,VLOOKUP(F27,'Pivot Tables'!$G$10:$J$14,3,FALSE))</f>
        <v>0.5357142857142857</v>
      </c>
      <c r="R27" s="22">
        <f>PRODUCT(I27:L27)*GETPIVOTDATA("Secure",'Pivot Tables'!$L$3,"Secure",0)</f>
        <v>1.2631578947368421E-2</v>
      </c>
      <c r="S27" s="22">
        <f>PRODUCT(M27:P27)*GETPIVOTDATA("Secure",'Pivot Tables'!$L$3,"Secure",1)</f>
        <v>0.15099732803082086</v>
      </c>
      <c r="U27" s="13">
        <f t="shared" si="0"/>
        <v>7.7196500182282177E-2</v>
      </c>
      <c r="V27" s="13">
        <f t="shared" si="1"/>
        <v>0.92280349981771781</v>
      </c>
      <c r="W27" s="13">
        <f t="shared" si="2"/>
        <v>1</v>
      </c>
      <c r="X27" s="15" t="str">
        <f t="shared" si="3"/>
        <v>TRUE</v>
      </c>
    </row>
    <row r="28" spans="2:24" x14ac:dyDescent="0.25">
      <c r="B28" s="17">
        <v>54</v>
      </c>
      <c r="C28" s="9">
        <v>0</v>
      </c>
      <c r="D28" s="9">
        <v>1</v>
      </c>
      <c r="E28" s="9" t="str">
        <v>NA</v>
      </c>
      <c r="F28" s="9">
        <v>1</v>
      </c>
      <c r="G28" s="9">
        <v>1</v>
      </c>
      <c r="I28" s="13">
        <f>IF(C28="NA",1,VLOOKUP(C28,'Pivot Tables'!$B$3:$E$7,2,FALSE))</f>
        <v>0.4</v>
      </c>
      <c r="J28" s="13">
        <f>IF(D28="NA",1,VLOOKUP(D28,'Pivot Tables'!$B$10:$E$14,2,FALSE))</f>
        <v>0.4</v>
      </c>
      <c r="K28" s="13">
        <f>IF(E28="NA",1,VLOOKUP(E28,'Pivot Tables'!$G$3:$J$7,2,FALSE))</f>
        <v>1</v>
      </c>
      <c r="L28" s="13">
        <f>IF(F28="NA",1,VLOOKUP(F28,'Pivot Tables'!$G$10:$J$14,2,FALSE))</f>
        <v>0.2</v>
      </c>
      <c r="M28" s="13">
        <f>IF(C28="NA",1,VLOOKUP(C28,'Pivot Tables'!$B$3:$E$7,3,FALSE))</f>
        <v>0.45454545454545453</v>
      </c>
      <c r="N28" s="13">
        <f>IF(D28="NA",1,VLOOKUP(D28,'Pivot Tables'!$B$10:$E$14,3,FALSE))</f>
        <v>0.81818181818181823</v>
      </c>
      <c r="O28" s="13">
        <f>IF(E28="NA",1,VLOOKUP(E28,'Pivot Tables'!$G$3:$J$7,3,FALSE))</f>
        <v>1</v>
      </c>
      <c r="P28" s="13">
        <f>IF(F28="NA",1,VLOOKUP(F28,'Pivot Tables'!$G$10:$J$14,3,FALSE))</f>
        <v>0.4642857142857143</v>
      </c>
      <c r="R28" s="22">
        <f>PRODUCT(I28:L28)*GETPIVOTDATA("Secure",'Pivot Tables'!$L$3,"Secure",0)</f>
        <v>4.2105263157894745E-3</v>
      </c>
      <c r="S28" s="22">
        <f>PRODUCT(M28:P28)*GETPIVOTDATA("Secure",'Pivot Tables'!$L$3,"Secure",1)</f>
        <v>0.14994873547505128</v>
      </c>
      <c r="U28" s="13">
        <f t="shared" si="0"/>
        <v>2.7312833928215135E-2</v>
      </c>
      <c r="V28" s="13">
        <f t="shared" si="1"/>
        <v>0.97268716607178485</v>
      </c>
      <c r="W28" s="13">
        <f t="shared" si="2"/>
        <v>1</v>
      </c>
      <c r="X28" s="15" t="str">
        <f t="shared" si="3"/>
        <v>TRUE</v>
      </c>
    </row>
    <row r="29" spans="2:24" x14ac:dyDescent="0.25">
      <c r="B29" s="17">
        <v>57</v>
      </c>
      <c r="C29" s="9">
        <v>1</v>
      </c>
      <c r="D29" s="9">
        <v>1</v>
      </c>
      <c r="E29" s="9">
        <v>0</v>
      </c>
      <c r="F29" s="9">
        <v>0</v>
      </c>
      <c r="G29" s="9">
        <v>1</v>
      </c>
      <c r="I29" s="13">
        <f>IF(C29="NA",1,VLOOKUP(C29,'Pivot Tables'!$B$3:$E$7,2,FALSE))</f>
        <v>0.6</v>
      </c>
      <c r="J29" s="13">
        <f>IF(D29="NA",1,VLOOKUP(D29,'Pivot Tables'!$B$10:$E$14,2,FALSE))</f>
        <v>0.4</v>
      </c>
      <c r="K29" s="13">
        <f>IF(E29="NA",1,VLOOKUP(E29,'Pivot Tables'!$G$3:$J$7,2,FALSE))</f>
        <v>0.5</v>
      </c>
      <c r="L29" s="13">
        <f>IF(F29="NA",1,VLOOKUP(F29,'Pivot Tables'!$G$10:$J$14,2,FALSE))</f>
        <v>0.8</v>
      </c>
      <c r="M29" s="13">
        <f>IF(C29="NA",1,VLOOKUP(C29,'Pivot Tables'!$B$3:$E$7,3,FALSE))</f>
        <v>0.54545454545454541</v>
      </c>
      <c r="N29" s="13">
        <f>IF(D29="NA",1,VLOOKUP(D29,'Pivot Tables'!$B$10:$E$14,3,FALSE))</f>
        <v>0.81818181818181823</v>
      </c>
      <c r="O29" s="13">
        <f>IF(E29="NA",1,VLOOKUP(E29,'Pivot Tables'!$G$3:$J$7,3,FALSE))</f>
        <v>0.27272727272727271</v>
      </c>
      <c r="P29" s="13">
        <f>IF(F29="NA",1,VLOOKUP(F29,'Pivot Tables'!$G$10:$J$14,3,FALSE))</f>
        <v>0.5357142857142857</v>
      </c>
      <c r="R29" s="22">
        <f>PRODUCT(I29:L29)*GETPIVOTDATA("Secure",'Pivot Tables'!$L$3,"Secure",0)</f>
        <v>1.2631578947368421E-2</v>
      </c>
      <c r="S29" s="22">
        <f>PRODUCT(M29:P29)*GETPIVOTDATA("Secure",'Pivot Tables'!$L$3,"Secure",1)</f>
        <v>5.6623998011557819E-2</v>
      </c>
      <c r="U29" s="13">
        <f t="shared" si="0"/>
        <v>0.18239078355898899</v>
      </c>
      <c r="V29" s="13">
        <f t="shared" si="1"/>
        <v>0.81760921644101103</v>
      </c>
      <c r="W29" s="13">
        <f t="shared" si="2"/>
        <v>1</v>
      </c>
      <c r="X29" s="15" t="str">
        <f t="shared" si="3"/>
        <v>TRUE</v>
      </c>
    </row>
    <row r="30" spans="2:24" x14ac:dyDescent="0.25">
      <c r="B30" s="17">
        <v>35</v>
      </c>
      <c r="C30" s="9">
        <v>0</v>
      </c>
      <c r="D30" s="9">
        <v>1</v>
      </c>
      <c r="E30" s="9" t="str">
        <v>NA</v>
      </c>
      <c r="F30" s="9">
        <v>0</v>
      </c>
      <c r="G30" s="9">
        <v>1</v>
      </c>
      <c r="I30" s="13">
        <f>IF(C30="NA",1,VLOOKUP(C30,'Pivot Tables'!$B$3:$E$7,2,FALSE))</f>
        <v>0.4</v>
      </c>
      <c r="J30" s="13">
        <f>IF(D30="NA",1,VLOOKUP(D30,'Pivot Tables'!$B$10:$E$14,2,FALSE))</f>
        <v>0.4</v>
      </c>
      <c r="K30" s="13">
        <f>IF(E30="NA",1,VLOOKUP(E30,'Pivot Tables'!$G$3:$J$7,2,FALSE))</f>
        <v>1</v>
      </c>
      <c r="L30" s="13">
        <f>IF(F30="NA",1,VLOOKUP(F30,'Pivot Tables'!$G$10:$J$14,2,FALSE))</f>
        <v>0.8</v>
      </c>
      <c r="M30" s="13">
        <f>IF(C30="NA",1,VLOOKUP(C30,'Pivot Tables'!$B$3:$E$7,3,FALSE))</f>
        <v>0.45454545454545453</v>
      </c>
      <c r="N30" s="13">
        <f>IF(D30="NA",1,VLOOKUP(D30,'Pivot Tables'!$B$10:$E$14,3,FALSE))</f>
        <v>0.81818181818181823</v>
      </c>
      <c r="O30" s="13">
        <f>IF(E30="NA",1,VLOOKUP(E30,'Pivot Tables'!$G$3:$J$7,3,FALSE))</f>
        <v>1</v>
      </c>
      <c r="P30" s="13">
        <f>IF(F30="NA",1,VLOOKUP(F30,'Pivot Tables'!$G$10:$J$14,3,FALSE))</f>
        <v>0.5357142857142857</v>
      </c>
      <c r="R30" s="22">
        <f>PRODUCT(I30:L30)*GETPIVOTDATA("Secure",'Pivot Tables'!$L$3,"Secure",0)</f>
        <v>1.6842105263157898E-2</v>
      </c>
      <c r="S30" s="22">
        <f>PRODUCT(M30:P30)*GETPIVOTDATA("Secure",'Pivot Tables'!$L$3,"Secure",1)</f>
        <v>0.17301777170198226</v>
      </c>
      <c r="U30" s="13">
        <f t="shared" si="0"/>
        <v>8.8708080571706288E-2</v>
      </c>
      <c r="V30" s="13">
        <f t="shared" si="1"/>
        <v>0.91129191942829368</v>
      </c>
      <c r="W30" s="13">
        <f t="shared" si="2"/>
        <v>1</v>
      </c>
      <c r="X30" s="15" t="str">
        <f t="shared" si="3"/>
        <v>TRUE</v>
      </c>
    </row>
    <row r="31" spans="2:24" x14ac:dyDescent="0.25">
      <c r="B31" s="17">
        <v>58</v>
      </c>
      <c r="C31" s="9">
        <v>1</v>
      </c>
      <c r="D31" s="9">
        <v>1</v>
      </c>
      <c r="E31" s="9" t="str">
        <v>NA</v>
      </c>
      <c r="F31" s="9">
        <v>0</v>
      </c>
      <c r="G31" s="9">
        <v>1</v>
      </c>
      <c r="I31" s="13">
        <f>IF(C31="NA",1,VLOOKUP(C31,'Pivot Tables'!$B$3:$E$7,2,FALSE))</f>
        <v>0.6</v>
      </c>
      <c r="J31" s="13">
        <f>IF(D31="NA",1,VLOOKUP(D31,'Pivot Tables'!$B$10:$E$14,2,FALSE))</f>
        <v>0.4</v>
      </c>
      <c r="K31" s="13">
        <f>IF(E31="NA",1,VLOOKUP(E31,'Pivot Tables'!$G$3:$J$7,2,FALSE))</f>
        <v>1</v>
      </c>
      <c r="L31" s="13">
        <f>IF(F31="NA",1,VLOOKUP(F31,'Pivot Tables'!$G$10:$J$14,2,FALSE))</f>
        <v>0.8</v>
      </c>
      <c r="M31" s="13">
        <f>IF(C31="NA",1,VLOOKUP(C31,'Pivot Tables'!$B$3:$E$7,3,FALSE))</f>
        <v>0.54545454545454541</v>
      </c>
      <c r="N31" s="13">
        <f>IF(D31="NA",1,VLOOKUP(D31,'Pivot Tables'!$B$10:$E$14,3,FALSE))</f>
        <v>0.81818181818181823</v>
      </c>
      <c r="O31" s="13">
        <f>IF(E31="NA",1,VLOOKUP(E31,'Pivot Tables'!$G$3:$J$7,3,FALSE))</f>
        <v>1</v>
      </c>
      <c r="P31" s="13">
        <f>IF(F31="NA",1,VLOOKUP(F31,'Pivot Tables'!$G$10:$J$14,3,FALSE))</f>
        <v>0.5357142857142857</v>
      </c>
      <c r="R31" s="22">
        <f>PRODUCT(I31:L31)*GETPIVOTDATA("Secure",'Pivot Tables'!$L$3,"Secure",0)</f>
        <v>2.5263157894736842E-2</v>
      </c>
      <c r="S31" s="22">
        <f>PRODUCT(M31:P31)*GETPIVOTDATA("Secure",'Pivot Tables'!$L$3,"Secure",1)</f>
        <v>0.20762132604237868</v>
      </c>
      <c r="U31" s="13">
        <f t="shared" si="0"/>
        <v>0.10847935194153385</v>
      </c>
      <c r="V31" s="13">
        <f t="shared" si="1"/>
        <v>0.89152064805846609</v>
      </c>
      <c r="W31" s="13">
        <f t="shared" si="2"/>
        <v>1</v>
      </c>
      <c r="X31" s="15" t="str">
        <f t="shared" si="3"/>
        <v>TRUE</v>
      </c>
    </row>
    <row r="32" spans="2:24" x14ac:dyDescent="0.25">
      <c r="B32" s="17">
        <v>59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I32" s="13">
        <f>IF(C32="NA",1,VLOOKUP(C32,'Pivot Tables'!$B$3:$E$7,2,FALSE))</f>
        <v>0.6</v>
      </c>
      <c r="J32" s="13">
        <f>IF(D32="NA",1,VLOOKUP(D32,'Pivot Tables'!$B$10:$E$14,2,FALSE))</f>
        <v>0.4</v>
      </c>
      <c r="K32" s="13">
        <f>IF(E32="NA",1,VLOOKUP(E32,'Pivot Tables'!$G$3:$J$7,2,FALSE))</f>
        <v>0.5</v>
      </c>
      <c r="L32" s="13">
        <f>IF(F32="NA",1,VLOOKUP(F32,'Pivot Tables'!$G$10:$J$14,2,FALSE))</f>
        <v>0.2</v>
      </c>
      <c r="M32" s="13">
        <f>IF(C32="NA",1,VLOOKUP(C32,'Pivot Tables'!$B$3:$E$7,3,FALSE))</f>
        <v>0.54545454545454541</v>
      </c>
      <c r="N32" s="13">
        <f>IF(D32="NA",1,VLOOKUP(D32,'Pivot Tables'!$B$10:$E$14,3,FALSE))</f>
        <v>0.81818181818181823</v>
      </c>
      <c r="O32" s="13">
        <f>IF(E32="NA",1,VLOOKUP(E32,'Pivot Tables'!$G$3:$J$7,3,FALSE))</f>
        <v>0.72727272727272729</v>
      </c>
      <c r="P32" s="13">
        <f>IF(F32="NA",1,VLOOKUP(F32,'Pivot Tables'!$G$10:$J$14,3,FALSE))</f>
        <v>0.4642857142857143</v>
      </c>
      <c r="R32" s="22">
        <f>PRODUCT(I32:L32)*GETPIVOTDATA("Secure",'Pivot Tables'!$L$3,"Secure",0)</f>
        <v>3.1578947368421052E-3</v>
      </c>
      <c r="S32" s="22">
        <f>PRODUCT(M32:P32)*GETPIVOTDATA("Secure",'Pivot Tables'!$L$3,"Secure",1)</f>
        <v>0.13086435096004476</v>
      </c>
      <c r="U32" s="13">
        <f t="shared" si="0"/>
        <v>2.3562466965254398E-2</v>
      </c>
      <c r="V32" s="13">
        <f t="shared" si="1"/>
        <v>0.97643753303474556</v>
      </c>
      <c r="W32" s="13">
        <f t="shared" si="2"/>
        <v>1</v>
      </c>
      <c r="X32" s="15" t="str">
        <f t="shared" si="3"/>
        <v>TRUE</v>
      </c>
    </row>
    <row r="33" spans="2:24" x14ac:dyDescent="0.25">
      <c r="B33" s="17">
        <v>5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I33" s="13">
        <f>IF(C33="NA",1,VLOOKUP(C33,'Pivot Tables'!$B$3:$E$7,2,FALSE))</f>
        <v>0.6</v>
      </c>
      <c r="J33" s="13">
        <f>IF(D33="NA",1,VLOOKUP(D33,'Pivot Tables'!$B$10:$E$14,2,FALSE))</f>
        <v>0.4</v>
      </c>
      <c r="K33" s="13">
        <f>IF(E33="NA",1,VLOOKUP(E33,'Pivot Tables'!$G$3:$J$7,2,FALSE))</f>
        <v>0.5</v>
      </c>
      <c r="L33" s="13">
        <f>IF(F33="NA",1,VLOOKUP(F33,'Pivot Tables'!$G$10:$J$14,2,FALSE))</f>
        <v>0.8</v>
      </c>
      <c r="M33" s="13">
        <f>IF(C33="NA",1,VLOOKUP(C33,'Pivot Tables'!$B$3:$E$7,3,FALSE))</f>
        <v>0.54545454545454541</v>
      </c>
      <c r="N33" s="13">
        <f>IF(D33="NA",1,VLOOKUP(D33,'Pivot Tables'!$B$10:$E$14,3,FALSE))</f>
        <v>0.81818181818181823</v>
      </c>
      <c r="O33" s="13">
        <f>IF(E33="NA",1,VLOOKUP(E33,'Pivot Tables'!$G$3:$J$7,3,FALSE))</f>
        <v>0.72727272727272729</v>
      </c>
      <c r="P33" s="13">
        <f>IF(F33="NA",1,VLOOKUP(F33,'Pivot Tables'!$G$10:$J$14,3,FALSE))</f>
        <v>0.5357142857142857</v>
      </c>
      <c r="R33" s="22">
        <f>PRODUCT(I33:L33)*GETPIVOTDATA("Secure",'Pivot Tables'!$L$3,"Secure",0)</f>
        <v>1.2631578947368421E-2</v>
      </c>
      <c r="S33" s="22">
        <f>PRODUCT(M33:P33)*GETPIVOTDATA("Secure",'Pivot Tables'!$L$3,"Secure",1)</f>
        <v>0.15099732803082086</v>
      </c>
      <c r="U33" s="13">
        <f t="shared" si="0"/>
        <v>7.7196500182282177E-2</v>
      </c>
      <c r="V33" s="13">
        <f t="shared" si="1"/>
        <v>0.92280349981771781</v>
      </c>
      <c r="W33" s="13">
        <f t="shared" si="2"/>
        <v>1</v>
      </c>
      <c r="X33" s="15" t="str">
        <f t="shared" si="3"/>
        <v>TRUE</v>
      </c>
    </row>
    <row r="34" spans="2:24" x14ac:dyDescent="0.25">
      <c r="B34" s="17">
        <v>33</v>
      </c>
      <c r="C34" s="9">
        <v>1</v>
      </c>
      <c r="D34" s="9">
        <v>1</v>
      </c>
      <c r="E34" s="9" t="str">
        <v>NA</v>
      </c>
      <c r="F34" s="9">
        <v>0</v>
      </c>
      <c r="G34" s="9">
        <v>1</v>
      </c>
      <c r="I34" s="13">
        <f>IF(C34="NA",1,VLOOKUP(C34,'Pivot Tables'!$B$3:$E$7,2,FALSE))</f>
        <v>0.6</v>
      </c>
      <c r="J34" s="13">
        <f>IF(D34="NA",1,VLOOKUP(D34,'Pivot Tables'!$B$10:$E$14,2,FALSE))</f>
        <v>0.4</v>
      </c>
      <c r="K34" s="13">
        <f>IF(E34="NA",1,VLOOKUP(E34,'Pivot Tables'!$G$3:$J$7,2,FALSE))</f>
        <v>1</v>
      </c>
      <c r="L34" s="13">
        <f>IF(F34="NA",1,VLOOKUP(F34,'Pivot Tables'!$G$10:$J$14,2,FALSE))</f>
        <v>0.8</v>
      </c>
      <c r="M34" s="13">
        <f>IF(C34="NA",1,VLOOKUP(C34,'Pivot Tables'!$B$3:$E$7,3,FALSE))</f>
        <v>0.54545454545454541</v>
      </c>
      <c r="N34" s="13">
        <f>IF(D34="NA",1,VLOOKUP(D34,'Pivot Tables'!$B$10:$E$14,3,FALSE))</f>
        <v>0.81818181818181823</v>
      </c>
      <c r="O34" s="13">
        <f>IF(E34="NA",1,VLOOKUP(E34,'Pivot Tables'!$G$3:$J$7,3,FALSE))</f>
        <v>1</v>
      </c>
      <c r="P34" s="13">
        <f>IF(F34="NA",1,VLOOKUP(F34,'Pivot Tables'!$G$10:$J$14,3,FALSE))</f>
        <v>0.5357142857142857</v>
      </c>
      <c r="R34" s="22">
        <f>PRODUCT(I34:L34)*GETPIVOTDATA("Secure",'Pivot Tables'!$L$3,"Secure",0)</f>
        <v>2.5263157894736842E-2</v>
      </c>
      <c r="S34" s="22">
        <f>PRODUCT(M34:P34)*GETPIVOTDATA("Secure",'Pivot Tables'!$L$3,"Secure",1)</f>
        <v>0.20762132604237868</v>
      </c>
      <c r="U34" s="13">
        <f t="shared" si="0"/>
        <v>0.10847935194153385</v>
      </c>
      <c r="V34" s="13">
        <f t="shared" si="1"/>
        <v>0.89152064805846609</v>
      </c>
      <c r="W34" s="13">
        <f t="shared" si="2"/>
        <v>1</v>
      </c>
      <c r="X34" s="15" t="str">
        <f t="shared" si="3"/>
        <v>TRUE</v>
      </c>
    </row>
    <row r="35" spans="2:24" x14ac:dyDescent="0.25">
      <c r="B35" s="17">
        <v>60</v>
      </c>
      <c r="C35" s="9">
        <v>0</v>
      </c>
      <c r="D35" s="9">
        <v>1</v>
      </c>
      <c r="E35" s="9" t="str">
        <v>NA</v>
      </c>
      <c r="F35" s="9">
        <v>1</v>
      </c>
      <c r="G35" s="9">
        <v>1</v>
      </c>
      <c r="I35" s="13">
        <f>IF(C35="NA",1,VLOOKUP(C35,'Pivot Tables'!$B$3:$E$7,2,FALSE))</f>
        <v>0.4</v>
      </c>
      <c r="J35" s="13">
        <f>IF(D35="NA",1,VLOOKUP(D35,'Pivot Tables'!$B$10:$E$14,2,FALSE))</f>
        <v>0.4</v>
      </c>
      <c r="K35" s="13">
        <f>IF(E35="NA",1,VLOOKUP(E35,'Pivot Tables'!$G$3:$J$7,2,FALSE))</f>
        <v>1</v>
      </c>
      <c r="L35" s="13">
        <f>IF(F35="NA",1,VLOOKUP(F35,'Pivot Tables'!$G$10:$J$14,2,FALSE))</f>
        <v>0.2</v>
      </c>
      <c r="M35" s="13">
        <f>IF(C35="NA",1,VLOOKUP(C35,'Pivot Tables'!$B$3:$E$7,3,FALSE))</f>
        <v>0.45454545454545453</v>
      </c>
      <c r="N35" s="13">
        <f>IF(D35="NA",1,VLOOKUP(D35,'Pivot Tables'!$B$10:$E$14,3,FALSE))</f>
        <v>0.81818181818181823</v>
      </c>
      <c r="O35" s="13">
        <f>IF(E35="NA",1,VLOOKUP(E35,'Pivot Tables'!$G$3:$J$7,3,FALSE))</f>
        <v>1</v>
      </c>
      <c r="P35" s="13">
        <f>IF(F35="NA",1,VLOOKUP(F35,'Pivot Tables'!$G$10:$J$14,3,FALSE))</f>
        <v>0.4642857142857143</v>
      </c>
      <c r="R35" s="22">
        <f>PRODUCT(I35:L35)*GETPIVOTDATA("Secure",'Pivot Tables'!$L$3,"Secure",0)</f>
        <v>4.2105263157894745E-3</v>
      </c>
      <c r="S35" s="22">
        <f>PRODUCT(M35:P35)*GETPIVOTDATA("Secure",'Pivot Tables'!$L$3,"Secure",1)</f>
        <v>0.14994873547505128</v>
      </c>
      <c r="U35" s="13">
        <f t="shared" si="0"/>
        <v>2.7312833928215135E-2</v>
      </c>
      <c r="V35" s="13">
        <f t="shared" si="1"/>
        <v>0.97268716607178485</v>
      </c>
      <c r="W35" s="13">
        <f t="shared" si="2"/>
        <v>1</v>
      </c>
      <c r="X35" s="15" t="str">
        <f t="shared" si="3"/>
        <v>TRUE</v>
      </c>
    </row>
    <row r="36" spans="2:24" x14ac:dyDescent="0.25">
      <c r="B36" s="17">
        <v>75</v>
      </c>
      <c r="C36" s="9">
        <v>0</v>
      </c>
      <c r="D36" s="9">
        <v>1</v>
      </c>
      <c r="E36" s="9">
        <v>1</v>
      </c>
      <c r="F36" s="9">
        <v>1</v>
      </c>
      <c r="G36" s="9">
        <v>0</v>
      </c>
      <c r="I36" s="13">
        <f>IF(C36="NA",1,VLOOKUP(C36,'Pivot Tables'!$B$3:$E$7,2,FALSE))</f>
        <v>0.4</v>
      </c>
      <c r="J36" s="13">
        <f>IF(D36="NA",1,VLOOKUP(D36,'Pivot Tables'!$B$10:$E$14,2,FALSE))</f>
        <v>0.4</v>
      </c>
      <c r="K36" s="13">
        <f>IF(E36="NA",1,VLOOKUP(E36,'Pivot Tables'!$G$3:$J$7,2,FALSE))</f>
        <v>0.5</v>
      </c>
      <c r="L36" s="13">
        <f>IF(F36="NA",1,VLOOKUP(F36,'Pivot Tables'!$G$10:$J$14,2,FALSE))</f>
        <v>0.2</v>
      </c>
      <c r="M36" s="13">
        <f>IF(C36="NA",1,VLOOKUP(C36,'Pivot Tables'!$B$3:$E$7,3,FALSE))</f>
        <v>0.45454545454545453</v>
      </c>
      <c r="N36" s="13">
        <f>IF(D36="NA",1,VLOOKUP(D36,'Pivot Tables'!$B$10:$E$14,3,FALSE))</f>
        <v>0.81818181818181823</v>
      </c>
      <c r="O36" s="13">
        <f>IF(E36="NA",1,VLOOKUP(E36,'Pivot Tables'!$G$3:$J$7,3,FALSE))</f>
        <v>0.72727272727272729</v>
      </c>
      <c r="P36" s="13">
        <f>IF(F36="NA",1,VLOOKUP(F36,'Pivot Tables'!$G$10:$J$14,3,FALSE))</f>
        <v>0.4642857142857143</v>
      </c>
      <c r="R36" s="22">
        <f>PRODUCT(I36:L36)*GETPIVOTDATA("Secure",'Pivot Tables'!$L$3,"Secure",0)</f>
        <v>2.1052631578947372E-3</v>
      </c>
      <c r="S36" s="22">
        <f>PRODUCT(M36:P36)*GETPIVOTDATA("Secure",'Pivot Tables'!$L$3,"Secure",1)</f>
        <v>0.10905362580003732</v>
      </c>
      <c r="U36" s="13">
        <f t="shared" si="0"/>
        <v>1.8939224542730646E-2</v>
      </c>
      <c r="V36" s="13">
        <f t="shared" si="1"/>
        <v>0.98106077545726933</v>
      </c>
      <c r="W36" s="13">
        <f t="shared" si="2"/>
        <v>1</v>
      </c>
      <c r="X36" s="15" t="str">
        <f t="shared" si="3"/>
        <v>FALSE</v>
      </c>
    </row>
    <row r="37" spans="2:24" x14ac:dyDescent="0.25">
      <c r="B37" s="17">
        <v>70</v>
      </c>
      <c r="C37" s="9">
        <v>1</v>
      </c>
      <c r="D37" s="9">
        <v>0</v>
      </c>
      <c r="E37" s="9" t="str">
        <v>NA</v>
      </c>
      <c r="F37" s="9">
        <v>0</v>
      </c>
      <c r="G37" s="9">
        <v>0</v>
      </c>
      <c r="I37" s="13">
        <f>IF(C37="NA",1,VLOOKUP(C37,'Pivot Tables'!$B$3:$E$7,2,FALSE))</f>
        <v>0.6</v>
      </c>
      <c r="J37" s="13">
        <f>IF(D37="NA",1,VLOOKUP(D37,'Pivot Tables'!$B$10:$E$14,2,FALSE))</f>
        <v>0.6</v>
      </c>
      <c r="K37" s="13">
        <f>IF(E37="NA",1,VLOOKUP(E37,'Pivot Tables'!$G$3:$J$7,2,FALSE))</f>
        <v>1</v>
      </c>
      <c r="L37" s="13">
        <f>IF(F37="NA",1,VLOOKUP(F37,'Pivot Tables'!$G$10:$J$14,2,FALSE))</f>
        <v>0.8</v>
      </c>
      <c r="M37" s="13">
        <f>IF(C37="NA",1,VLOOKUP(C37,'Pivot Tables'!$B$3:$E$7,3,FALSE))</f>
        <v>0.54545454545454541</v>
      </c>
      <c r="N37" s="13">
        <f>IF(D37="NA",1,VLOOKUP(D37,'Pivot Tables'!$B$10:$E$14,3,FALSE))</f>
        <v>0.18181818181818182</v>
      </c>
      <c r="O37" s="13">
        <f>IF(E37="NA",1,VLOOKUP(E37,'Pivot Tables'!$G$3:$J$7,3,FALSE))</f>
        <v>1</v>
      </c>
      <c r="P37" s="13">
        <f>IF(F37="NA",1,VLOOKUP(F37,'Pivot Tables'!$G$10:$J$14,3,FALSE))</f>
        <v>0.5357142857142857</v>
      </c>
      <c r="R37" s="22">
        <f>PRODUCT(I37:L37)*GETPIVOTDATA("Secure",'Pivot Tables'!$L$3,"Secure",0)</f>
        <v>3.7894736842105259E-2</v>
      </c>
      <c r="S37" s="22">
        <f>PRODUCT(M37:P37)*GETPIVOTDATA("Secure",'Pivot Tables'!$L$3,"Secure",1)</f>
        <v>4.6138072453861922E-2</v>
      </c>
      <c r="U37" s="13">
        <f t="shared" si="0"/>
        <v>0.45095168374816985</v>
      </c>
      <c r="V37" s="13">
        <f t="shared" si="1"/>
        <v>0.54904831625183015</v>
      </c>
      <c r="W37" s="13">
        <f t="shared" si="2"/>
        <v>1</v>
      </c>
      <c r="X37" s="15" t="str">
        <f t="shared" si="3"/>
        <v>FALSE</v>
      </c>
    </row>
    <row r="38" spans="2:24" x14ac:dyDescent="0.25">
      <c r="B38" s="17">
        <v>74</v>
      </c>
      <c r="C38" s="9">
        <v>1</v>
      </c>
      <c r="D38" s="9">
        <v>1</v>
      </c>
      <c r="E38" s="9">
        <v>1</v>
      </c>
      <c r="F38" s="9">
        <v>0</v>
      </c>
      <c r="G38" s="9">
        <v>0</v>
      </c>
      <c r="I38" s="13">
        <f>IF(C38="NA",1,VLOOKUP(C38,'Pivot Tables'!$B$3:$E$7,2,FALSE))</f>
        <v>0.6</v>
      </c>
      <c r="J38" s="13">
        <f>IF(D38="NA",1,VLOOKUP(D38,'Pivot Tables'!$B$10:$E$14,2,FALSE))</f>
        <v>0.4</v>
      </c>
      <c r="K38" s="13">
        <f>IF(E38="NA",1,VLOOKUP(E38,'Pivot Tables'!$G$3:$J$7,2,FALSE))</f>
        <v>0.5</v>
      </c>
      <c r="L38" s="13">
        <f>IF(F38="NA",1,VLOOKUP(F38,'Pivot Tables'!$G$10:$J$14,2,FALSE))</f>
        <v>0.8</v>
      </c>
      <c r="M38" s="13">
        <f>IF(C38="NA",1,VLOOKUP(C38,'Pivot Tables'!$B$3:$E$7,3,FALSE))</f>
        <v>0.54545454545454541</v>
      </c>
      <c r="N38" s="13">
        <f>IF(D38="NA",1,VLOOKUP(D38,'Pivot Tables'!$B$10:$E$14,3,FALSE))</f>
        <v>0.81818181818181823</v>
      </c>
      <c r="O38" s="13">
        <f>IF(E38="NA",1,VLOOKUP(E38,'Pivot Tables'!$G$3:$J$7,3,FALSE))</f>
        <v>0.72727272727272729</v>
      </c>
      <c r="P38" s="13">
        <f>IF(F38="NA",1,VLOOKUP(F38,'Pivot Tables'!$G$10:$J$14,3,FALSE))</f>
        <v>0.5357142857142857</v>
      </c>
      <c r="R38" s="22">
        <f>PRODUCT(I38:L38)*GETPIVOTDATA("Secure",'Pivot Tables'!$L$3,"Secure",0)</f>
        <v>1.2631578947368421E-2</v>
      </c>
      <c r="S38" s="22">
        <f>PRODUCT(M38:P38)*GETPIVOTDATA("Secure",'Pivot Tables'!$L$3,"Secure",1)</f>
        <v>0.15099732803082086</v>
      </c>
      <c r="U38" s="13">
        <f t="shared" si="0"/>
        <v>7.7196500182282177E-2</v>
      </c>
      <c r="V38" s="13">
        <f t="shared" si="1"/>
        <v>0.92280349981771781</v>
      </c>
      <c r="W38" s="13">
        <f t="shared" si="2"/>
        <v>1</v>
      </c>
      <c r="X38" s="15" t="str">
        <f t="shared" si="3"/>
        <v>FALSE</v>
      </c>
    </row>
    <row r="39" spans="2:24" x14ac:dyDescent="0.25">
      <c r="B39" s="17">
        <v>72</v>
      </c>
      <c r="C39" s="9">
        <v>1</v>
      </c>
      <c r="D39" s="9">
        <v>0</v>
      </c>
      <c r="E39" s="9">
        <v>0</v>
      </c>
      <c r="F39" s="9">
        <v>0</v>
      </c>
      <c r="G39" s="9">
        <v>0</v>
      </c>
      <c r="I39" s="13">
        <f>IF(C39="NA",1,VLOOKUP(C39,'Pivot Tables'!$B$3:$E$7,2,FALSE))</f>
        <v>0.6</v>
      </c>
      <c r="J39" s="13">
        <f>IF(D39="NA",1,VLOOKUP(D39,'Pivot Tables'!$B$10:$E$14,2,FALSE))</f>
        <v>0.6</v>
      </c>
      <c r="K39" s="13">
        <f>IF(E39="NA",1,VLOOKUP(E39,'Pivot Tables'!$G$3:$J$7,2,FALSE))</f>
        <v>0.5</v>
      </c>
      <c r="L39" s="13">
        <f>IF(F39="NA",1,VLOOKUP(F39,'Pivot Tables'!$G$10:$J$14,2,FALSE))</f>
        <v>0.8</v>
      </c>
      <c r="M39" s="13">
        <f>IF(C39="NA",1,VLOOKUP(C39,'Pivot Tables'!$B$3:$E$7,3,FALSE))</f>
        <v>0.54545454545454541</v>
      </c>
      <c r="N39" s="13">
        <f>IF(D39="NA",1,VLOOKUP(D39,'Pivot Tables'!$B$10:$E$14,3,FALSE))</f>
        <v>0.18181818181818182</v>
      </c>
      <c r="O39" s="13">
        <f>IF(E39="NA",1,VLOOKUP(E39,'Pivot Tables'!$G$3:$J$7,3,FALSE))</f>
        <v>0.27272727272727271</v>
      </c>
      <c r="P39" s="13">
        <f>IF(F39="NA",1,VLOOKUP(F39,'Pivot Tables'!$G$10:$J$14,3,FALSE))</f>
        <v>0.5357142857142857</v>
      </c>
      <c r="R39" s="22">
        <f>PRODUCT(I39:L39)*GETPIVOTDATA("Secure",'Pivot Tables'!$L$3,"Secure",0)</f>
        <v>1.8947368421052629E-2</v>
      </c>
      <c r="S39" s="22">
        <f>PRODUCT(M39:P39)*GETPIVOTDATA("Secure",'Pivot Tables'!$L$3,"Secure",1)</f>
        <v>1.258311066923507E-2</v>
      </c>
      <c r="U39" s="13">
        <f t="shared" si="0"/>
        <v>0.60092231287690667</v>
      </c>
      <c r="V39" s="13">
        <f t="shared" si="1"/>
        <v>0.39907768712309333</v>
      </c>
      <c r="W39" s="13">
        <f t="shared" si="2"/>
        <v>0</v>
      </c>
      <c r="X39" s="15" t="str">
        <f t="shared" si="3"/>
        <v>TRUE</v>
      </c>
    </row>
    <row r="40" spans="2:24" x14ac:dyDescent="0.25">
      <c r="B40" s="17">
        <v>68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I40" s="13">
        <f>IF(C40="NA",1,VLOOKUP(C40,'Pivot Tables'!$B$3:$E$7,2,FALSE))</f>
        <v>0.4</v>
      </c>
      <c r="J40" s="13">
        <f>IF(D40="NA",1,VLOOKUP(D40,'Pivot Tables'!$B$10:$E$14,2,FALSE))</f>
        <v>0.6</v>
      </c>
      <c r="K40" s="13">
        <f>IF(E40="NA",1,VLOOKUP(E40,'Pivot Tables'!$G$3:$J$7,2,FALSE))</f>
        <v>0.5</v>
      </c>
      <c r="L40" s="13">
        <f>IF(F40="NA",1,VLOOKUP(F40,'Pivot Tables'!$G$10:$J$14,2,FALSE))</f>
        <v>0.8</v>
      </c>
      <c r="M40" s="13">
        <f>IF(C40="NA",1,VLOOKUP(C40,'Pivot Tables'!$B$3:$E$7,3,FALSE))</f>
        <v>0.45454545454545453</v>
      </c>
      <c r="N40" s="13">
        <f>IF(D40="NA",1,VLOOKUP(D40,'Pivot Tables'!$B$10:$E$14,3,FALSE))</f>
        <v>0.18181818181818182</v>
      </c>
      <c r="O40" s="13">
        <f>IF(E40="NA",1,VLOOKUP(E40,'Pivot Tables'!$G$3:$J$7,3,FALSE))</f>
        <v>0.27272727272727271</v>
      </c>
      <c r="P40" s="13">
        <f>IF(F40="NA",1,VLOOKUP(F40,'Pivot Tables'!$G$10:$J$14,3,FALSE))</f>
        <v>0.5357142857142857</v>
      </c>
      <c r="R40" s="22">
        <f>PRODUCT(I40:L40)*GETPIVOTDATA("Secure",'Pivot Tables'!$L$3,"Secure",0)</f>
        <v>1.2631578947368421E-2</v>
      </c>
      <c r="S40" s="22">
        <f>PRODUCT(M40:P40)*GETPIVOTDATA("Secure",'Pivot Tables'!$L$3,"Secure",1)</f>
        <v>1.0485925557695893E-2</v>
      </c>
      <c r="U40" s="13">
        <f t="shared" si="0"/>
        <v>0.54640754777840495</v>
      </c>
      <c r="V40" s="13">
        <f>1-U40</f>
        <v>0.45359245222159505</v>
      </c>
      <c r="W40" s="13">
        <f t="shared" si="2"/>
        <v>0</v>
      </c>
      <c r="X40" s="15" t="str">
        <f t="shared" si="3"/>
        <v>TRUE</v>
      </c>
    </row>
  </sheetData>
  <conditionalFormatting sqref="X3:X40">
    <cfRule type="containsText" dxfId="3" priority="1" operator="containsText" text="TRUE">
      <formula>NOT(ISERROR(SEARCH("TRUE",X3)))</formula>
    </cfRule>
    <cfRule type="containsText" dxfId="2" priority="2" operator="containsText" text="FALSE">
      <formula>NOT(ISERROR(SEARCH("FALSE",X3)))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0"/>
  <sheetViews>
    <sheetView tabSelected="1" topLeftCell="I21" workbookViewId="0">
      <selection activeCell="O24" sqref="O24"/>
    </sheetView>
  </sheetViews>
  <sheetFormatPr defaultColWidth="11.42578125" defaultRowHeight="15" x14ac:dyDescent="0.25"/>
  <cols>
    <col min="10" max="10" width="11.42578125" style="28"/>
  </cols>
  <sheetData>
    <row r="2" spans="2:24" ht="45" x14ac:dyDescent="0.25">
      <c r="B2" s="10" t="str" cm="1">
        <f t="array" ref="B2:G40">Discretization!I45:N83</f>
        <v>No</v>
      </c>
      <c r="C2" s="10" t="str">
        <v>Depth (m)</v>
      </c>
      <c r="D2" s="10" t="str">
        <v>CO2 Density (kg/m3)</v>
      </c>
      <c r="E2" s="10" t="str">
        <v>Seal Thickness (m)</v>
      </c>
      <c r="F2" s="10" t="str">
        <v>Fault</v>
      </c>
      <c r="G2" s="10" t="str">
        <v>Secure</v>
      </c>
      <c r="I2" s="21" t="s">
        <v>22</v>
      </c>
      <c r="J2" s="27" t="s">
        <v>23</v>
      </c>
      <c r="K2" s="21" t="s">
        <v>24</v>
      </c>
      <c r="L2" s="21" t="s">
        <v>25</v>
      </c>
      <c r="M2" s="21" t="s">
        <v>26</v>
      </c>
      <c r="N2" s="21" t="s">
        <v>27</v>
      </c>
      <c r="O2" s="21" t="s">
        <v>28</v>
      </c>
      <c r="P2" s="21" t="s">
        <v>29</v>
      </c>
      <c r="R2" s="23" t="s">
        <v>30</v>
      </c>
      <c r="S2" s="23" t="s">
        <v>31</v>
      </c>
      <c r="U2" s="23" t="s">
        <v>32</v>
      </c>
      <c r="V2" s="23" t="s">
        <v>33</v>
      </c>
      <c r="W2" s="23" t="s">
        <v>34</v>
      </c>
      <c r="X2" s="23" t="s">
        <v>35</v>
      </c>
    </row>
    <row r="3" spans="2:24" x14ac:dyDescent="0.25">
      <c r="B3" s="17">
        <v>22</v>
      </c>
      <c r="C3" s="9">
        <v>1</v>
      </c>
      <c r="D3" s="9">
        <v>0</v>
      </c>
      <c r="E3" s="9" t="str">
        <v>NA</v>
      </c>
      <c r="F3" s="9" t="str">
        <v>NA</v>
      </c>
      <c r="G3" s="9">
        <v>1</v>
      </c>
      <c r="I3" s="13">
        <f>IF(C3="NA",1,VLOOKUP(C3,'Pivot Tables'!$B$3:$E$7,2,FALSE))</f>
        <v>0.6</v>
      </c>
      <c r="J3" s="25">
        <f>IF(D3="NA",1,VLOOKUP(D3,'Pivot Tables'!$B$10:$E$14,2,FALSE))</f>
        <v>0.6</v>
      </c>
      <c r="K3" s="13">
        <f>IF(E3="NA",1,VLOOKUP(E3,'Pivot Tables'!$G$3:$J$7,2,FALSE))</f>
        <v>1</v>
      </c>
      <c r="L3" s="13">
        <f>IF(F3="NA",1,VLOOKUP(F3,'Pivot Tables'!$G$10:$J$14,2,FALSE))</f>
        <v>1</v>
      </c>
      <c r="M3" s="13">
        <f>IF(C3="NA",1,VLOOKUP(C3,'Pivot Tables'!$B$3:$E$7,3,FALSE))</f>
        <v>0.54545454545454541</v>
      </c>
      <c r="N3" s="13">
        <f>IF(D3="NA",1,VLOOKUP(D3,'Pivot Tables'!$B$10:$E$14,3,FALSE))</f>
        <v>0.18181818181818182</v>
      </c>
      <c r="O3" s="13">
        <f>IF(E3="NA",1,VLOOKUP(E3,'Pivot Tables'!$G$3:$J$7,3,FALSE))</f>
        <v>1</v>
      </c>
      <c r="P3" s="13">
        <f>IF(F3="NA",1,VLOOKUP(F3,'Pivot Tables'!$G$10:$J$14,3,FALSE))</f>
        <v>1</v>
      </c>
      <c r="R3" s="22">
        <f>PRODUCT(I3:L3)*GETPIVOTDATA("Secure",'Pivot Tables'!$L$3,"Secure",0)</f>
        <v>4.7368421052631574E-2</v>
      </c>
      <c r="S3" s="22">
        <f>PRODUCT(M3:P3)*GETPIVOTDATA("Secure",'Pivot Tables'!$L$3,"Secure",1)</f>
        <v>8.612440191387559E-2</v>
      </c>
      <c r="U3" s="13">
        <f>R3/(R3+S3)</f>
        <v>0.35483870967741937</v>
      </c>
      <c r="V3" s="13">
        <f>1-U3</f>
        <v>0.64516129032258063</v>
      </c>
      <c r="W3" s="13">
        <f>IF(V3&gt;U3,1,0)</f>
        <v>1</v>
      </c>
      <c r="X3" s="15" t="str">
        <f>IF(W3=G3,"TRUE","FALSE")</f>
        <v>TRUE</v>
      </c>
    </row>
    <row r="4" spans="2:24" x14ac:dyDescent="0.25">
      <c r="B4" s="17">
        <v>26</v>
      </c>
      <c r="C4" s="9">
        <v>0</v>
      </c>
      <c r="D4" s="9">
        <v>1</v>
      </c>
      <c r="E4" s="9">
        <v>1</v>
      </c>
      <c r="F4" s="9">
        <v>1</v>
      </c>
      <c r="G4" s="9">
        <v>1</v>
      </c>
      <c r="I4" s="13">
        <f>IF(C4="NA",1,VLOOKUP(C4,'Pivot Tables'!$B$3:$E$7,2,FALSE))</f>
        <v>0.4</v>
      </c>
      <c r="J4" s="25">
        <f>IF(D4="NA",1,VLOOKUP(D4,'Pivot Tables'!$B$10:$E$14,2,FALSE))</f>
        <v>0.4</v>
      </c>
      <c r="K4" s="13">
        <f>IF(E4="NA",1,VLOOKUP(E4,'Pivot Tables'!$G$3:$J$7,2,FALSE))</f>
        <v>0.5</v>
      </c>
      <c r="L4" s="13">
        <f>IF(F4="NA",1,VLOOKUP(F4,'Pivot Tables'!$G$10:$J$14,2,FALSE))</f>
        <v>0.2</v>
      </c>
      <c r="M4" s="13">
        <f>IF(C4="NA",1,VLOOKUP(C4,'Pivot Tables'!$B$3:$E$7,3,FALSE))</f>
        <v>0.45454545454545453</v>
      </c>
      <c r="N4" s="13">
        <f>IF(D4="NA",1,VLOOKUP(D4,'Pivot Tables'!$B$10:$E$14,3,FALSE))</f>
        <v>0.81818181818181823</v>
      </c>
      <c r="O4" s="13">
        <f>IF(E4="NA",1,VLOOKUP(E4,'Pivot Tables'!$G$3:$J$7,3,FALSE))</f>
        <v>0.72727272727272729</v>
      </c>
      <c r="P4" s="13">
        <f>IF(F4="NA",1,VLOOKUP(F4,'Pivot Tables'!$G$10:$J$14,3,FALSE))</f>
        <v>0.4642857142857143</v>
      </c>
      <c r="R4" s="22">
        <f>PRODUCT(I4:L4)*GETPIVOTDATA("Secure",'Pivot Tables'!$L$3,"Secure",0)</f>
        <v>2.1052631578947372E-3</v>
      </c>
      <c r="S4" s="22">
        <f>PRODUCT(M4:P4)*GETPIVOTDATA("Secure",'Pivot Tables'!$L$3,"Secure",1)</f>
        <v>0.10905362580003732</v>
      </c>
      <c r="U4" s="13">
        <f t="shared" ref="U4:U40" si="0">R4/(R4+S4)</f>
        <v>1.8939224542730646E-2</v>
      </c>
      <c r="V4" s="13">
        <f t="shared" ref="V4:V39" si="1">1-U4</f>
        <v>0.98106077545726933</v>
      </c>
      <c r="W4" s="13">
        <f t="shared" ref="W4:W40" si="2">IF(V4&gt;U4,1,0)</f>
        <v>1</v>
      </c>
      <c r="X4" s="15" t="str">
        <f t="shared" ref="X4:X40" si="3">IF(W4=G4,"TRUE","FALSE")</f>
        <v>TRUE</v>
      </c>
    </row>
    <row r="5" spans="2:24" x14ac:dyDescent="0.25">
      <c r="B5" s="17">
        <v>42</v>
      </c>
      <c r="C5" s="9">
        <v>0</v>
      </c>
      <c r="D5" s="9">
        <v>1</v>
      </c>
      <c r="E5" s="9">
        <v>1</v>
      </c>
      <c r="F5" s="9">
        <v>0</v>
      </c>
      <c r="G5" s="9">
        <v>1</v>
      </c>
      <c r="I5" s="13">
        <f>IF(C5="NA",1,VLOOKUP(C5,'Pivot Tables'!$B$3:$E$7,2,FALSE))</f>
        <v>0.4</v>
      </c>
      <c r="J5" s="25">
        <f>IF(D5="NA",1,VLOOKUP(D5,'Pivot Tables'!$B$10:$E$14,2,FALSE))</f>
        <v>0.4</v>
      </c>
      <c r="K5" s="13">
        <f>IF(E5="NA",1,VLOOKUP(E5,'Pivot Tables'!$G$3:$J$7,2,FALSE))</f>
        <v>0.5</v>
      </c>
      <c r="L5" s="13">
        <f>IF(F5="NA",1,VLOOKUP(F5,'Pivot Tables'!$G$10:$J$14,2,FALSE))</f>
        <v>0.8</v>
      </c>
      <c r="M5" s="13">
        <f>IF(C5="NA",1,VLOOKUP(C5,'Pivot Tables'!$B$3:$E$7,3,FALSE))</f>
        <v>0.45454545454545453</v>
      </c>
      <c r="N5" s="13">
        <f>IF(D5="NA",1,VLOOKUP(D5,'Pivot Tables'!$B$10:$E$14,3,FALSE))</f>
        <v>0.81818181818181823</v>
      </c>
      <c r="O5" s="13">
        <f>IF(E5="NA",1,VLOOKUP(E5,'Pivot Tables'!$G$3:$J$7,3,FALSE))</f>
        <v>0.72727272727272729</v>
      </c>
      <c r="P5" s="13">
        <f>IF(F5="NA",1,VLOOKUP(F5,'Pivot Tables'!$G$10:$J$14,3,FALSE))</f>
        <v>0.5357142857142857</v>
      </c>
      <c r="R5" s="22">
        <f>PRODUCT(I5:L5)*GETPIVOTDATA("Secure",'Pivot Tables'!$L$3,"Secure",0)</f>
        <v>8.4210526315789489E-3</v>
      </c>
      <c r="S5" s="22">
        <f>PRODUCT(M5:P5)*GETPIVOTDATA("Secure",'Pivot Tables'!$L$3,"Secure",1)</f>
        <v>0.12583110669235073</v>
      </c>
      <c r="U5" s="13">
        <f t="shared" si="0"/>
        <v>6.2725640123673931E-2</v>
      </c>
      <c r="V5" s="13">
        <f t="shared" si="1"/>
        <v>0.93727435987632601</v>
      </c>
      <c r="W5" s="13">
        <f t="shared" si="2"/>
        <v>1</v>
      </c>
      <c r="X5" s="15" t="str">
        <f t="shared" si="3"/>
        <v>TRUE</v>
      </c>
    </row>
    <row r="6" spans="2:24" x14ac:dyDescent="0.25">
      <c r="B6" s="17">
        <v>30</v>
      </c>
      <c r="C6" s="9">
        <v>0</v>
      </c>
      <c r="D6" s="9">
        <v>1</v>
      </c>
      <c r="E6" s="9" t="str">
        <v>NA</v>
      </c>
      <c r="F6" s="9" t="str">
        <v>NA</v>
      </c>
      <c r="G6" s="9">
        <v>1</v>
      </c>
      <c r="I6" s="13">
        <f>IF(C6="NA",1,VLOOKUP(C6,'Pivot Tables'!$B$3:$E$7,2,FALSE))</f>
        <v>0.4</v>
      </c>
      <c r="J6" s="25">
        <f>IF(D6="NA",1,VLOOKUP(D6,'Pivot Tables'!$B$10:$E$14,2,FALSE))</f>
        <v>0.4</v>
      </c>
      <c r="K6" s="13">
        <f>IF(E6="NA",1,VLOOKUP(E6,'Pivot Tables'!$G$3:$J$7,2,FALSE))</f>
        <v>1</v>
      </c>
      <c r="L6" s="13">
        <f>IF(F6="NA",1,VLOOKUP(F6,'Pivot Tables'!$G$10:$J$14,2,FALSE))</f>
        <v>1</v>
      </c>
      <c r="M6" s="13">
        <f>IF(C6="NA",1,VLOOKUP(C6,'Pivot Tables'!$B$3:$E$7,3,FALSE))</f>
        <v>0.45454545454545453</v>
      </c>
      <c r="N6" s="13">
        <f>IF(D6="NA",1,VLOOKUP(D6,'Pivot Tables'!$B$10:$E$14,3,FALSE))</f>
        <v>0.81818181818181823</v>
      </c>
      <c r="O6" s="13">
        <f>IF(E6="NA",1,VLOOKUP(E6,'Pivot Tables'!$G$3:$J$7,3,FALSE))</f>
        <v>1</v>
      </c>
      <c r="P6" s="13">
        <f>IF(F6="NA",1,VLOOKUP(F6,'Pivot Tables'!$G$10:$J$14,3,FALSE))</f>
        <v>1</v>
      </c>
      <c r="R6" s="22">
        <f>PRODUCT(I6:L6)*GETPIVOTDATA("Secure",'Pivot Tables'!$L$3,"Secure",0)</f>
        <v>2.1052631578947371E-2</v>
      </c>
      <c r="S6" s="22">
        <f>PRODUCT(M6:P6)*GETPIVOTDATA("Secure",'Pivot Tables'!$L$3,"Secure",1)</f>
        <v>0.32296650717703351</v>
      </c>
      <c r="U6" s="13">
        <f t="shared" si="0"/>
        <v>6.1196105702364396E-2</v>
      </c>
      <c r="V6" s="13">
        <f t="shared" si="1"/>
        <v>0.93880389429763555</v>
      </c>
      <c r="W6" s="13">
        <f t="shared" si="2"/>
        <v>1</v>
      </c>
      <c r="X6" s="15" t="str">
        <f t="shared" si="3"/>
        <v>TRUE</v>
      </c>
    </row>
    <row r="7" spans="2:24" x14ac:dyDescent="0.25">
      <c r="B7" s="17">
        <v>19</v>
      </c>
      <c r="C7" s="9">
        <v>0</v>
      </c>
      <c r="D7" s="9">
        <v>0</v>
      </c>
      <c r="E7" s="9">
        <v>0</v>
      </c>
      <c r="F7" s="9">
        <v>1</v>
      </c>
      <c r="G7" s="9">
        <v>1</v>
      </c>
      <c r="I7" s="13">
        <f>IF(C7="NA",1,VLOOKUP(C7,'Pivot Tables'!$B$3:$E$7,2,FALSE))</f>
        <v>0.4</v>
      </c>
      <c r="J7" s="25">
        <f>IF(D7="NA",1,VLOOKUP(D7,'Pivot Tables'!$B$10:$E$14,2,FALSE))</f>
        <v>0.6</v>
      </c>
      <c r="K7" s="13">
        <f>IF(E7="NA",1,VLOOKUP(E7,'Pivot Tables'!$G$3:$J$7,2,FALSE))</f>
        <v>0.5</v>
      </c>
      <c r="L7" s="13">
        <f>IF(F7="NA",1,VLOOKUP(F7,'Pivot Tables'!$G$10:$J$14,2,FALSE))</f>
        <v>0.2</v>
      </c>
      <c r="M7" s="13">
        <f>IF(C7="NA",1,VLOOKUP(C7,'Pivot Tables'!$B$3:$E$7,3,FALSE))</f>
        <v>0.45454545454545453</v>
      </c>
      <c r="N7" s="13">
        <f>IF(D7="NA",1,VLOOKUP(D7,'Pivot Tables'!$B$10:$E$14,3,FALSE))</f>
        <v>0.18181818181818182</v>
      </c>
      <c r="O7" s="13">
        <f>IF(E7="NA",1,VLOOKUP(E7,'Pivot Tables'!$G$3:$J$7,3,FALSE))</f>
        <v>0.27272727272727271</v>
      </c>
      <c r="P7" s="13">
        <f>IF(F7="NA",1,VLOOKUP(F7,'Pivot Tables'!$G$10:$J$14,3,FALSE))</f>
        <v>0.4642857142857143</v>
      </c>
      <c r="R7" s="22">
        <f>PRODUCT(I7:L7)*GETPIVOTDATA("Secure",'Pivot Tables'!$L$3,"Secure",0)</f>
        <v>3.1578947368421052E-3</v>
      </c>
      <c r="S7" s="22">
        <f>PRODUCT(M7:P7)*GETPIVOTDATA("Secure",'Pivot Tables'!$L$3,"Secure",1)</f>
        <v>9.0878021500031079E-3</v>
      </c>
      <c r="U7" s="13">
        <f t="shared" si="0"/>
        <v>0.25787791140203986</v>
      </c>
      <c r="V7" s="13">
        <f t="shared" si="1"/>
        <v>0.74212208859796014</v>
      </c>
      <c r="W7" s="13">
        <f t="shared" si="2"/>
        <v>1</v>
      </c>
      <c r="X7" s="15" t="str">
        <f t="shared" si="3"/>
        <v>TRUE</v>
      </c>
    </row>
    <row r="8" spans="2:24" x14ac:dyDescent="0.25">
      <c r="B8" s="17">
        <v>29</v>
      </c>
      <c r="C8" s="9">
        <v>0</v>
      </c>
      <c r="D8" s="9">
        <v>1</v>
      </c>
      <c r="E8" s="9" t="str">
        <v>NA</v>
      </c>
      <c r="F8" s="9">
        <v>0</v>
      </c>
      <c r="G8" s="9">
        <v>1</v>
      </c>
      <c r="I8" s="13">
        <f>IF(C8="NA",1,VLOOKUP(C8,'Pivot Tables'!$B$3:$E$7,2,FALSE))</f>
        <v>0.4</v>
      </c>
      <c r="J8" s="25">
        <f>IF(D8="NA",1,VLOOKUP(D8,'Pivot Tables'!$B$10:$E$14,2,FALSE))</f>
        <v>0.4</v>
      </c>
      <c r="K8" s="13">
        <f>IF(E8="NA",1,VLOOKUP(E8,'Pivot Tables'!$G$3:$J$7,2,FALSE))</f>
        <v>1</v>
      </c>
      <c r="L8" s="13">
        <f>IF(F8="NA",1,VLOOKUP(F8,'Pivot Tables'!$G$10:$J$14,2,FALSE))</f>
        <v>0.8</v>
      </c>
      <c r="M8" s="13">
        <f>IF(C8="NA",1,VLOOKUP(C8,'Pivot Tables'!$B$3:$E$7,3,FALSE))</f>
        <v>0.45454545454545453</v>
      </c>
      <c r="N8" s="13">
        <f>IF(D8="NA",1,VLOOKUP(D8,'Pivot Tables'!$B$10:$E$14,3,FALSE))</f>
        <v>0.81818181818181823</v>
      </c>
      <c r="O8" s="13">
        <f>IF(E8="NA",1,VLOOKUP(E8,'Pivot Tables'!$G$3:$J$7,3,FALSE))</f>
        <v>1</v>
      </c>
      <c r="P8" s="13">
        <f>IF(F8="NA",1,VLOOKUP(F8,'Pivot Tables'!$G$10:$J$14,3,FALSE))</f>
        <v>0.5357142857142857</v>
      </c>
      <c r="R8" s="22">
        <f>PRODUCT(I8:L8)*GETPIVOTDATA("Secure",'Pivot Tables'!$L$3,"Secure",0)</f>
        <v>1.6842105263157898E-2</v>
      </c>
      <c r="S8" s="22">
        <f>PRODUCT(M8:P8)*GETPIVOTDATA("Secure",'Pivot Tables'!$L$3,"Secure",1)</f>
        <v>0.17301777170198226</v>
      </c>
      <c r="U8" s="13">
        <f t="shared" si="0"/>
        <v>8.8708080571706288E-2</v>
      </c>
      <c r="V8" s="13">
        <f t="shared" si="1"/>
        <v>0.91129191942829368</v>
      </c>
      <c r="W8" s="13">
        <f t="shared" si="2"/>
        <v>1</v>
      </c>
      <c r="X8" s="15" t="str">
        <f t="shared" si="3"/>
        <v>TRUE</v>
      </c>
    </row>
    <row r="9" spans="2:24" x14ac:dyDescent="0.25">
      <c r="B9" s="17">
        <v>50</v>
      </c>
      <c r="C9" s="9">
        <v>0</v>
      </c>
      <c r="D9" s="9">
        <v>1</v>
      </c>
      <c r="E9" s="9">
        <v>1</v>
      </c>
      <c r="F9" s="9">
        <v>1</v>
      </c>
      <c r="G9" s="9">
        <v>1</v>
      </c>
      <c r="I9" s="13">
        <f>IF(C9="NA",1,VLOOKUP(C9,'Pivot Tables'!$B$3:$E$7,2,FALSE))</f>
        <v>0.4</v>
      </c>
      <c r="J9" s="25">
        <f>IF(D9="NA",1,VLOOKUP(D9,'Pivot Tables'!$B$10:$E$14,2,FALSE))</f>
        <v>0.4</v>
      </c>
      <c r="K9" s="13">
        <f>IF(E9="NA",1,VLOOKUP(E9,'Pivot Tables'!$G$3:$J$7,2,FALSE))</f>
        <v>0.5</v>
      </c>
      <c r="L9" s="13">
        <f>IF(F9="NA",1,VLOOKUP(F9,'Pivot Tables'!$G$10:$J$14,2,FALSE))</f>
        <v>0.2</v>
      </c>
      <c r="M9" s="13">
        <f>IF(C9="NA",1,VLOOKUP(C9,'Pivot Tables'!$B$3:$E$7,3,FALSE))</f>
        <v>0.45454545454545453</v>
      </c>
      <c r="N9" s="13">
        <f>IF(D9="NA",1,VLOOKUP(D9,'Pivot Tables'!$B$10:$E$14,3,FALSE))</f>
        <v>0.81818181818181823</v>
      </c>
      <c r="O9" s="13">
        <f>IF(E9="NA",1,VLOOKUP(E9,'Pivot Tables'!$G$3:$J$7,3,FALSE))</f>
        <v>0.72727272727272729</v>
      </c>
      <c r="P9" s="13">
        <f>IF(F9="NA",1,VLOOKUP(F9,'Pivot Tables'!$G$10:$J$14,3,FALSE))</f>
        <v>0.4642857142857143</v>
      </c>
      <c r="R9" s="22">
        <f>PRODUCT(I9:L9)*GETPIVOTDATA("Secure",'Pivot Tables'!$L$3,"Secure",0)</f>
        <v>2.1052631578947372E-3</v>
      </c>
      <c r="S9" s="22">
        <f>PRODUCT(M9:P9)*GETPIVOTDATA("Secure",'Pivot Tables'!$L$3,"Secure",1)</f>
        <v>0.10905362580003732</v>
      </c>
      <c r="U9" s="13">
        <f t="shared" si="0"/>
        <v>1.8939224542730646E-2</v>
      </c>
      <c r="V9" s="13">
        <f t="shared" si="1"/>
        <v>0.98106077545726933</v>
      </c>
      <c r="W9" s="13">
        <f t="shared" si="2"/>
        <v>1</v>
      </c>
      <c r="X9" s="15" t="str">
        <f t="shared" si="3"/>
        <v>TRUE</v>
      </c>
    </row>
    <row r="10" spans="2:24" x14ac:dyDescent="0.25">
      <c r="B10" s="17">
        <v>52</v>
      </c>
      <c r="C10" s="9">
        <v>0</v>
      </c>
      <c r="D10" s="9">
        <v>1</v>
      </c>
      <c r="E10" s="9">
        <v>1</v>
      </c>
      <c r="F10" s="9">
        <v>1</v>
      </c>
      <c r="G10" s="9">
        <v>1</v>
      </c>
      <c r="I10" s="13">
        <f>IF(C10="NA",1,VLOOKUP(C10,'Pivot Tables'!$B$3:$E$7,2,FALSE))</f>
        <v>0.4</v>
      </c>
      <c r="J10" s="25">
        <f>IF(D10="NA",1,VLOOKUP(D10,'Pivot Tables'!$B$10:$E$14,2,FALSE))</f>
        <v>0.4</v>
      </c>
      <c r="K10" s="13">
        <f>IF(E10="NA",1,VLOOKUP(E10,'Pivot Tables'!$G$3:$J$7,2,FALSE))</f>
        <v>0.5</v>
      </c>
      <c r="L10" s="13">
        <f>IF(F10="NA",1,VLOOKUP(F10,'Pivot Tables'!$G$10:$J$14,2,FALSE))</f>
        <v>0.2</v>
      </c>
      <c r="M10" s="13">
        <f>IF(C10="NA",1,VLOOKUP(C10,'Pivot Tables'!$B$3:$E$7,3,FALSE))</f>
        <v>0.45454545454545453</v>
      </c>
      <c r="N10" s="13">
        <f>IF(D10="NA",1,VLOOKUP(D10,'Pivot Tables'!$B$10:$E$14,3,FALSE))</f>
        <v>0.81818181818181823</v>
      </c>
      <c r="O10" s="13">
        <f>IF(E10="NA",1,VLOOKUP(E10,'Pivot Tables'!$G$3:$J$7,3,FALSE))</f>
        <v>0.72727272727272729</v>
      </c>
      <c r="P10" s="13">
        <f>IF(F10="NA",1,VLOOKUP(F10,'Pivot Tables'!$G$10:$J$14,3,FALSE))</f>
        <v>0.4642857142857143</v>
      </c>
      <c r="R10" s="22">
        <f>PRODUCT(I10:L10)*GETPIVOTDATA("Secure",'Pivot Tables'!$L$3,"Secure",0)</f>
        <v>2.1052631578947372E-3</v>
      </c>
      <c r="S10" s="22">
        <f>PRODUCT(M10:P10)*GETPIVOTDATA("Secure",'Pivot Tables'!$L$3,"Secure",1)</f>
        <v>0.10905362580003732</v>
      </c>
      <c r="U10" s="13">
        <f t="shared" si="0"/>
        <v>1.8939224542730646E-2</v>
      </c>
      <c r="V10" s="13">
        <f t="shared" si="1"/>
        <v>0.98106077545726933</v>
      </c>
      <c r="W10" s="13">
        <f t="shared" si="2"/>
        <v>1</v>
      </c>
      <c r="X10" s="15" t="str">
        <f t="shared" si="3"/>
        <v>TRUE</v>
      </c>
    </row>
    <row r="11" spans="2:24" x14ac:dyDescent="0.25">
      <c r="B11" s="17">
        <v>55</v>
      </c>
      <c r="C11" s="9">
        <v>1</v>
      </c>
      <c r="D11" s="9">
        <v>1</v>
      </c>
      <c r="E11" s="9">
        <v>1</v>
      </c>
      <c r="F11" s="9">
        <v>0</v>
      </c>
      <c r="G11" s="9">
        <v>1</v>
      </c>
      <c r="I11" s="13">
        <f>IF(C11="NA",1,VLOOKUP(C11,'Pivot Tables'!$B$3:$E$7,2,FALSE))</f>
        <v>0.6</v>
      </c>
      <c r="J11" s="25">
        <f>IF(D11="NA",1,VLOOKUP(D11,'Pivot Tables'!$B$10:$E$14,2,FALSE))</f>
        <v>0.4</v>
      </c>
      <c r="K11" s="13">
        <f>IF(E11="NA",1,VLOOKUP(E11,'Pivot Tables'!$G$3:$J$7,2,FALSE))</f>
        <v>0.5</v>
      </c>
      <c r="L11" s="13">
        <f>IF(F11="NA",1,VLOOKUP(F11,'Pivot Tables'!$G$10:$J$14,2,FALSE))</f>
        <v>0.8</v>
      </c>
      <c r="M11" s="13">
        <f>IF(C11="NA",1,VLOOKUP(C11,'Pivot Tables'!$B$3:$E$7,3,FALSE))</f>
        <v>0.54545454545454541</v>
      </c>
      <c r="N11" s="13">
        <f>IF(D11="NA",1,VLOOKUP(D11,'Pivot Tables'!$B$10:$E$14,3,FALSE))</f>
        <v>0.81818181818181823</v>
      </c>
      <c r="O11" s="13">
        <f>IF(E11="NA",1,VLOOKUP(E11,'Pivot Tables'!$G$3:$J$7,3,FALSE))</f>
        <v>0.72727272727272729</v>
      </c>
      <c r="P11" s="13">
        <f>IF(F11="NA",1,VLOOKUP(F11,'Pivot Tables'!$G$10:$J$14,3,FALSE))</f>
        <v>0.5357142857142857</v>
      </c>
      <c r="R11" s="22">
        <f>PRODUCT(I11:L11)*GETPIVOTDATA("Secure",'Pivot Tables'!$L$3,"Secure",0)</f>
        <v>1.2631578947368421E-2</v>
      </c>
      <c r="S11" s="22">
        <f>PRODUCT(M11:P11)*GETPIVOTDATA("Secure",'Pivot Tables'!$L$3,"Secure",1)</f>
        <v>0.15099732803082086</v>
      </c>
      <c r="U11" s="13">
        <f t="shared" si="0"/>
        <v>7.7196500182282177E-2</v>
      </c>
      <c r="V11" s="13">
        <f t="shared" si="1"/>
        <v>0.92280349981771781</v>
      </c>
      <c r="W11" s="13">
        <f t="shared" si="2"/>
        <v>1</v>
      </c>
      <c r="X11" s="15" t="str">
        <f t="shared" si="3"/>
        <v>TRUE</v>
      </c>
    </row>
    <row r="12" spans="2:24" x14ac:dyDescent="0.25">
      <c r="B12" s="17">
        <v>56</v>
      </c>
      <c r="C12" s="9">
        <v>1</v>
      </c>
      <c r="D12" s="9">
        <v>1</v>
      </c>
      <c r="E12" s="9" t="str">
        <v>NA</v>
      </c>
      <c r="F12" s="9" t="str">
        <v>NA</v>
      </c>
      <c r="G12" s="9">
        <v>1</v>
      </c>
      <c r="I12" s="13">
        <f>IF(C12="NA",1,VLOOKUP(C12,'Pivot Tables'!$B$3:$E$7,2,FALSE))</f>
        <v>0.6</v>
      </c>
      <c r="J12" s="25">
        <f>IF(D12="NA",1,VLOOKUP(D12,'Pivot Tables'!$B$10:$E$14,2,FALSE))</f>
        <v>0.4</v>
      </c>
      <c r="K12" s="13">
        <f>IF(E12="NA",1,VLOOKUP(E12,'Pivot Tables'!$G$3:$J$7,2,FALSE))</f>
        <v>1</v>
      </c>
      <c r="L12" s="13">
        <f>IF(F12="NA",1,VLOOKUP(F12,'Pivot Tables'!$G$10:$J$14,2,FALSE))</f>
        <v>1</v>
      </c>
      <c r="M12" s="13">
        <f>IF(C12="NA",1,VLOOKUP(C12,'Pivot Tables'!$B$3:$E$7,3,FALSE))</f>
        <v>0.54545454545454541</v>
      </c>
      <c r="N12" s="13">
        <f>IF(D12="NA",1,VLOOKUP(D12,'Pivot Tables'!$B$10:$E$14,3,FALSE))</f>
        <v>0.81818181818181823</v>
      </c>
      <c r="O12" s="13">
        <f>IF(E12="NA",1,VLOOKUP(E12,'Pivot Tables'!$G$3:$J$7,3,FALSE))</f>
        <v>1</v>
      </c>
      <c r="P12" s="13">
        <f>IF(F12="NA",1,VLOOKUP(F12,'Pivot Tables'!$G$10:$J$14,3,FALSE))</f>
        <v>1</v>
      </c>
      <c r="R12" s="22">
        <f>PRODUCT(I12:L12)*GETPIVOTDATA("Secure",'Pivot Tables'!$L$3,"Secure",0)</f>
        <v>3.1578947368421047E-2</v>
      </c>
      <c r="S12" s="22">
        <f>PRODUCT(M12:P12)*GETPIVOTDATA("Secure",'Pivot Tables'!$L$3,"Secure",1)</f>
        <v>0.38755980861244022</v>
      </c>
      <c r="U12" s="13">
        <f t="shared" si="0"/>
        <v>7.5342465753424639E-2</v>
      </c>
      <c r="V12" s="13">
        <f t="shared" si="1"/>
        <v>0.92465753424657537</v>
      </c>
      <c r="W12" s="13">
        <f t="shared" si="2"/>
        <v>1</v>
      </c>
      <c r="X12" s="15" t="str">
        <f t="shared" si="3"/>
        <v>TRUE</v>
      </c>
    </row>
    <row r="13" spans="2:24" x14ac:dyDescent="0.25">
      <c r="B13" s="17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I13" s="13">
        <f>IF(C13="NA",1,VLOOKUP(C13,'Pivot Tables'!$B$3:$E$7,2,FALSE))</f>
        <v>0.6</v>
      </c>
      <c r="J13" s="25">
        <f>IF(D13="NA",1,VLOOKUP(D13,'Pivot Tables'!$B$10:$E$14,2,FALSE))</f>
        <v>0.4</v>
      </c>
      <c r="K13" s="13">
        <f>IF(E13="NA",1,VLOOKUP(E13,'Pivot Tables'!$G$3:$J$7,2,FALSE))</f>
        <v>0.5</v>
      </c>
      <c r="L13" s="13">
        <f>IF(F13="NA",1,VLOOKUP(F13,'Pivot Tables'!$G$10:$J$14,2,FALSE))</f>
        <v>0.2</v>
      </c>
      <c r="M13" s="13">
        <f>IF(C13="NA",1,VLOOKUP(C13,'Pivot Tables'!$B$3:$E$7,3,FALSE))</f>
        <v>0.54545454545454541</v>
      </c>
      <c r="N13" s="13">
        <f>IF(D13="NA",1,VLOOKUP(D13,'Pivot Tables'!$B$10:$E$14,3,FALSE))</f>
        <v>0.81818181818181823</v>
      </c>
      <c r="O13" s="13">
        <f>IF(E13="NA",1,VLOOKUP(E13,'Pivot Tables'!$G$3:$J$7,3,FALSE))</f>
        <v>0.72727272727272729</v>
      </c>
      <c r="P13" s="13">
        <f>IF(F13="NA",1,VLOOKUP(F13,'Pivot Tables'!$G$10:$J$14,3,FALSE))</f>
        <v>0.4642857142857143</v>
      </c>
      <c r="R13" s="22">
        <f>PRODUCT(I13:L13)*GETPIVOTDATA("Secure",'Pivot Tables'!$L$3,"Secure",0)</f>
        <v>3.1578947368421052E-3</v>
      </c>
      <c r="S13" s="22">
        <f>PRODUCT(M13:P13)*GETPIVOTDATA("Secure",'Pivot Tables'!$L$3,"Secure",1)</f>
        <v>0.13086435096004476</v>
      </c>
      <c r="U13" s="13">
        <f t="shared" si="0"/>
        <v>2.3562466965254398E-2</v>
      </c>
      <c r="V13" s="13">
        <f t="shared" si="1"/>
        <v>0.97643753303474556</v>
      </c>
      <c r="W13" s="13">
        <f t="shared" si="2"/>
        <v>1</v>
      </c>
      <c r="X13" s="15" t="str">
        <f t="shared" si="3"/>
        <v>TRUE</v>
      </c>
    </row>
    <row r="14" spans="2:24" x14ac:dyDescent="0.25">
      <c r="B14" s="17">
        <v>61</v>
      </c>
      <c r="C14" s="9">
        <v>1</v>
      </c>
      <c r="D14" s="9">
        <v>1</v>
      </c>
      <c r="E14" s="9" t="str">
        <v>NA</v>
      </c>
      <c r="F14" s="9">
        <v>0</v>
      </c>
      <c r="G14" s="9">
        <v>1</v>
      </c>
      <c r="I14" s="13">
        <f>IF(C14="NA",1,VLOOKUP(C14,'Pivot Tables'!$B$3:$E$7,2,FALSE))</f>
        <v>0.6</v>
      </c>
      <c r="J14" s="25">
        <f>IF(D14="NA",1,VLOOKUP(D14,'Pivot Tables'!$B$10:$E$14,2,FALSE))</f>
        <v>0.4</v>
      </c>
      <c r="K14" s="13">
        <f>IF(E14="NA",1,VLOOKUP(E14,'Pivot Tables'!$G$3:$J$7,2,FALSE))</f>
        <v>1</v>
      </c>
      <c r="L14" s="13">
        <f>IF(F14="NA",1,VLOOKUP(F14,'Pivot Tables'!$G$10:$J$14,2,FALSE))</f>
        <v>0.8</v>
      </c>
      <c r="M14" s="13">
        <f>IF(C14="NA",1,VLOOKUP(C14,'Pivot Tables'!$B$3:$E$7,3,FALSE))</f>
        <v>0.54545454545454541</v>
      </c>
      <c r="N14" s="13">
        <f>IF(D14="NA",1,VLOOKUP(D14,'Pivot Tables'!$B$10:$E$14,3,FALSE))</f>
        <v>0.81818181818181823</v>
      </c>
      <c r="O14" s="13">
        <f>IF(E14="NA",1,VLOOKUP(E14,'Pivot Tables'!$G$3:$J$7,3,FALSE))</f>
        <v>1</v>
      </c>
      <c r="P14" s="13">
        <f>IF(F14="NA",1,VLOOKUP(F14,'Pivot Tables'!$G$10:$J$14,3,FALSE))</f>
        <v>0.5357142857142857</v>
      </c>
      <c r="R14" s="22">
        <f>PRODUCT(I14:L14)*GETPIVOTDATA("Secure",'Pivot Tables'!$L$3,"Secure",0)</f>
        <v>2.5263157894736842E-2</v>
      </c>
      <c r="S14" s="22">
        <f>PRODUCT(M14:P14)*GETPIVOTDATA("Secure",'Pivot Tables'!$L$3,"Secure",1)</f>
        <v>0.20762132604237868</v>
      </c>
      <c r="U14" s="13">
        <f t="shared" si="0"/>
        <v>0.10847935194153385</v>
      </c>
      <c r="V14" s="13">
        <f t="shared" si="1"/>
        <v>0.89152064805846609</v>
      </c>
      <c r="W14" s="13">
        <f t="shared" si="2"/>
        <v>1</v>
      </c>
      <c r="X14" s="15" t="str">
        <f t="shared" si="3"/>
        <v>TRUE</v>
      </c>
    </row>
    <row r="15" spans="2:24" x14ac:dyDescent="0.25">
      <c r="B15" s="17">
        <v>62</v>
      </c>
      <c r="C15" s="9">
        <v>0</v>
      </c>
      <c r="D15" s="9">
        <v>1</v>
      </c>
      <c r="E15" s="9" t="str">
        <v>NA</v>
      </c>
      <c r="F15" s="9">
        <v>1</v>
      </c>
      <c r="G15" s="9">
        <v>1</v>
      </c>
      <c r="I15" s="13">
        <f>IF(C15="NA",1,VLOOKUP(C15,'Pivot Tables'!$B$3:$E$7,2,FALSE))</f>
        <v>0.4</v>
      </c>
      <c r="J15" s="25">
        <f>IF(D15="NA",1,VLOOKUP(D15,'Pivot Tables'!$B$10:$E$14,2,FALSE))</f>
        <v>0.4</v>
      </c>
      <c r="K15" s="13">
        <f>IF(E15="NA",1,VLOOKUP(E15,'Pivot Tables'!$G$3:$J$7,2,FALSE))</f>
        <v>1</v>
      </c>
      <c r="L15" s="13">
        <f>IF(F15="NA",1,VLOOKUP(F15,'Pivot Tables'!$G$10:$J$14,2,FALSE))</f>
        <v>0.2</v>
      </c>
      <c r="M15" s="13">
        <f>IF(C15="NA",1,VLOOKUP(C15,'Pivot Tables'!$B$3:$E$7,3,FALSE))</f>
        <v>0.45454545454545453</v>
      </c>
      <c r="N15" s="13">
        <f>IF(D15="NA",1,VLOOKUP(D15,'Pivot Tables'!$B$10:$E$14,3,FALSE))</f>
        <v>0.81818181818181823</v>
      </c>
      <c r="O15" s="13">
        <f>IF(E15="NA",1,VLOOKUP(E15,'Pivot Tables'!$G$3:$J$7,3,FALSE))</f>
        <v>1</v>
      </c>
      <c r="P15" s="13">
        <f>IF(F15="NA",1,VLOOKUP(F15,'Pivot Tables'!$G$10:$J$14,3,FALSE))</f>
        <v>0.4642857142857143</v>
      </c>
      <c r="R15" s="22">
        <f>PRODUCT(I15:L15)*GETPIVOTDATA("Secure",'Pivot Tables'!$L$3,"Secure",0)</f>
        <v>4.2105263157894745E-3</v>
      </c>
      <c r="S15" s="22">
        <f>PRODUCT(M15:P15)*GETPIVOTDATA("Secure",'Pivot Tables'!$L$3,"Secure",1)</f>
        <v>0.14994873547505128</v>
      </c>
      <c r="U15" s="13">
        <f t="shared" si="0"/>
        <v>2.7312833928215135E-2</v>
      </c>
      <c r="V15" s="13">
        <f t="shared" si="1"/>
        <v>0.97268716607178485</v>
      </c>
      <c r="W15" s="13">
        <f t="shared" si="2"/>
        <v>1</v>
      </c>
      <c r="X15" s="15" t="str">
        <f t="shared" si="3"/>
        <v>TRUE</v>
      </c>
    </row>
    <row r="16" spans="2:24" x14ac:dyDescent="0.25">
      <c r="B16" s="17">
        <v>63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I16" s="13">
        <f>IF(C16="NA",1,VLOOKUP(C16,'Pivot Tables'!$B$3:$E$7,2,FALSE))</f>
        <v>0.6</v>
      </c>
      <c r="J16" s="25">
        <f>IF(D16="NA",1,VLOOKUP(D16,'Pivot Tables'!$B$10:$E$14,2,FALSE))</f>
        <v>0.4</v>
      </c>
      <c r="K16" s="13">
        <f>IF(E16="NA",1,VLOOKUP(E16,'Pivot Tables'!$G$3:$J$7,2,FALSE))</f>
        <v>0.5</v>
      </c>
      <c r="L16" s="13">
        <f>IF(F16="NA",1,VLOOKUP(F16,'Pivot Tables'!$G$10:$J$14,2,FALSE))</f>
        <v>0.2</v>
      </c>
      <c r="M16" s="13">
        <f>IF(C16="NA",1,VLOOKUP(C16,'Pivot Tables'!$B$3:$E$7,3,FALSE))</f>
        <v>0.54545454545454541</v>
      </c>
      <c r="N16" s="13">
        <f>IF(D16="NA",1,VLOOKUP(D16,'Pivot Tables'!$B$10:$E$14,3,FALSE))</f>
        <v>0.81818181818181823</v>
      </c>
      <c r="O16" s="13">
        <f>IF(E16="NA",1,VLOOKUP(E16,'Pivot Tables'!$G$3:$J$7,3,FALSE))</f>
        <v>0.72727272727272729</v>
      </c>
      <c r="P16" s="13">
        <f>IF(F16="NA",1,VLOOKUP(F16,'Pivot Tables'!$G$10:$J$14,3,FALSE))</f>
        <v>0.4642857142857143</v>
      </c>
      <c r="R16" s="22">
        <f>PRODUCT(I16:L16)*GETPIVOTDATA("Secure",'Pivot Tables'!$L$3,"Secure",0)</f>
        <v>3.1578947368421052E-3</v>
      </c>
      <c r="S16" s="22">
        <f>PRODUCT(M16:P16)*GETPIVOTDATA("Secure",'Pivot Tables'!$L$3,"Secure",1)</f>
        <v>0.13086435096004476</v>
      </c>
      <c r="U16" s="13">
        <f t="shared" si="0"/>
        <v>2.3562466965254398E-2</v>
      </c>
      <c r="V16" s="13">
        <f t="shared" si="1"/>
        <v>0.97643753303474556</v>
      </c>
      <c r="W16" s="13">
        <f t="shared" si="2"/>
        <v>1</v>
      </c>
      <c r="X16" s="15" t="str">
        <f t="shared" si="3"/>
        <v>TRUE</v>
      </c>
    </row>
    <row r="17" spans="2:24" x14ac:dyDescent="0.25">
      <c r="B17" s="17">
        <v>23</v>
      </c>
      <c r="C17" s="9">
        <v>0</v>
      </c>
      <c r="D17" s="9">
        <v>0</v>
      </c>
      <c r="E17" s="9">
        <v>1</v>
      </c>
      <c r="F17" s="9">
        <v>1</v>
      </c>
      <c r="G17" s="9">
        <v>1</v>
      </c>
      <c r="I17" s="13">
        <f>IF(C17="NA",1,VLOOKUP(C17,'Pivot Tables'!$B$3:$E$7,2,FALSE))</f>
        <v>0.4</v>
      </c>
      <c r="J17" s="25">
        <f>IF(D17="NA",1,VLOOKUP(D17,'Pivot Tables'!$B$10:$E$14,2,FALSE))</f>
        <v>0.6</v>
      </c>
      <c r="K17" s="13">
        <f>IF(E17="NA",1,VLOOKUP(E17,'Pivot Tables'!$G$3:$J$7,2,FALSE))</f>
        <v>0.5</v>
      </c>
      <c r="L17" s="13">
        <f>IF(F17="NA",1,VLOOKUP(F17,'Pivot Tables'!$G$10:$J$14,2,FALSE))</f>
        <v>0.2</v>
      </c>
      <c r="M17" s="13">
        <f>IF(C17="NA",1,VLOOKUP(C17,'Pivot Tables'!$B$3:$E$7,3,FALSE))</f>
        <v>0.45454545454545453</v>
      </c>
      <c r="N17" s="13">
        <f>IF(D17="NA",1,VLOOKUP(D17,'Pivot Tables'!$B$10:$E$14,3,FALSE))</f>
        <v>0.18181818181818182</v>
      </c>
      <c r="O17" s="13">
        <f>IF(E17="NA",1,VLOOKUP(E17,'Pivot Tables'!$G$3:$J$7,3,FALSE))</f>
        <v>0.72727272727272729</v>
      </c>
      <c r="P17" s="13">
        <f>IF(F17="NA",1,VLOOKUP(F17,'Pivot Tables'!$G$10:$J$14,3,FALSE))</f>
        <v>0.4642857142857143</v>
      </c>
      <c r="R17" s="22">
        <f>PRODUCT(I17:L17)*GETPIVOTDATA("Secure",'Pivot Tables'!$L$3,"Secure",0)</f>
        <v>3.1578947368421052E-3</v>
      </c>
      <c r="S17" s="22">
        <f>PRODUCT(M17:P17)*GETPIVOTDATA("Secure",'Pivot Tables'!$L$3,"Secure",1)</f>
        <v>2.4234139066674959E-2</v>
      </c>
      <c r="U17" s="13">
        <f t="shared" si="0"/>
        <v>0.1152851504015244</v>
      </c>
      <c r="V17" s="13">
        <f t="shared" si="1"/>
        <v>0.88471484959847557</v>
      </c>
      <c r="W17" s="13">
        <f t="shared" si="2"/>
        <v>1</v>
      </c>
      <c r="X17" s="15" t="str">
        <f t="shared" si="3"/>
        <v>TRUE</v>
      </c>
    </row>
    <row r="18" spans="2:24" x14ac:dyDescent="0.25">
      <c r="B18" s="17">
        <v>51</v>
      </c>
      <c r="C18" s="9">
        <v>1</v>
      </c>
      <c r="D18" s="9">
        <v>1</v>
      </c>
      <c r="E18" s="9" t="str">
        <v>NA</v>
      </c>
      <c r="F18" s="9">
        <v>0</v>
      </c>
      <c r="G18" s="9">
        <v>1</v>
      </c>
      <c r="I18" s="13">
        <f>IF(C18="NA",1,VLOOKUP(C18,'Pivot Tables'!$B$3:$E$7,2,FALSE))</f>
        <v>0.6</v>
      </c>
      <c r="J18" s="25">
        <f>IF(D18="NA",1,VLOOKUP(D18,'Pivot Tables'!$B$10:$E$14,2,FALSE))</f>
        <v>0.4</v>
      </c>
      <c r="K18" s="13">
        <f>IF(E18="NA",1,VLOOKUP(E18,'Pivot Tables'!$G$3:$J$7,2,FALSE))</f>
        <v>1</v>
      </c>
      <c r="L18" s="13">
        <f>IF(F18="NA",1,VLOOKUP(F18,'Pivot Tables'!$G$10:$J$14,2,FALSE))</f>
        <v>0.8</v>
      </c>
      <c r="M18" s="13">
        <f>IF(C18="NA",1,VLOOKUP(C18,'Pivot Tables'!$B$3:$E$7,3,FALSE))</f>
        <v>0.54545454545454541</v>
      </c>
      <c r="N18" s="13">
        <f>IF(D18="NA",1,VLOOKUP(D18,'Pivot Tables'!$B$10:$E$14,3,FALSE))</f>
        <v>0.81818181818181823</v>
      </c>
      <c r="O18" s="13">
        <f>IF(E18="NA",1,VLOOKUP(E18,'Pivot Tables'!$G$3:$J$7,3,FALSE))</f>
        <v>1</v>
      </c>
      <c r="P18" s="13">
        <f>IF(F18="NA",1,VLOOKUP(F18,'Pivot Tables'!$G$10:$J$14,3,FALSE))</f>
        <v>0.5357142857142857</v>
      </c>
      <c r="R18" s="22">
        <f>PRODUCT(I18:L18)*GETPIVOTDATA("Secure",'Pivot Tables'!$L$3,"Secure",0)</f>
        <v>2.5263157894736842E-2</v>
      </c>
      <c r="S18" s="22">
        <f>PRODUCT(M18:P18)*GETPIVOTDATA("Secure",'Pivot Tables'!$L$3,"Secure",1)</f>
        <v>0.20762132604237868</v>
      </c>
      <c r="U18" s="13">
        <f t="shared" si="0"/>
        <v>0.10847935194153385</v>
      </c>
      <c r="V18" s="13">
        <f t="shared" si="1"/>
        <v>0.89152064805846609</v>
      </c>
      <c r="W18" s="13">
        <f t="shared" si="2"/>
        <v>1</v>
      </c>
      <c r="X18" s="15" t="str">
        <f t="shared" si="3"/>
        <v>TRUE</v>
      </c>
    </row>
    <row r="19" spans="2:24" x14ac:dyDescent="0.25">
      <c r="B19" s="17">
        <v>64</v>
      </c>
      <c r="C19" s="9">
        <v>0</v>
      </c>
      <c r="D19" s="9">
        <v>1</v>
      </c>
      <c r="E19" s="9">
        <v>1</v>
      </c>
      <c r="F19" s="9" t="str">
        <v>NA</v>
      </c>
      <c r="G19" s="9">
        <v>1</v>
      </c>
      <c r="I19" s="13">
        <f>IF(C19="NA",1,VLOOKUP(C19,'Pivot Tables'!$B$3:$E$7,2,FALSE))</f>
        <v>0.4</v>
      </c>
      <c r="J19" s="25">
        <f>IF(D19="NA",1,VLOOKUP(D19,'Pivot Tables'!$B$10:$E$14,2,FALSE))</f>
        <v>0.4</v>
      </c>
      <c r="K19" s="13">
        <f>IF(E19="NA",1,VLOOKUP(E19,'Pivot Tables'!$G$3:$J$7,2,FALSE))</f>
        <v>0.5</v>
      </c>
      <c r="L19" s="13">
        <f>IF(F19="NA",1,VLOOKUP(F19,'Pivot Tables'!$G$10:$J$14,2,FALSE))</f>
        <v>1</v>
      </c>
      <c r="M19" s="13">
        <f>IF(C19="NA",1,VLOOKUP(C19,'Pivot Tables'!$B$3:$E$7,3,FALSE))</f>
        <v>0.45454545454545453</v>
      </c>
      <c r="N19" s="13">
        <f>IF(D19="NA",1,VLOOKUP(D19,'Pivot Tables'!$B$10:$E$14,3,FALSE))</f>
        <v>0.81818181818181823</v>
      </c>
      <c r="O19" s="13">
        <f>IF(E19="NA",1,VLOOKUP(E19,'Pivot Tables'!$G$3:$J$7,3,FALSE))</f>
        <v>0.72727272727272729</v>
      </c>
      <c r="P19" s="13">
        <f>IF(F19="NA",1,VLOOKUP(F19,'Pivot Tables'!$G$10:$J$14,3,FALSE))</f>
        <v>1</v>
      </c>
      <c r="R19" s="22">
        <f>PRODUCT(I19:L19)*GETPIVOTDATA("Secure",'Pivot Tables'!$L$3,"Secure",0)</f>
        <v>1.0526315789473686E-2</v>
      </c>
      <c r="S19" s="22">
        <f>PRODUCT(M19:P19)*GETPIVOTDATA("Secure",'Pivot Tables'!$L$3,"Secure",1)</f>
        <v>0.23488473249238806</v>
      </c>
      <c r="U19" s="13">
        <f t="shared" si="0"/>
        <v>4.2892591279688044E-2</v>
      </c>
      <c r="V19" s="13">
        <f t="shared" si="1"/>
        <v>0.95710740872031197</v>
      </c>
      <c r="W19" s="13">
        <f t="shared" si="2"/>
        <v>1</v>
      </c>
      <c r="X19" s="15" t="str">
        <f t="shared" si="3"/>
        <v>TRUE</v>
      </c>
    </row>
    <row r="20" spans="2:24" x14ac:dyDescent="0.25">
      <c r="B20" s="17">
        <v>65</v>
      </c>
      <c r="C20" s="9">
        <v>1</v>
      </c>
      <c r="D20" s="9">
        <v>1</v>
      </c>
      <c r="E20" s="9">
        <v>1</v>
      </c>
      <c r="F20" s="9">
        <v>0</v>
      </c>
      <c r="G20" s="9">
        <v>1</v>
      </c>
      <c r="I20" s="13">
        <f>IF(C20="NA",1,VLOOKUP(C20,'Pivot Tables'!$B$3:$E$7,2,FALSE))</f>
        <v>0.6</v>
      </c>
      <c r="J20" s="25">
        <f>IF(D20="NA",1,VLOOKUP(D20,'Pivot Tables'!$B$10:$E$14,2,FALSE))</f>
        <v>0.4</v>
      </c>
      <c r="K20" s="13">
        <f>IF(E20="NA",1,VLOOKUP(E20,'Pivot Tables'!$G$3:$J$7,2,FALSE))</f>
        <v>0.5</v>
      </c>
      <c r="L20" s="13">
        <f>IF(F20="NA",1,VLOOKUP(F20,'Pivot Tables'!$G$10:$J$14,2,FALSE))</f>
        <v>0.8</v>
      </c>
      <c r="M20" s="13">
        <f>IF(C20="NA",1,VLOOKUP(C20,'Pivot Tables'!$B$3:$E$7,3,FALSE))</f>
        <v>0.54545454545454541</v>
      </c>
      <c r="N20" s="13">
        <f>IF(D20="NA",1,VLOOKUP(D20,'Pivot Tables'!$B$10:$E$14,3,FALSE))</f>
        <v>0.81818181818181823</v>
      </c>
      <c r="O20" s="13">
        <f>IF(E20="NA",1,VLOOKUP(E20,'Pivot Tables'!$G$3:$J$7,3,FALSE))</f>
        <v>0.72727272727272729</v>
      </c>
      <c r="P20" s="13">
        <f>IF(F20="NA",1,VLOOKUP(F20,'Pivot Tables'!$G$10:$J$14,3,FALSE))</f>
        <v>0.5357142857142857</v>
      </c>
      <c r="R20" s="22">
        <f>PRODUCT(I20:L20)*GETPIVOTDATA("Secure",'Pivot Tables'!$L$3,"Secure",0)</f>
        <v>1.2631578947368421E-2</v>
      </c>
      <c r="S20" s="22">
        <f>PRODUCT(M20:P20)*GETPIVOTDATA("Secure",'Pivot Tables'!$L$3,"Secure",1)</f>
        <v>0.15099732803082086</v>
      </c>
      <c r="U20" s="13">
        <f t="shared" si="0"/>
        <v>7.7196500182282177E-2</v>
      </c>
      <c r="V20" s="13">
        <f t="shared" si="1"/>
        <v>0.92280349981771781</v>
      </c>
      <c r="W20" s="13">
        <f t="shared" si="2"/>
        <v>1</v>
      </c>
      <c r="X20" s="15" t="str">
        <f t="shared" si="3"/>
        <v>TRUE</v>
      </c>
    </row>
    <row r="21" spans="2:24" x14ac:dyDescent="0.25">
      <c r="B21" s="17">
        <v>44</v>
      </c>
      <c r="C21" s="9">
        <v>1</v>
      </c>
      <c r="D21" s="9">
        <v>1</v>
      </c>
      <c r="E21" s="9">
        <v>0</v>
      </c>
      <c r="F21" s="9">
        <v>0</v>
      </c>
      <c r="G21" s="9">
        <v>1</v>
      </c>
      <c r="I21" s="13">
        <f>IF(C21="NA",1,VLOOKUP(C21,'Pivot Tables'!$B$3:$E$7,2,FALSE))</f>
        <v>0.6</v>
      </c>
      <c r="J21" s="25">
        <f>IF(D21="NA",1,VLOOKUP(D21,'Pivot Tables'!$B$10:$E$14,2,FALSE))</f>
        <v>0.4</v>
      </c>
      <c r="K21" s="13">
        <f>IF(E21="NA",1,VLOOKUP(E21,'Pivot Tables'!$G$3:$J$7,2,FALSE))</f>
        <v>0.5</v>
      </c>
      <c r="L21" s="13">
        <f>IF(F21="NA",1,VLOOKUP(F21,'Pivot Tables'!$G$10:$J$14,2,FALSE))</f>
        <v>0.8</v>
      </c>
      <c r="M21" s="13">
        <f>IF(C21="NA",1,VLOOKUP(C21,'Pivot Tables'!$B$3:$E$7,3,FALSE))</f>
        <v>0.54545454545454541</v>
      </c>
      <c r="N21" s="13">
        <f>IF(D21="NA",1,VLOOKUP(D21,'Pivot Tables'!$B$10:$E$14,3,FALSE))</f>
        <v>0.81818181818181823</v>
      </c>
      <c r="O21" s="13">
        <f>IF(E21="NA",1,VLOOKUP(E21,'Pivot Tables'!$G$3:$J$7,3,FALSE))</f>
        <v>0.27272727272727271</v>
      </c>
      <c r="P21" s="13">
        <f>IF(F21="NA",1,VLOOKUP(F21,'Pivot Tables'!$G$10:$J$14,3,FALSE))</f>
        <v>0.5357142857142857</v>
      </c>
      <c r="R21" s="22">
        <f>PRODUCT(I21:L21)*GETPIVOTDATA("Secure",'Pivot Tables'!$L$3,"Secure",0)</f>
        <v>1.2631578947368421E-2</v>
      </c>
      <c r="S21" s="22">
        <f>PRODUCT(M21:P21)*GETPIVOTDATA("Secure",'Pivot Tables'!$L$3,"Secure",1)</f>
        <v>5.6623998011557819E-2</v>
      </c>
      <c r="U21" s="13">
        <f t="shared" si="0"/>
        <v>0.18239078355898899</v>
      </c>
      <c r="V21" s="13">
        <f t="shared" si="1"/>
        <v>0.81760921644101103</v>
      </c>
      <c r="W21" s="13">
        <f t="shared" si="2"/>
        <v>1</v>
      </c>
      <c r="X21" s="15" t="str">
        <f t="shared" si="3"/>
        <v>TRUE</v>
      </c>
    </row>
    <row r="22" spans="2:24" x14ac:dyDescent="0.25">
      <c r="B22" s="17">
        <v>66</v>
      </c>
      <c r="C22" s="9">
        <v>1</v>
      </c>
      <c r="D22" s="9">
        <v>1</v>
      </c>
      <c r="E22" s="9">
        <v>1</v>
      </c>
      <c r="F22" s="9">
        <v>0</v>
      </c>
      <c r="G22" s="9">
        <v>1</v>
      </c>
      <c r="I22" s="13">
        <f>IF(C22="NA",1,VLOOKUP(C22,'Pivot Tables'!$B$3:$E$7,2,FALSE))</f>
        <v>0.6</v>
      </c>
      <c r="J22" s="25">
        <f>IF(D22="NA",1,VLOOKUP(D22,'Pivot Tables'!$B$10:$E$14,2,FALSE))</f>
        <v>0.4</v>
      </c>
      <c r="K22" s="13">
        <f>IF(E22="NA",1,VLOOKUP(E22,'Pivot Tables'!$G$3:$J$7,2,FALSE))</f>
        <v>0.5</v>
      </c>
      <c r="L22" s="13">
        <f>IF(F22="NA",1,VLOOKUP(F22,'Pivot Tables'!$G$10:$J$14,2,FALSE))</f>
        <v>0.8</v>
      </c>
      <c r="M22" s="13">
        <f>IF(C22="NA",1,VLOOKUP(C22,'Pivot Tables'!$B$3:$E$7,3,FALSE))</f>
        <v>0.54545454545454541</v>
      </c>
      <c r="N22" s="13">
        <f>IF(D22="NA",1,VLOOKUP(D22,'Pivot Tables'!$B$10:$E$14,3,FALSE))</f>
        <v>0.81818181818181823</v>
      </c>
      <c r="O22" s="13">
        <f>IF(E22="NA",1,VLOOKUP(E22,'Pivot Tables'!$G$3:$J$7,3,FALSE))</f>
        <v>0.72727272727272729</v>
      </c>
      <c r="P22" s="13">
        <f>IF(F22="NA",1,VLOOKUP(F22,'Pivot Tables'!$G$10:$J$14,3,FALSE))</f>
        <v>0.5357142857142857</v>
      </c>
      <c r="R22" s="22">
        <f>PRODUCT(I22:L22)*GETPIVOTDATA("Secure",'Pivot Tables'!$L$3,"Secure",0)</f>
        <v>1.2631578947368421E-2</v>
      </c>
      <c r="S22" s="22">
        <f>PRODUCT(M22:P22)*GETPIVOTDATA("Secure",'Pivot Tables'!$L$3,"Secure",1)</f>
        <v>0.15099732803082086</v>
      </c>
      <c r="U22" s="13">
        <f t="shared" si="0"/>
        <v>7.7196500182282177E-2</v>
      </c>
      <c r="V22" s="13">
        <f t="shared" si="1"/>
        <v>0.92280349981771781</v>
      </c>
      <c r="W22" s="13">
        <f t="shared" si="2"/>
        <v>1</v>
      </c>
      <c r="X22" s="15" t="str">
        <f t="shared" si="3"/>
        <v>TRUE</v>
      </c>
    </row>
    <row r="23" spans="2:24" x14ac:dyDescent="0.25">
      <c r="B23" s="17">
        <v>15</v>
      </c>
      <c r="C23" s="9">
        <v>1</v>
      </c>
      <c r="D23" s="9">
        <v>1</v>
      </c>
      <c r="E23" s="9">
        <v>1</v>
      </c>
      <c r="F23" s="9">
        <v>0</v>
      </c>
      <c r="G23" s="9">
        <v>1</v>
      </c>
      <c r="I23" s="13">
        <f>IF(C23="NA",1,VLOOKUP(C23,'Pivot Tables'!$B$3:$E$7,2,FALSE))</f>
        <v>0.6</v>
      </c>
      <c r="J23" s="25">
        <f>IF(D23="NA",1,VLOOKUP(D23,'Pivot Tables'!$B$10:$E$14,2,FALSE))</f>
        <v>0.4</v>
      </c>
      <c r="K23" s="13">
        <f>IF(E23="NA",1,VLOOKUP(E23,'Pivot Tables'!$G$3:$J$7,2,FALSE))</f>
        <v>0.5</v>
      </c>
      <c r="L23" s="13">
        <f>IF(F23="NA",1,VLOOKUP(F23,'Pivot Tables'!$G$10:$J$14,2,FALSE))</f>
        <v>0.8</v>
      </c>
      <c r="M23" s="13">
        <f>IF(C23="NA",1,VLOOKUP(C23,'Pivot Tables'!$B$3:$E$7,3,FALSE))</f>
        <v>0.54545454545454541</v>
      </c>
      <c r="N23" s="13">
        <f>IF(D23="NA",1,VLOOKUP(D23,'Pivot Tables'!$B$10:$E$14,3,FALSE))</f>
        <v>0.81818181818181823</v>
      </c>
      <c r="O23" s="13">
        <f>IF(E23="NA",1,VLOOKUP(E23,'Pivot Tables'!$G$3:$J$7,3,FALSE))</f>
        <v>0.72727272727272729</v>
      </c>
      <c r="P23" s="13">
        <f>IF(F23="NA",1,VLOOKUP(F23,'Pivot Tables'!$G$10:$J$14,3,FALSE))</f>
        <v>0.5357142857142857</v>
      </c>
      <c r="R23" s="22">
        <f>PRODUCT(I23:L23)*GETPIVOTDATA("Secure",'Pivot Tables'!$L$3,"Secure",0)</f>
        <v>1.2631578947368421E-2</v>
      </c>
      <c r="S23" s="22">
        <f>PRODUCT(M23:P23)*GETPIVOTDATA("Secure",'Pivot Tables'!$L$3,"Secure",1)</f>
        <v>0.15099732803082086</v>
      </c>
      <c r="U23" s="13">
        <f t="shared" si="0"/>
        <v>7.7196500182282177E-2</v>
      </c>
      <c r="V23" s="13">
        <f t="shared" si="1"/>
        <v>0.92280349981771781</v>
      </c>
      <c r="W23" s="13">
        <f t="shared" si="2"/>
        <v>1</v>
      </c>
      <c r="X23" s="15" t="str">
        <f t="shared" si="3"/>
        <v>TRUE</v>
      </c>
    </row>
    <row r="24" spans="2:24" x14ac:dyDescent="0.25">
      <c r="B24" s="17">
        <v>39</v>
      </c>
      <c r="C24" s="9">
        <v>1</v>
      </c>
      <c r="D24" s="9">
        <v>1</v>
      </c>
      <c r="E24" s="9">
        <v>0</v>
      </c>
      <c r="F24" s="9">
        <v>0</v>
      </c>
      <c r="G24" s="9">
        <v>1</v>
      </c>
      <c r="I24" s="13">
        <f>IF(C24="NA",1,VLOOKUP(C24,'Pivot Tables'!$B$3:$E$7,2,FALSE))</f>
        <v>0.6</v>
      </c>
      <c r="J24" s="25">
        <f>IF(D24="NA",1,VLOOKUP(D24,'Pivot Tables'!$B$10:$E$14,2,FALSE))</f>
        <v>0.4</v>
      </c>
      <c r="K24" s="13">
        <f>IF(E24="NA",1,VLOOKUP(E24,'Pivot Tables'!$G$3:$J$7,2,FALSE))</f>
        <v>0.5</v>
      </c>
      <c r="L24" s="13">
        <f>IF(F24="NA",1,VLOOKUP(F24,'Pivot Tables'!$G$10:$J$14,2,FALSE))</f>
        <v>0.8</v>
      </c>
      <c r="M24" s="13">
        <f>IF(C24="NA",1,VLOOKUP(C24,'Pivot Tables'!$B$3:$E$7,3,FALSE))</f>
        <v>0.54545454545454541</v>
      </c>
      <c r="N24" s="13">
        <f>IF(D24="NA",1,VLOOKUP(D24,'Pivot Tables'!$B$10:$E$14,3,FALSE))</f>
        <v>0.81818181818181823</v>
      </c>
      <c r="O24" s="13">
        <f>IF(E24="NA",1,VLOOKUP(E24,'Pivot Tables'!$G$3:$J$7,3,FALSE))</f>
        <v>0.27272727272727271</v>
      </c>
      <c r="P24" s="13">
        <f>IF(F24="NA",1,VLOOKUP(F24,'Pivot Tables'!$G$10:$J$14,3,FALSE))</f>
        <v>0.5357142857142857</v>
      </c>
      <c r="R24" s="22">
        <f>PRODUCT(I24:L24)*GETPIVOTDATA("Secure",'Pivot Tables'!$L$3,"Secure",0)</f>
        <v>1.2631578947368421E-2</v>
      </c>
      <c r="S24" s="22">
        <f>PRODUCT(M24:P24)*GETPIVOTDATA("Secure",'Pivot Tables'!$L$3,"Secure",1)</f>
        <v>5.6623998011557819E-2</v>
      </c>
      <c r="U24" s="13">
        <f t="shared" si="0"/>
        <v>0.18239078355898899</v>
      </c>
      <c r="V24" s="13">
        <f t="shared" si="1"/>
        <v>0.81760921644101103</v>
      </c>
      <c r="W24" s="13">
        <f t="shared" si="2"/>
        <v>1</v>
      </c>
      <c r="X24" s="15" t="str">
        <f t="shared" si="3"/>
        <v>TRUE</v>
      </c>
    </row>
    <row r="25" spans="2:24" x14ac:dyDescent="0.25">
      <c r="B25" s="17">
        <v>40</v>
      </c>
      <c r="C25" s="9">
        <v>1</v>
      </c>
      <c r="D25" s="9">
        <v>1</v>
      </c>
      <c r="E25" s="9">
        <v>0</v>
      </c>
      <c r="F25" s="9">
        <v>0</v>
      </c>
      <c r="G25" s="9">
        <v>1</v>
      </c>
      <c r="I25" s="13">
        <f>IF(C25="NA",1,VLOOKUP(C25,'Pivot Tables'!$B$3:$E$7,2,FALSE))</f>
        <v>0.6</v>
      </c>
      <c r="J25" s="25">
        <f>IF(D25="NA",1,VLOOKUP(D25,'Pivot Tables'!$B$10:$E$14,2,FALSE))</f>
        <v>0.4</v>
      </c>
      <c r="K25" s="13">
        <f>IF(E25="NA",1,VLOOKUP(E25,'Pivot Tables'!$G$3:$J$7,2,FALSE))</f>
        <v>0.5</v>
      </c>
      <c r="L25" s="13">
        <f>IF(F25="NA",1,VLOOKUP(F25,'Pivot Tables'!$G$10:$J$14,2,FALSE))</f>
        <v>0.8</v>
      </c>
      <c r="M25" s="13">
        <f>IF(C25="NA",1,VLOOKUP(C25,'Pivot Tables'!$B$3:$E$7,3,FALSE))</f>
        <v>0.54545454545454541</v>
      </c>
      <c r="N25" s="13">
        <f>IF(D25="NA",1,VLOOKUP(D25,'Pivot Tables'!$B$10:$E$14,3,FALSE))</f>
        <v>0.81818181818181823</v>
      </c>
      <c r="O25" s="13">
        <f>IF(E25="NA",1,VLOOKUP(E25,'Pivot Tables'!$G$3:$J$7,3,FALSE))</f>
        <v>0.27272727272727271</v>
      </c>
      <c r="P25" s="13">
        <f>IF(F25="NA",1,VLOOKUP(F25,'Pivot Tables'!$G$10:$J$14,3,FALSE))</f>
        <v>0.5357142857142857</v>
      </c>
      <c r="R25" s="22">
        <f>PRODUCT(I25:L25)*GETPIVOTDATA("Secure",'Pivot Tables'!$L$3,"Secure",0)</f>
        <v>1.2631578947368421E-2</v>
      </c>
      <c r="S25" s="22">
        <f>PRODUCT(M25:P25)*GETPIVOTDATA("Secure",'Pivot Tables'!$L$3,"Secure",1)</f>
        <v>5.6623998011557819E-2</v>
      </c>
      <c r="U25" s="13">
        <f t="shared" si="0"/>
        <v>0.18239078355898899</v>
      </c>
      <c r="V25" s="13">
        <f t="shared" si="1"/>
        <v>0.81760921644101103</v>
      </c>
      <c r="W25" s="13">
        <f t="shared" si="2"/>
        <v>1</v>
      </c>
      <c r="X25" s="15" t="str">
        <f t="shared" si="3"/>
        <v>TRUE</v>
      </c>
    </row>
    <row r="26" spans="2:24" x14ac:dyDescent="0.25">
      <c r="B26" s="17">
        <v>32</v>
      </c>
      <c r="C26" s="9">
        <v>1</v>
      </c>
      <c r="D26" s="9">
        <v>1</v>
      </c>
      <c r="E26" s="9">
        <v>1</v>
      </c>
      <c r="F26" s="9">
        <v>0</v>
      </c>
      <c r="G26" s="9">
        <v>1</v>
      </c>
      <c r="I26" s="13">
        <f>IF(C26="NA",1,VLOOKUP(C26,'Pivot Tables'!$B$3:$E$7,2,FALSE))</f>
        <v>0.6</v>
      </c>
      <c r="J26" s="25">
        <f>IF(D26="NA",1,VLOOKUP(D26,'Pivot Tables'!$B$10:$E$14,2,FALSE))</f>
        <v>0.4</v>
      </c>
      <c r="K26" s="13">
        <f>IF(E26="NA",1,VLOOKUP(E26,'Pivot Tables'!$G$3:$J$7,2,FALSE))</f>
        <v>0.5</v>
      </c>
      <c r="L26" s="13">
        <f>IF(F26="NA",1,VLOOKUP(F26,'Pivot Tables'!$G$10:$J$14,2,FALSE))</f>
        <v>0.8</v>
      </c>
      <c r="M26" s="13">
        <f>IF(C26="NA",1,VLOOKUP(C26,'Pivot Tables'!$B$3:$E$7,3,FALSE))</f>
        <v>0.54545454545454541</v>
      </c>
      <c r="N26" s="13">
        <f>IF(D26="NA",1,VLOOKUP(D26,'Pivot Tables'!$B$10:$E$14,3,FALSE))</f>
        <v>0.81818181818181823</v>
      </c>
      <c r="O26" s="13">
        <f>IF(E26="NA",1,VLOOKUP(E26,'Pivot Tables'!$G$3:$J$7,3,FALSE))</f>
        <v>0.72727272727272729</v>
      </c>
      <c r="P26" s="13">
        <f>IF(F26="NA",1,VLOOKUP(F26,'Pivot Tables'!$G$10:$J$14,3,FALSE))</f>
        <v>0.5357142857142857</v>
      </c>
      <c r="R26" s="22">
        <f>PRODUCT(I26:L26)*GETPIVOTDATA("Secure",'Pivot Tables'!$L$3,"Secure",0)</f>
        <v>1.2631578947368421E-2</v>
      </c>
      <c r="S26" s="22">
        <f>PRODUCT(M26:P26)*GETPIVOTDATA("Secure",'Pivot Tables'!$L$3,"Secure",1)</f>
        <v>0.15099732803082086</v>
      </c>
      <c r="U26" s="13">
        <f t="shared" si="0"/>
        <v>7.7196500182282177E-2</v>
      </c>
      <c r="V26" s="13">
        <f t="shared" si="1"/>
        <v>0.92280349981771781</v>
      </c>
      <c r="W26" s="13">
        <f t="shared" si="2"/>
        <v>1</v>
      </c>
      <c r="X26" s="15" t="str">
        <f t="shared" si="3"/>
        <v>TRUE</v>
      </c>
    </row>
    <row r="27" spans="2:24" x14ac:dyDescent="0.25">
      <c r="B27" s="17">
        <v>45</v>
      </c>
      <c r="C27" s="9">
        <v>0</v>
      </c>
      <c r="D27" s="9">
        <v>1</v>
      </c>
      <c r="E27" s="9">
        <v>1</v>
      </c>
      <c r="F27" s="9">
        <v>1</v>
      </c>
      <c r="G27" s="9">
        <v>1</v>
      </c>
      <c r="I27" s="13">
        <f>IF(C27="NA",1,VLOOKUP(C27,'Pivot Tables'!$B$3:$E$7,2,FALSE))</f>
        <v>0.4</v>
      </c>
      <c r="J27" s="25">
        <f>IF(D27="NA",1,VLOOKUP(D27,'Pivot Tables'!$B$10:$E$14,2,FALSE))</f>
        <v>0.4</v>
      </c>
      <c r="K27" s="13">
        <f>IF(E27="NA",1,VLOOKUP(E27,'Pivot Tables'!$G$3:$J$7,2,FALSE))</f>
        <v>0.5</v>
      </c>
      <c r="L27" s="13">
        <f>IF(F27="NA",1,VLOOKUP(F27,'Pivot Tables'!$G$10:$J$14,2,FALSE))</f>
        <v>0.2</v>
      </c>
      <c r="M27" s="13">
        <f>IF(C27="NA",1,VLOOKUP(C27,'Pivot Tables'!$B$3:$E$7,3,FALSE))</f>
        <v>0.45454545454545453</v>
      </c>
      <c r="N27" s="13">
        <f>IF(D27="NA",1,VLOOKUP(D27,'Pivot Tables'!$B$10:$E$14,3,FALSE))</f>
        <v>0.81818181818181823</v>
      </c>
      <c r="O27" s="13">
        <f>IF(E27="NA",1,VLOOKUP(E27,'Pivot Tables'!$G$3:$J$7,3,FALSE))</f>
        <v>0.72727272727272729</v>
      </c>
      <c r="P27" s="13">
        <f>IF(F27="NA",1,VLOOKUP(F27,'Pivot Tables'!$G$10:$J$14,3,FALSE))</f>
        <v>0.4642857142857143</v>
      </c>
      <c r="R27" s="22">
        <f>PRODUCT(I27:L27)*GETPIVOTDATA("Secure",'Pivot Tables'!$L$3,"Secure",0)</f>
        <v>2.1052631578947372E-3</v>
      </c>
      <c r="S27" s="22">
        <f>PRODUCT(M27:P27)*GETPIVOTDATA("Secure",'Pivot Tables'!$L$3,"Secure",1)</f>
        <v>0.10905362580003732</v>
      </c>
      <c r="U27" s="13">
        <f t="shared" si="0"/>
        <v>1.8939224542730646E-2</v>
      </c>
      <c r="V27" s="13">
        <f t="shared" si="1"/>
        <v>0.98106077545726933</v>
      </c>
      <c r="W27" s="13">
        <f t="shared" si="2"/>
        <v>1</v>
      </c>
      <c r="X27" s="15" t="str">
        <f t="shared" si="3"/>
        <v>TRUE</v>
      </c>
    </row>
    <row r="28" spans="2:24" x14ac:dyDescent="0.25">
      <c r="B28" s="17">
        <v>12</v>
      </c>
      <c r="C28" s="9">
        <v>0</v>
      </c>
      <c r="D28" s="9">
        <v>1</v>
      </c>
      <c r="E28" s="9">
        <v>1</v>
      </c>
      <c r="F28" s="9">
        <v>1</v>
      </c>
      <c r="G28" s="9">
        <v>1</v>
      </c>
      <c r="I28" s="13">
        <f>IF(C28="NA",1,VLOOKUP(C28,'Pivot Tables'!$B$3:$E$7,2,FALSE))</f>
        <v>0.4</v>
      </c>
      <c r="J28" s="25">
        <f>IF(D28="NA",1,VLOOKUP(D28,'Pivot Tables'!$B$10:$E$14,2,FALSE))</f>
        <v>0.4</v>
      </c>
      <c r="K28" s="13">
        <f>IF(E28="NA",1,VLOOKUP(E28,'Pivot Tables'!$G$3:$J$7,2,FALSE))</f>
        <v>0.5</v>
      </c>
      <c r="L28" s="13">
        <f>IF(F28="NA",1,VLOOKUP(F28,'Pivot Tables'!$G$10:$J$14,2,FALSE))</f>
        <v>0.2</v>
      </c>
      <c r="M28" s="13">
        <f>IF(C28="NA",1,VLOOKUP(C28,'Pivot Tables'!$B$3:$E$7,3,FALSE))</f>
        <v>0.45454545454545453</v>
      </c>
      <c r="N28" s="13">
        <f>IF(D28="NA",1,VLOOKUP(D28,'Pivot Tables'!$B$10:$E$14,3,FALSE))</f>
        <v>0.81818181818181823</v>
      </c>
      <c r="O28" s="13">
        <f>IF(E28="NA",1,VLOOKUP(E28,'Pivot Tables'!$G$3:$J$7,3,FALSE))</f>
        <v>0.72727272727272729</v>
      </c>
      <c r="P28" s="13">
        <f>IF(F28="NA",1,VLOOKUP(F28,'Pivot Tables'!$G$10:$J$14,3,FALSE))</f>
        <v>0.4642857142857143</v>
      </c>
      <c r="R28" s="22">
        <f>PRODUCT(I28:L28)*GETPIVOTDATA("Secure",'Pivot Tables'!$L$3,"Secure",0)</f>
        <v>2.1052631578947372E-3</v>
      </c>
      <c r="S28" s="22">
        <f>PRODUCT(M28:P28)*GETPIVOTDATA("Secure",'Pivot Tables'!$L$3,"Secure",1)</f>
        <v>0.10905362580003732</v>
      </c>
      <c r="U28" s="13">
        <f t="shared" si="0"/>
        <v>1.8939224542730646E-2</v>
      </c>
      <c r="V28" s="13">
        <f t="shared" si="1"/>
        <v>0.98106077545726933</v>
      </c>
      <c r="W28" s="13">
        <f t="shared" si="2"/>
        <v>1</v>
      </c>
      <c r="X28" s="15" t="str">
        <f t="shared" si="3"/>
        <v>TRUE</v>
      </c>
    </row>
    <row r="29" spans="2:24" x14ac:dyDescent="0.25">
      <c r="B29" s="17">
        <v>10</v>
      </c>
      <c r="C29" s="9">
        <v>0</v>
      </c>
      <c r="D29" s="9">
        <v>1</v>
      </c>
      <c r="E29" s="9">
        <v>1</v>
      </c>
      <c r="F29" s="9">
        <v>1</v>
      </c>
      <c r="G29" s="9">
        <v>1</v>
      </c>
      <c r="I29" s="13">
        <f>IF(C29="NA",1,VLOOKUP(C29,'Pivot Tables'!$B$3:$E$7,2,FALSE))</f>
        <v>0.4</v>
      </c>
      <c r="J29" s="25">
        <f>IF(D29="NA",1,VLOOKUP(D29,'Pivot Tables'!$B$10:$E$14,2,FALSE))</f>
        <v>0.4</v>
      </c>
      <c r="K29" s="13">
        <f>IF(E29="NA",1,VLOOKUP(E29,'Pivot Tables'!$G$3:$J$7,2,FALSE))</f>
        <v>0.5</v>
      </c>
      <c r="L29" s="13">
        <f>IF(F29="NA",1,VLOOKUP(F29,'Pivot Tables'!$G$10:$J$14,2,FALSE))</f>
        <v>0.2</v>
      </c>
      <c r="M29" s="13">
        <f>IF(C29="NA",1,VLOOKUP(C29,'Pivot Tables'!$B$3:$E$7,3,FALSE))</f>
        <v>0.45454545454545453</v>
      </c>
      <c r="N29" s="13">
        <f>IF(D29="NA",1,VLOOKUP(D29,'Pivot Tables'!$B$10:$E$14,3,FALSE))</f>
        <v>0.81818181818181823</v>
      </c>
      <c r="O29" s="13">
        <f>IF(E29="NA",1,VLOOKUP(E29,'Pivot Tables'!$G$3:$J$7,3,FALSE))</f>
        <v>0.72727272727272729</v>
      </c>
      <c r="P29" s="13">
        <f>IF(F29="NA",1,VLOOKUP(F29,'Pivot Tables'!$G$10:$J$14,3,FALSE))</f>
        <v>0.4642857142857143</v>
      </c>
      <c r="R29" s="22">
        <f>PRODUCT(I29:L29)*GETPIVOTDATA("Secure",'Pivot Tables'!$L$3,"Secure",0)</f>
        <v>2.1052631578947372E-3</v>
      </c>
      <c r="S29" s="22">
        <f>PRODUCT(M29:P29)*GETPIVOTDATA("Secure",'Pivot Tables'!$L$3,"Secure",1)</f>
        <v>0.10905362580003732</v>
      </c>
      <c r="U29" s="13">
        <f t="shared" si="0"/>
        <v>1.8939224542730646E-2</v>
      </c>
      <c r="V29" s="13">
        <f t="shared" si="1"/>
        <v>0.98106077545726933</v>
      </c>
      <c r="W29" s="13">
        <f t="shared" si="2"/>
        <v>1</v>
      </c>
      <c r="X29" s="15" t="str">
        <f t="shared" si="3"/>
        <v>TRUE</v>
      </c>
    </row>
    <row r="30" spans="2:24" x14ac:dyDescent="0.25">
      <c r="B30" s="17">
        <v>16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I30" s="13">
        <f>IF(C30="NA",1,VLOOKUP(C30,'Pivot Tables'!$B$3:$E$7,2,FALSE))</f>
        <v>0.4</v>
      </c>
      <c r="J30" s="25">
        <f>IF(D30="NA",1,VLOOKUP(D30,'Pivot Tables'!$B$10:$E$14,2,FALSE))</f>
        <v>0.4</v>
      </c>
      <c r="K30" s="13">
        <f>IF(E30="NA",1,VLOOKUP(E30,'Pivot Tables'!$G$3:$J$7,2,FALSE))</f>
        <v>0.5</v>
      </c>
      <c r="L30" s="13">
        <f>IF(F30="NA",1,VLOOKUP(F30,'Pivot Tables'!$G$10:$J$14,2,FALSE))</f>
        <v>0.8</v>
      </c>
      <c r="M30" s="13">
        <f>IF(C30="NA",1,VLOOKUP(C30,'Pivot Tables'!$B$3:$E$7,3,FALSE))</f>
        <v>0.45454545454545453</v>
      </c>
      <c r="N30" s="13">
        <f>IF(D30="NA",1,VLOOKUP(D30,'Pivot Tables'!$B$10:$E$14,3,FALSE))</f>
        <v>0.81818181818181823</v>
      </c>
      <c r="O30" s="13">
        <f>IF(E30="NA",1,VLOOKUP(E30,'Pivot Tables'!$G$3:$J$7,3,FALSE))</f>
        <v>0.72727272727272729</v>
      </c>
      <c r="P30" s="13">
        <f>IF(F30="NA",1,VLOOKUP(F30,'Pivot Tables'!$G$10:$J$14,3,FALSE))</f>
        <v>0.5357142857142857</v>
      </c>
      <c r="R30" s="22">
        <f>PRODUCT(I30:L30)*GETPIVOTDATA("Secure",'Pivot Tables'!$L$3,"Secure",0)</f>
        <v>8.4210526315789489E-3</v>
      </c>
      <c r="S30" s="22">
        <f>PRODUCT(M30:P30)*GETPIVOTDATA("Secure",'Pivot Tables'!$L$3,"Secure",1)</f>
        <v>0.12583110669235073</v>
      </c>
      <c r="U30" s="13">
        <f t="shared" si="0"/>
        <v>6.2725640123673931E-2</v>
      </c>
      <c r="V30" s="13">
        <f t="shared" si="1"/>
        <v>0.93727435987632601</v>
      </c>
      <c r="W30" s="13">
        <f t="shared" si="2"/>
        <v>1</v>
      </c>
      <c r="X30" s="15" t="str">
        <f t="shared" si="3"/>
        <v>TRUE</v>
      </c>
    </row>
    <row r="31" spans="2:24" x14ac:dyDescent="0.25">
      <c r="B31" s="17">
        <v>2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26"/>
      <c r="I31" s="13">
        <f>IF(C31="NA",1,VLOOKUP(C31,'Pivot Tables'!$B$3:$E$7,2,FALSE))</f>
        <v>0.4</v>
      </c>
      <c r="J31" s="25">
        <f>IF(D31="NA",1,VLOOKUP(D31,'Pivot Tables'!$B$10:$E$14,2,FALSE))</f>
        <v>0.6</v>
      </c>
      <c r="K31" s="13">
        <f>IF(E31="NA",1,VLOOKUP(E31,'Pivot Tables'!$G$3:$J$7,2,FALSE))</f>
        <v>0.5</v>
      </c>
      <c r="L31" s="13">
        <f>IF(F31="NA",1,VLOOKUP(F31,'Pivot Tables'!$G$10:$J$14,2,FALSE))</f>
        <v>0.8</v>
      </c>
      <c r="M31" s="13">
        <f>IF(C31="NA",1,VLOOKUP(C31,'Pivot Tables'!$B$3:$E$7,3,FALSE))</f>
        <v>0.45454545454545453</v>
      </c>
      <c r="N31" s="13">
        <f>IF(D31="NA",1,VLOOKUP(D31,'Pivot Tables'!$B$10:$E$14,3,FALSE))</f>
        <v>0.18181818181818182</v>
      </c>
      <c r="O31" s="13">
        <f>IF(E31="NA",1,VLOOKUP(E31,'Pivot Tables'!$G$3:$J$7,3,FALSE))</f>
        <v>0.27272727272727271</v>
      </c>
      <c r="P31" s="13">
        <f>IF(F31="NA",1,VLOOKUP(F31,'Pivot Tables'!$G$10:$J$14,3,FALSE))</f>
        <v>0.5357142857142857</v>
      </c>
      <c r="R31" s="22">
        <f>PRODUCT(I31:L31)*GETPIVOTDATA("Secure",'Pivot Tables'!$L$3,"Secure",0)</f>
        <v>1.2631578947368421E-2</v>
      </c>
      <c r="S31" s="22">
        <f>PRODUCT(M31:P31)*GETPIVOTDATA("Secure",'Pivot Tables'!$L$3,"Secure",1)</f>
        <v>1.0485925557695893E-2</v>
      </c>
      <c r="U31" s="13">
        <f t="shared" si="0"/>
        <v>0.54640754777840495</v>
      </c>
      <c r="V31" s="13">
        <f t="shared" si="1"/>
        <v>0.45359245222159505</v>
      </c>
      <c r="W31" s="13">
        <f t="shared" si="2"/>
        <v>0</v>
      </c>
      <c r="X31" s="15" t="str">
        <f t="shared" si="3"/>
        <v>FALSE</v>
      </c>
    </row>
    <row r="32" spans="2:24" x14ac:dyDescent="0.25">
      <c r="B32" s="17">
        <v>4</v>
      </c>
      <c r="C32" s="9">
        <v>0</v>
      </c>
      <c r="D32" s="9">
        <v>1</v>
      </c>
      <c r="E32" s="9" t="str">
        <v>NA</v>
      </c>
      <c r="F32" s="9">
        <v>0</v>
      </c>
      <c r="G32" s="9">
        <v>1</v>
      </c>
      <c r="I32" s="13">
        <f>IF(C32="NA",1,VLOOKUP(C32,'Pivot Tables'!$B$3:$E$7,2,FALSE))</f>
        <v>0.4</v>
      </c>
      <c r="J32" s="25">
        <f>IF(D32="NA",1,VLOOKUP(D32,'Pivot Tables'!$B$10:$E$14,2,FALSE))</f>
        <v>0.4</v>
      </c>
      <c r="K32" s="13">
        <f>IF(E32="NA",1,VLOOKUP(E32,'Pivot Tables'!$G$3:$J$7,2,FALSE))</f>
        <v>1</v>
      </c>
      <c r="L32" s="13">
        <f>IF(F32="NA",1,VLOOKUP(F32,'Pivot Tables'!$G$10:$J$14,2,FALSE))</f>
        <v>0.8</v>
      </c>
      <c r="M32" s="13">
        <f>IF(C32="NA",1,VLOOKUP(C32,'Pivot Tables'!$B$3:$E$7,3,FALSE))</f>
        <v>0.45454545454545453</v>
      </c>
      <c r="N32" s="13">
        <f>IF(D32="NA",1,VLOOKUP(D32,'Pivot Tables'!$B$10:$E$14,3,FALSE))</f>
        <v>0.81818181818181823</v>
      </c>
      <c r="O32" s="13">
        <f>IF(E32="NA",1,VLOOKUP(E32,'Pivot Tables'!$G$3:$J$7,3,FALSE))</f>
        <v>1</v>
      </c>
      <c r="P32" s="13">
        <f>IF(F32="NA",1,VLOOKUP(F32,'Pivot Tables'!$G$10:$J$14,3,FALSE))</f>
        <v>0.5357142857142857</v>
      </c>
      <c r="R32" s="22">
        <f>PRODUCT(I32:L32)*GETPIVOTDATA("Secure",'Pivot Tables'!$L$3,"Secure",0)</f>
        <v>1.6842105263157898E-2</v>
      </c>
      <c r="S32" s="22">
        <f>PRODUCT(M32:P32)*GETPIVOTDATA("Secure",'Pivot Tables'!$L$3,"Secure",1)</f>
        <v>0.17301777170198226</v>
      </c>
      <c r="U32" s="13">
        <f t="shared" si="0"/>
        <v>8.8708080571706288E-2</v>
      </c>
      <c r="V32" s="13">
        <f t="shared" si="1"/>
        <v>0.91129191942829368</v>
      </c>
      <c r="W32" s="13">
        <f t="shared" si="2"/>
        <v>1</v>
      </c>
      <c r="X32" s="15" t="str">
        <f t="shared" si="3"/>
        <v>TRUE</v>
      </c>
    </row>
    <row r="33" spans="2:24" x14ac:dyDescent="0.25">
      <c r="B33" s="17">
        <v>9</v>
      </c>
      <c r="C33" s="9">
        <v>0</v>
      </c>
      <c r="D33" s="9">
        <v>1</v>
      </c>
      <c r="E33" s="9">
        <v>1</v>
      </c>
      <c r="F33" s="9">
        <v>1</v>
      </c>
      <c r="G33" s="9">
        <v>1</v>
      </c>
      <c r="I33" s="13">
        <f>IF(C33="NA",1,VLOOKUP(C33,'Pivot Tables'!$B$3:$E$7,2,FALSE))</f>
        <v>0.4</v>
      </c>
      <c r="J33" s="25">
        <f>IF(D33="NA",1,VLOOKUP(D33,'Pivot Tables'!$B$10:$E$14,2,FALSE))</f>
        <v>0.4</v>
      </c>
      <c r="K33" s="13">
        <f>IF(E33="NA",1,VLOOKUP(E33,'Pivot Tables'!$G$3:$J$7,2,FALSE))</f>
        <v>0.5</v>
      </c>
      <c r="L33" s="13">
        <f>IF(F33="NA",1,VLOOKUP(F33,'Pivot Tables'!$G$10:$J$14,2,FALSE))</f>
        <v>0.2</v>
      </c>
      <c r="M33" s="13">
        <f>IF(C33="NA",1,VLOOKUP(C33,'Pivot Tables'!$B$3:$E$7,3,FALSE))</f>
        <v>0.45454545454545453</v>
      </c>
      <c r="N33" s="13">
        <f>IF(D33="NA",1,VLOOKUP(D33,'Pivot Tables'!$B$10:$E$14,3,FALSE))</f>
        <v>0.81818181818181823</v>
      </c>
      <c r="O33" s="13">
        <f>IF(E33="NA",1,VLOOKUP(E33,'Pivot Tables'!$G$3:$J$7,3,FALSE))</f>
        <v>0.72727272727272729</v>
      </c>
      <c r="P33" s="13">
        <f>IF(F33="NA",1,VLOOKUP(F33,'Pivot Tables'!$G$10:$J$14,3,FALSE))</f>
        <v>0.4642857142857143</v>
      </c>
      <c r="R33" s="22">
        <f>PRODUCT(I33:L33)*GETPIVOTDATA("Secure",'Pivot Tables'!$L$3,"Secure",0)</f>
        <v>2.1052631578947372E-3</v>
      </c>
      <c r="S33" s="22">
        <f>PRODUCT(M33:P33)*GETPIVOTDATA("Secure",'Pivot Tables'!$L$3,"Secure",1)</f>
        <v>0.10905362580003732</v>
      </c>
      <c r="U33" s="13">
        <f t="shared" si="0"/>
        <v>1.8939224542730646E-2</v>
      </c>
      <c r="V33" s="13">
        <f t="shared" si="1"/>
        <v>0.98106077545726933</v>
      </c>
      <c r="W33" s="13">
        <f t="shared" si="2"/>
        <v>1</v>
      </c>
      <c r="X33" s="15" t="str">
        <f t="shared" si="3"/>
        <v>TRUE</v>
      </c>
    </row>
    <row r="34" spans="2:24" x14ac:dyDescent="0.25">
      <c r="B34" s="17">
        <v>7</v>
      </c>
      <c r="C34" s="9">
        <v>0</v>
      </c>
      <c r="D34" s="9">
        <v>1</v>
      </c>
      <c r="E34" s="9" t="str">
        <v>NA</v>
      </c>
      <c r="F34" s="9" t="str">
        <v>NA</v>
      </c>
      <c r="G34" s="9">
        <v>1</v>
      </c>
      <c r="I34" s="13">
        <f>IF(C34="NA",1,VLOOKUP(C34,'Pivot Tables'!$B$3:$E$7,2,FALSE))</f>
        <v>0.4</v>
      </c>
      <c r="J34" s="25">
        <f>IF(D34="NA",1,VLOOKUP(D34,'Pivot Tables'!$B$10:$E$14,2,FALSE))</f>
        <v>0.4</v>
      </c>
      <c r="K34" s="13">
        <f>IF(E34="NA",1,VLOOKUP(E34,'Pivot Tables'!$G$3:$J$7,2,FALSE))</f>
        <v>1</v>
      </c>
      <c r="L34" s="13">
        <f>IF(F34="NA",1,VLOOKUP(F34,'Pivot Tables'!$G$10:$J$14,2,FALSE))</f>
        <v>1</v>
      </c>
      <c r="M34" s="13">
        <f>IF(C34="NA",1,VLOOKUP(C34,'Pivot Tables'!$B$3:$E$7,3,FALSE))</f>
        <v>0.45454545454545453</v>
      </c>
      <c r="N34" s="13">
        <f>IF(D34="NA",1,VLOOKUP(D34,'Pivot Tables'!$B$10:$E$14,3,FALSE))</f>
        <v>0.81818181818181823</v>
      </c>
      <c r="O34" s="13">
        <f>IF(E34="NA",1,VLOOKUP(E34,'Pivot Tables'!$G$3:$J$7,3,FALSE))</f>
        <v>1</v>
      </c>
      <c r="P34" s="13">
        <f>IF(F34="NA",1,VLOOKUP(F34,'Pivot Tables'!$G$10:$J$14,3,FALSE))</f>
        <v>1</v>
      </c>
      <c r="R34" s="22">
        <f>PRODUCT(I34:L34)*GETPIVOTDATA("Secure",'Pivot Tables'!$L$3,"Secure",0)</f>
        <v>2.1052631578947371E-2</v>
      </c>
      <c r="S34" s="22">
        <f>PRODUCT(M34:P34)*GETPIVOTDATA("Secure",'Pivot Tables'!$L$3,"Secure",1)</f>
        <v>0.32296650717703351</v>
      </c>
      <c r="U34" s="13">
        <f t="shared" si="0"/>
        <v>6.1196105702364396E-2</v>
      </c>
      <c r="V34" s="13">
        <f t="shared" si="1"/>
        <v>0.93880389429763555</v>
      </c>
      <c r="W34" s="13">
        <f t="shared" si="2"/>
        <v>1</v>
      </c>
      <c r="X34" s="15" t="str">
        <f t="shared" si="3"/>
        <v>TRUE</v>
      </c>
    </row>
    <row r="35" spans="2:24" x14ac:dyDescent="0.25">
      <c r="B35" s="17">
        <v>11</v>
      </c>
      <c r="C35" s="9">
        <v>0</v>
      </c>
      <c r="D35" s="9">
        <v>1</v>
      </c>
      <c r="E35" s="9">
        <v>1</v>
      </c>
      <c r="F35" s="9">
        <v>1</v>
      </c>
      <c r="G35" s="9">
        <v>1</v>
      </c>
      <c r="I35" s="13">
        <f>IF(C35="NA",1,VLOOKUP(C35,'Pivot Tables'!$B$3:$E$7,2,FALSE))</f>
        <v>0.4</v>
      </c>
      <c r="J35" s="25">
        <f>IF(D35="NA",1,VLOOKUP(D35,'Pivot Tables'!$B$10:$E$14,2,FALSE))</f>
        <v>0.4</v>
      </c>
      <c r="K35" s="13">
        <f>IF(E35="NA",1,VLOOKUP(E35,'Pivot Tables'!$G$3:$J$7,2,FALSE))</f>
        <v>0.5</v>
      </c>
      <c r="L35" s="13">
        <f>IF(F35="NA",1,VLOOKUP(F35,'Pivot Tables'!$G$10:$J$14,2,FALSE))</f>
        <v>0.2</v>
      </c>
      <c r="M35" s="13">
        <f>IF(C35="NA",1,VLOOKUP(C35,'Pivot Tables'!$B$3:$E$7,3,FALSE))</f>
        <v>0.45454545454545453</v>
      </c>
      <c r="N35" s="13">
        <f>IF(D35="NA",1,VLOOKUP(D35,'Pivot Tables'!$B$10:$E$14,3,FALSE))</f>
        <v>0.81818181818181823</v>
      </c>
      <c r="O35" s="13">
        <f>IF(E35="NA",1,VLOOKUP(E35,'Pivot Tables'!$G$3:$J$7,3,FALSE))</f>
        <v>0.72727272727272729</v>
      </c>
      <c r="P35" s="13">
        <f>IF(F35="NA",1,VLOOKUP(F35,'Pivot Tables'!$G$10:$J$14,3,FALSE))</f>
        <v>0.4642857142857143</v>
      </c>
      <c r="R35" s="22">
        <f>PRODUCT(I35:L35)*GETPIVOTDATA("Secure",'Pivot Tables'!$L$3,"Secure",0)</f>
        <v>2.1052631578947372E-3</v>
      </c>
      <c r="S35" s="22">
        <f>PRODUCT(M35:P35)*GETPIVOTDATA("Secure",'Pivot Tables'!$L$3,"Secure",1)</f>
        <v>0.10905362580003732</v>
      </c>
      <c r="U35" s="13">
        <f t="shared" si="0"/>
        <v>1.8939224542730646E-2</v>
      </c>
      <c r="V35" s="13">
        <f t="shared" si="1"/>
        <v>0.98106077545726933</v>
      </c>
      <c r="W35" s="13">
        <f t="shared" si="2"/>
        <v>1</v>
      </c>
      <c r="X35" s="15" t="str">
        <f t="shared" si="3"/>
        <v>TRUE</v>
      </c>
    </row>
    <row r="36" spans="2:24" x14ac:dyDescent="0.25">
      <c r="B36" s="17">
        <v>71</v>
      </c>
      <c r="C36" s="9">
        <v>0</v>
      </c>
      <c r="D36" s="9">
        <v>1</v>
      </c>
      <c r="E36" s="9">
        <v>1</v>
      </c>
      <c r="F36" s="9">
        <v>0</v>
      </c>
      <c r="G36" s="9">
        <v>0</v>
      </c>
      <c r="I36" s="13">
        <f>IF(C36="NA",1,VLOOKUP(C36,'Pivot Tables'!$B$3:$E$7,2,FALSE))</f>
        <v>0.4</v>
      </c>
      <c r="J36" s="25">
        <f>IF(D36="NA",1,VLOOKUP(D36,'Pivot Tables'!$B$10:$E$14,2,FALSE))</f>
        <v>0.4</v>
      </c>
      <c r="K36" s="13">
        <f>IF(E36="NA",1,VLOOKUP(E36,'Pivot Tables'!$G$3:$J$7,2,FALSE))</f>
        <v>0.5</v>
      </c>
      <c r="L36" s="13">
        <f>IF(F36="NA",1,VLOOKUP(F36,'Pivot Tables'!$G$10:$J$14,2,FALSE))</f>
        <v>0.8</v>
      </c>
      <c r="M36" s="13">
        <f>IF(C36="NA",1,VLOOKUP(C36,'Pivot Tables'!$B$3:$E$7,3,FALSE))</f>
        <v>0.45454545454545453</v>
      </c>
      <c r="N36" s="13">
        <f>IF(D36="NA",1,VLOOKUP(D36,'Pivot Tables'!$B$10:$E$14,3,FALSE))</f>
        <v>0.81818181818181823</v>
      </c>
      <c r="O36" s="13">
        <f>IF(E36="NA",1,VLOOKUP(E36,'Pivot Tables'!$G$3:$J$7,3,FALSE))</f>
        <v>0.72727272727272729</v>
      </c>
      <c r="P36" s="13">
        <f>IF(F36="NA",1,VLOOKUP(F36,'Pivot Tables'!$G$10:$J$14,3,FALSE))</f>
        <v>0.5357142857142857</v>
      </c>
      <c r="R36" s="22">
        <f>PRODUCT(I36:L36)*GETPIVOTDATA("Secure",'Pivot Tables'!$L$3,"Secure",0)</f>
        <v>8.4210526315789489E-3</v>
      </c>
      <c r="S36" s="22">
        <f>PRODUCT(M36:P36)*GETPIVOTDATA("Secure",'Pivot Tables'!$L$3,"Secure",1)</f>
        <v>0.12583110669235073</v>
      </c>
      <c r="U36" s="13">
        <f t="shared" si="0"/>
        <v>6.2725640123673931E-2</v>
      </c>
      <c r="V36" s="13">
        <f t="shared" si="1"/>
        <v>0.93727435987632601</v>
      </c>
      <c r="W36" s="13">
        <f t="shared" si="2"/>
        <v>1</v>
      </c>
      <c r="X36" s="15" t="str">
        <f t="shared" si="3"/>
        <v>FALSE</v>
      </c>
    </row>
    <row r="37" spans="2:24" x14ac:dyDescent="0.25">
      <c r="B37" s="17">
        <v>76</v>
      </c>
      <c r="C37" s="9">
        <v>0</v>
      </c>
      <c r="D37" s="9">
        <v>0</v>
      </c>
      <c r="E37" s="9">
        <v>0</v>
      </c>
      <c r="F37" s="9" t="str">
        <v>NA</v>
      </c>
      <c r="G37" s="9">
        <v>0</v>
      </c>
      <c r="I37" s="13">
        <f>IF(C37="NA",1,VLOOKUP(C37,'Pivot Tables'!$B$3:$E$7,2,FALSE))</f>
        <v>0.4</v>
      </c>
      <c r="J37" s="25">
        <f>IF(D37="NA",1,VLOOKUP(D37,'Pivot Tables'!$B$10:$E$14,2,FALSE))</f>
        <v>0.6</v>
      </c>
      <c r="K37" s="13">
        <f>IF(E37="NA",1,VLOOKUP(E37,'Pivot Tables'!$G$3:$J$7,2,FALSE))</f>
        <v>0.5</v>
      </c>
      <c r="L37" s="13">
        <f>IF(F37="NA",1,VLOOKUP(F37,'Pivot Tables'!$G$10:$J$14,2,FALSE))</f>
        <v>1</v>
      </c>
      <c r="M37" s="13">
        <f>IF(C37="NA",1,VLOOKUP(C37,'Pivot Tables'!$B$3:$E$7,3,FALSE))</f>
        <v>0.45454545454545453</v>
      </c>
      <c r="N37" s="13">
        <f>IF(D37="NA",1,VLOOKUP(D37,'Pivot Tables'!$B$10:$E$14,3,FALSE))</f>
        <v>0.18181818181818182</v>
      </c>
      <c r="O37" s="13">
        <f>IF(E37="NA",1,VLOOKUP(E37,'Pivot Tables'!$G$3:$J$7,3,FALSE))</f>
        <v>0.27272727272727271</v>
      </c>
      <c r="P37" s="13">
        <f>IF(F37="NA",1,VLOOKUP(F37,'Pivot Tables'!$G$10:$J$14,3,FALSE))</f>
        <v>1</v>
      </c>
      <c r="R37" s="22">
        <f>PRODUCT(I37:L37)*GETPIVOTDATA("Secure",'Pivot Tables'!$L$3,"Secure",0)</f>
        <v>1.5789473684210523E-2</v>
      </c>
      <c r="S37" s="22">
        <f>PRODUCT(M37:P37)*GETPIVOTDATA("Secure",'Pivot Tables'!$L$3,"Secure",1)</f>
        <v>1.9573727707698999E-2</v>
      </c>
      <c r="U37" s="13">
        <f t="shared" si="0"/>
        <v>0.44649446494464939</v>
      </c>
      <c r="V37" s="13">
        <f t="shared" si="1"/>
        <v>0.55350553505535061</v>
      </c>
      <c r="W37" s="13">
        <f t="shared" si="2"/>
        <v>1</v>
      </c>
      <c r="X37" s="15" t="str">
        <f t="shared" si="3"/>
        <v>FALSE</v>
      </c>
    </row>
    <row r="38" spans="2:24" x14ac:dyDescent="0.25">
      <c r="B38" s="17">
        <v>67</v>
      </c>
      <c r="C38" s="9">
        <v>0</v>
      </c>
      <c r="D38" s="9">
        <v>0</v>
      </c>
      <c r="E38" s="9">
        <v>1</v>
      </c>
      <c r="F38" s="9">
        <v>0</v>
      </c>
      <c r="G38" s="9">
        <v>0</v>
      </c>
      <c r="I38" s="13">
        <f>IF(C38="NA",1,VLOOKUP(C38,'Pivot Tables'!$B$3:$E$7,2,FALSE))</f>
        <v>0.4</v>
      </c>
      <c r="J38" s="25">
        <f>IF(D38="NA",1,VLOOKUP(D38,'Pivot Tables'!$B$10:$E$14,2,FALSE))</f>
        <v>0.6</v>
      </c>
      <c r="K38" s="13">
        <f>IF(E38="NA",1,VLOOKUP(E38,'Pivot Tables'!$G$3:$J$7,2,FALSE))</f>
        <v>0.5</v>
      </c>
      <c r="L38" s="13">
        <f>IF(F38="NA",1,VLOOKUP(F38,'Pivot Tables'!$G$10:$J$14,2,FALSE))</f>
        <v>0.8</v>
      </c>
      <c r="M38" s="13">
        <f>IF(C38="NA",1,VLOOKUP(C38,'Pivot Tables'!$B$3:$E$7,3,FALSE))</f>
        <v>0.45454545454545453</v>
      </c>
      <c r="N38" s="13">
        <f>IF(D38="NA",1,VLOOKUP(D38,'Pivot Tables'!$B$10:$E$14,3,FALSE))</f>
        <v>0.18181818181818182</v>
      </c>
      <c r="O38" s="13">
        <f>IF(E38="NA",1,VLOOKUP(E38,'Pivot Tables'!$G$3:$J$7,3,FALSE))</f>
        <v>0.72727272727272729</v>
      </c>
      <c r="P38" s="13">
        <f>IF(F38="NA",1,VLOOKUP(F38,'Pivot Tables'!$G$10:$J$14,3,FALSE))</f>
        <v>0.5357142857142857</v>
      </c>
      <c r="R38" s="22">
        <f>PRODUCT(I38:L38)*GETPIVOTDATA("Secure",'Pivot Tables'!$L$3,"Secure",0)</f>
        <v>1.2631578947368421E-2</v>
      </c>
      <c r="S38" s="22">
        <f>PRODUCT(M38:P38)*GETPIVOTDATA("Secure",'Pivot Tables'!$L$3,"Secure",1)</f>
        <v>2.7962468153855717E-2</v>
      </c>
      <c r="U38" s="13">
        <f t="shared" si="0"/>
        <v>0.31116825863335784</v>
      </c>
      <c r="V38" s="13">
        <f t="shared" si="1"/>
        <v>0.68883174136664216</v>
      </c>
      <c r="W38" s="13">
        <f t="shared" si="2"/>
        <v>1</v>
      </c>
      <c r="X38" s="15" t="str">
        <f t="shared" si="3"/>
        <v>FALSE</v>
      </c>
    </row>
    <row r="39" spans="2:24" x14ac:dyDescent="0.25">
      <c r="B39" s="17">
        <v>69</v>
      </c>
      <c r="C39" s="9">
        <v>0</v>
      </c>
      <c r="D39" s="9">
        <v>0</v>
      </c>
      <c r="E39" s="9">
        <v>0</v>
      </c>
      <c r="F39" s="9" t="str">
        <v>NA</v>
      </c>
      <c r="G39" s="9">
        <v>0</v>
      </c>
      <c r="I39" s="13">
        <f>IF(C39="NA",1,VLOOKUP(C39,'Pivot Tables'!$B$3:$E$7,2,FALSE))</f>
        <v>0.4</v>
      </c>
      <c r="J39" s="25">
        <f>IF(D39="NA",1,VLOOKUP(D39,'Pivot Tables'!$B$10:$E$14,2,FALSE))</f>
        <v>0.6</v>
      </c>
      <c r="K39" s="13">
        <f>IF(E39="NA",1,VLOOKUP(E39,'Pivot Tables'!$G$3:$J$7,2,FALSE))</f>
        <v>0.5</v>
      </c>
      <c r="L39" s="13">
        <f>IF(F39="NA",1,VLOOKUP(F39,'Pivot Tables'!$G$10:$J$14,2,FALSE))</f>
        <v>1</v>
      </c>
      <c r="M39" s="13">
        <f>IF(C39="NA",1,VLOOKUP(C39,'Pivot Tables'!$B$3:$E$7,3,FALSE))</f>
        <v>0.45454545454545453</v>
      </c>
      <c r="N39" s="13">
        <f>IF(D39="NA",1,VLOOKUP(D39,'Pivot Tables'!$B$10:$E$14,3,FALSE))</f>
        <v>0.18181818181818182</v>
      </c>
      <c r="O39" s="13">
        <f>IF(E39="NA",1,VLOOKUP(E39,'Pivot Tables'!$G$3:$J$7,3,FALSE))</f>
        <v>0.27272727272727271</v>
      </c>
      <c r="P39" s="13">
        <f>IF(F39="NA",1,VLOOKUP(F39,'Pivot Tables'!$G$10:$J$14,3,FALSE))</f>
        <v>1</v>
      </c>
      <c r="R39" s="22">
        <f>PRODUCT(I39:L39)*GETPIVOTDATA("Secure",'Pivot Tables'!$L$3,"Secure",0)</f>
        <v>1.5789473684210523E-2</v>
      </c>
      <c r="S39" s="22">
        <f>PRODUCT(M39:P39)*GETPIVOTDATA("Secure",'Pivot Tables'!$L$3,"Secure",1)</f>
        <v>1.9573727707698999E-2</v>
      </c>
      <c r="U39" s="13">
        <f t="shared" si="0"/>
        <v>0.44649446494464939</v>
      </c>
      <c r="V39" s="13">
        <f t="shared" si="1"/>
        <v>0.55350553505535061</v>
      </c>
      <c r="W39" s="13">
        <f t="shared" si="2"/>
        <v>1</v>
      </c>
      <c r="X39" s="15" t="str">
        <f t="shared" si="3"/>
        <v>FALSE</v>
      </c>
    </row>
    <row r="40" spans="2:24" x14ac:dyDescent="0.25">
      <c r="B40" s="17">
        <v>73</v>
      </c>
      <c r="C40" s="9">
        <v>1</v>
      </c>
      <c r="D40" s="9">
        <v>1</v>
      </c>
      <c r="E40" s="9">
        <v>1</v>
      </c>
      <c r="F40" s="9">
        <v>0</v>
      </c>
      <c r="G40" s="9">
        <v>0</v>
      </c>
      <c r="I40" s="13">
        <f>IF(C40="NA",1,VLOOKUP(C40,'Pivot Tables'!$B$3:$E$7,2,FALSE))</f>
        <v>0.6</v>
      </c>
      <c r="J40" s="25">
        <f>IF(D40="NA",1,VLOOKUP(D40,'Pivot Tables'!$B$10:$E$14,2,FALSE))</f>
        <v>0.4</v>
      </c>
      <c r="K40" s="13">
        <f>IF(E40="NA",1,VLOOKUP(E40,'Pivot Tables'!$G$3:$J$7,2,FALSE))</f>
        <v>0.5</v>
      </c>
      <c r="L40" s="13">
        <f>IF(F40="NA",1,VLOOKUP(F40,'Pivot Tables'!$G$10:$J$14,2,FALSE))</f>
        <v>0.8</v>
      </c>
      <c r="M40" s="13">
        <f>IF(C40="NA",1,VLOOKUP(C40,'Pivot Tables'!$B$3:$E$7,3,FALSE))</f>
        <v>0.54545454545454541</v>
      </c>
      <c r="N40" s="13">
        <f>IF(D40="NA",1,VLOOKUP(D40,'Pivot Tables'!$B$10:$E$14,3,FALSE))</f>
        <v>0.81818181818181823</v>
      </c>
      <c r="O40" s="13">
        <f>IF(E40="NA",1,VLOOKUP(E40,'Pivot Tables'!$G$3:$J$7,3,FALSE))</f>
        <v>0.72727272727272729</v>
      </c>
      <c r="P40" s="13">
        <f>IF(F40="NA",1,VLOOKUP(F40,'Pivot Tables'!$G$10:$J$14,3,FALSE))</f>
        <v>0.5357142857142857</v>
      </c>
      <c r="R40" s="22">
        <f>PRODUCT(I40:L40)*GETPIVOTDATA("Secure",'Pivot Tables'!$L$3,"Secure",0)</f>
        <v>1.2631578947368421E-2</v>
      </c>
      <c r="S40" s="22">
        <f>PRODUCT(M40:P40)*GETPIVOTDATA("Secure",'Pivot Tables'!$L$3,"Secure",1)</f>
        <v>0.15099732803082086</v>
      </c>
      <c r="U40" s="13">
        <f t="shared" si="0"/>
        <v>7.7196500182282177E-2</v>
      </c>
      <c r="V40" s="13">
        <f>1-U40</f>
        <v>0.92280349981771781</v>
      </c>
      <c r="W40" s="13">
        <f t="shared" si="2"/>
        <v>1</v>
      </c>
      <c r="X40" s="15" t="str">
        <f t="shared" si="3"/>
        <v>FALSE</v>
      </c>
    </row>
  </sheetData>
  <conditionalFormatting sqref="X3:X40">
    <cfRule type="containsText" dxfId="1" priority="1" operator="containsText" text="TRUE">
      <formula>NOT(ISERROR(SEARCH("TRUE",X3)))</formula>
    </cfRule>
    <cfRule type="containsText" dxfId="0" priority="2" operator="containsText" text="FALSE">
      <formula>NOT(ISERROR(SEARCH("FALSE",X3)))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61BA9A-B460-4940-9C31-A9285E661332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2.xml><?xml version="1.0" encoding="utf-8"?>
<ds:datastoreItem xmlns:ds="http://schemas.openxmlformats.org/officeDocument/2006/customXml" ds:itemID="{179F6C3C-2537-48E4-AD12-882BE3F3A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5B027-EF68-48FE-984A-ABF4B9923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Diane Quitain</cp:lastModifiedBy>
  <dcterms:created xsi:type="dcterms:W3CDTF">2022-09-20T14:39:01Z</dcterms:created>
  <dcterms:modified xsi:type="dcterms:W3CDTF">2022-10-06T16:01:22Z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