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hidePivotFieldList="1"/>
  <mc:AlternateContent xmlns:mc="http://schemas.openxmlformats.org/markup-compatibility/2006">
    <mc:Choice Requires="x15">
      <x15ac:absPath xmlns:x15ac="http://schemas.microsoft.com/office/spreadsheetml/2010/11/ac" url="/Users/shen/Downloads/Excel Files/51-25/"/>
    </mc:Choice>
  </mc:AlternateContent>
  <xr:revisionPtr revIDLastSave="1" documentId="13_ncr:1_{58263F84-23DF-5A42-A62F-E23A437C2C8E}" xr6:coauthVersionLast="47" xr6:coauthVersionMax="47" xr10:uidLastSave="{D3402930-E00B-435E-B41A-D8D4261B1455}"/>
  <bookViews>
    <workbookView xWindow="0" yWindow="500" windowWidth="28800" windowHeight="15940" firstSheet="4" activeTab="4" xr2:uid="{00000000-000D-0000-FFFF-FFFF00000000}"/>
  </bookViews>
  <sheets>
    <sheet name="Miocic Data" sheetId="1" r:id="rId1"/>
    <sheet name="Data Cleaning" sheetId="2" r:id="rId2"/>
    <sheet name="CASSEM Discretization" sheetId="3" r:id="rId3"/>
    <sheet name="CASSEM Pivot" sheetId="4" r:id="rId4"/>
    <sheet name="CASSEM Training" sheetId="5" r:id="rId5"/>
    <sheet name="CASSEM Validation" sheetId="6" r:id="rId6"/>
  </sheets>
  <definedNames>
    <definedName name="_xlnm._FilterDatabase" localSheetId="1" hidden="1">'Data Cleaning'!$C$2:$L$78</definedName>
  </definedNames>
  <calcPr calcId="191028"/>
  <pivotCaches>
    <pivotCache cacheId="1060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j34HwKOgC5Wz7RmNhLgwv2ONO3Sg=="/>
    </ext>
  </extLst>
</workbook>
</file>

<file path=xl/calcChain.xml><?xml version="1.0" encoding="utf-8"?>
<calcChain xmlns="http://schemas.openxmlformats.org/spreadsheetml/2006/main">
  <c r="K59" i="3" l="1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58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4" i="3"/>
  <c r="M27" i="6" l="1"/>
  <c r="L27" i="6"/>
  <c r="K27" i="6"/>
  <c r="J27" i="6"/>
  <c r="I27" i="6"/>
  <c r="H27" i="6"/>
  <c r="M26" i="6"/>
  <c r="L26" i="6"/>
  <c r="K26" i="6"/>
  <c r="J26" i="6"/>
  <c r="I26" i="6"/>
  <c r="H26" i="6"/>
  <c r="M25" i="6"/>
  <c r="L25" i="6"/>
  <c r="K25" i="6"/>
  <c r="J25" i="6"/>
  <c r="I25" i="6"/>
  <c r="H25" i="6"/>
  <c r="M24" i="6"/>
  <c r="L24" i="6"/>
  <c r="K24" i="6"/>
  <c r="J24" i="6"/>
  <c r="I24" i="6"/>
  <c r="H24" i="6"/>
  <c r="M23" i="6"/>
  <c r="L23" i="6"/>
  <c r="K23" i="6"/>
  <c r="J23" i="6"/>
  <c r="I23" i="6"/>
  <c r="H23" i="6"/>
  <c r="M22" i="6"/>
  <c r="L22" i="6"/>
  <c r="K22" i="6"/>
  <c r="J22" i="6"/>
  <c r="I22" i="6"/>
  <c r="H22" i="6"/>
  <c r="M21" i="6"/>
  <c r="L21" i="6"/>
  <c r="K21" i="6"/>
  <c r="J21" i="6"/>
  <c r="I21" i="6"/>
  <c r="H21" i="6"/>
  <c r="M20" i="6"/>
  <c r="L20" i="6"/>
  <c r="K20" i="6"/>
  <c r="J20" i="6"/>
  <c r="I20" i="6"/>
  <c r="H20" i="6"/>
  <c r="M19" i="6"/>
  <c r="L19" i="6"/>
  <c r="K19" i="6"/>
  <c r="J19" i="6"/>
  <c r="I19" i="6"/>
  <c r="H19" i="6"/>
  <c r="M18" i="6"/>
  <c r="L18" i="6"/>
  <c r="K18" i="6"/>
  <c r="J18" i="6"/>
  <c r="I18" i="6"/>
  <c r="H18" i="6"/>
  <c r="M17" i="6"/>
  <c r="L17" i="6"/>
  <c r="K17" i="6"/>
  <c r="J17" i="6"/>
  <c r="I17" i="6"/>
  <c r="H17" i="6"/>
  <c r="M16" i="6"/>
  <c r="L16" i="6"/>
  <c r="K16" i="6"/>
  <c r="J16" i="6"/>
  <c r="I16" i="6"/>
  <c r="H16" i="6"/>
  <c r="M15" i="6"/>
  <c r="L15" i="6"/>
  <c r="K15" i="6"/>
  <c r="J15" i="6"/>
  <c r="I15" i="6"/>
  <c r="H15" i="6"/>
  <c r="M14" i="6"/>
  <c r="L14" i="6"/>
  <c r="K14" i="6"/>
  <c r="J14" i="6"/>
  <c r="I14" i="6"/>
  <c r="H14" i="6"/>
  <c r="M13" i="6"/>
  <c r="L13" i="6"/>
  <c r="K13" i="6"/>
  <c r="J13" i="6"/>
  <c r="I13" i="6"/>
  <c r="H13" i="6"/>
  <c r="M12" i="6"/>
  <c r="L12" i="6"/>
  <c r="K12" i="6"/>
  <c r="J12" i="6"/>
  <c r="I12" i="6"/>
  <c r="H12" i="6"/>
  <c r="M11" i="6"/>
  <c r="L11" i="6"/>
  <c r="K11" i="6"/>
  <c r="J11" i="6"/>
  <c r="I11" i="6"/>
  <c r="H11" i="6"/>
  <c r="M10" i="6"/>
  <c r="L10" i="6"/>
  <c r="K10" i="6"/>
  <c r="J10" i="6"/>
  <c r="I10" i="6"/>
  <c r="H10" i="6"/>
  <c r="M9" i="6"/>
  <c r="L9" i="6"/>
  <c r="K9" i="6"/>
  <c r="J9" i="6"/>
  <c r="I9" i="6"/>
  <c r="H9" i="6"/>
  <c r="M8" i="6"/>
  <c r="L8" i="6"/>
  <c r="K8" i="6"/>
  <c r="J8" i="6"/>
  <c r="I8" i="6"/>
  <c r="H8" i="6"/>
  <c r="M7" i="6"/>
  <c r="L7" i="6"/>
  <c r="K7" i="6"/>
  <c r="J7" i="6"/>
  <c r="I7" i="6"/>
  <c r="H7" i="6"/>
  <c r="M6" i="6"/>
  <c r="L6" i="6"/>
  <c r="K6" i="6"/>
  <c r="J6" i="6"/>
  <c r="I6" i="6"/>
  <c r="H6" i="6"/>
  <c r="M5" i="6"/>
  <c r="L5" i="6"/>
  <c r="K5" i="6"/>
  <c r="J5" i="6"/>
  <c r="I5" i="6"/>
  <c r="H5" i="6"/>
  <c r="M4" i="6"/>
  <c r="L4" i="6"/>
  <c r="K4" i="6"/>
  <c r="J4" i="6"/>
  <c r="I4" i="6"/>
  <c r="H4" i="6"/>
  <c r="M3" i="6"/>
  <c r="L3" i="6"/>
  <c r="K3" i="6"/>
  <c r="J3" i="6"/>
  <c r="I3" i="6"/>
  <c r="H3" i="6"/>
  <c r="M53" i="5"/>
  <c r="L53" i="5"/>
  <c r="K53" i="5"/>
  <c r="J53" i="5"/>
  <c r="I53" i="5"/>
  <c r="H53" i="5"/>
  <c r="M52" i="5"/>
  <c r="L52" i="5"/>
  <c r="K52" i="5"/>
  <c r="J52" i="5"/>
  <c r="I52" i="5"/>
  <c r="H52" i="5"/>
  <c r="M51" i="5"/>
  <c r="L51" i="5"/>
  <c r="K51" i="5"/>
  <c r="J51" i="5"/>
  <c r="I51" i="5"/>
  <c r="H51" i="5"/>
  <c r="M50" i="5"/>
  <c r="L50" i="5"/>
  <c r="K50" i="5"/>
  <c r="J50" i="5"/>
  <c r="I50" i="5"/>
  <c r="H50" i="5"/>
  <c r="M49" i="5"/>
  <c r="L49" i="5"/>
  <c r="K49" i="5"/>
  <c r="J49" i="5"/>
  <c r="I49" i="5"/>
  <c r="H49" i="5"/>
  <c r="M48" i="5"/>
  <c r="L48" i="5"/>
  <c r="K48" i="5"/>
  <c r="J48" i="5"/>
  <c r="I48" i="5"/>
  <c r="H48" i="5"/>
  <c r="M47" i="5"/>
  <c r="L47" i="5"/>
  <c r="K47" i="5"/>
  <c r="J47" i="5"/>
  <c r="I47" i="5"/>
  <c r="H47" i="5"/>
  <c r="M46" i="5"/>
  <c r="L46" i="5"/>
  <c r="K46" i="5"/>
  <c r="J46" i="5"/>
  <c r="I46" i="5"/>
  <c r="H46" i="5"/>
  <c r="M45" i="5"/>
  <c r="L45" i="5"/>
  <c r="K45" i="5"/>
  <c r="J45" i="5"/>
  <c r="I45" i="5"/>
  <c r="H45" i="5"/>
  <c r="M44" i="5"/>
  <c r="L44" i="5"/>
  <c r="K44" i="5"/>
  <c r="J44" i="5"/>
  <c r="I44" i="5"/>
  <c r="H44" i="5"/>
  <c r="M43" i="5"/>
  <c r="L43" i="5"/>
  <c r="K43" i="5"/>
  <c r="J43" i="5"/>
  <c r="I43" i="5"/>
  <c r="H43" i="5"/>
  <c r="M42" i="5"/>
  <c r="L42" i="5"/>
  <c r="K42" i="5"/>
  <c r="J42" i="5"/>
  <c r="I42" i="5"/>
  <c r="H42" i="5"/>
  <c r="M41" i="5"/>
  <c r="L41" i="5"/>
  <c r="K41" i="5"/>
  <c r="J41" i="5"/>
  <c r="I41" i="5"/>
  <c r="H41" i="5"/>
  <c r="M40" i="5"/>
  <c r="L40" i="5"/>
  <c r="K40" i="5"/>
  <c r="J40" i="5"/>
  <c r="I40" i="5"/>
  <c r="H40" i="5"/>
  <c r="M39" i="5"/>
  <c r="L39" i="5"/>
  <c r="K39" i="5"/>
  <c r="J39" i="5"/>
  <c r="I39" i="5"/>
  <c r="H39" i="5"/>
  <c r="M38" i="5"/>
  <c r="L38" i="5"/>
  <c r="K38" i="5"/>
  <c r="J38" i="5"/>
  <c r="I38" i="5"/>
  <c r="H38" i="5"/>
  <c r="M37" i="5"/>
  <c r="L37" i="5"/>
  <c r="K37" i="5"/>
  <c r="J37" i="5"/>
  <c r="I37" i="5"/>
  <c r="H37" i="5"/>
  <c r="M36" i="5"/>
  <c r="L36" i="5"/>
  <c r="K36" i="5"/>
  <c r="J36" i="5"/>
  <c r="I36" i="5"/>
  <c r="H36" i="5"/>
  <c r="M35" i="5"/>
  <c r="L35" i="5"/>
  <c r="K35" i="5"/>
  <c r="J35" i="5"/>
  <c r="I35" i="5"/>
  <c r="H35" i="5"/>
  <c r="M34" i="5"/>
  <c r="L34" i="5"/>
  <c r="K34" i="5"/>
  <c r="J34" i="5"/>
  <c r="I34" i="5"/>
  <c r="H34" i="5"/>
  <c r="M33" i="5"/>
  <c r="L33" i="5"/>
  <c r="K33" i="5"/>
  <c r="J33" i="5"/>
  <c r="I33" i="5"/>
  <c r="H33" i="5"/>
  <c r="M32" i="5"/>
  <c r="L32" i="5"/>
  <c r="K32" i="5"/>
  <c r="J32" i="5"/>
  <c r="I32" i="5"/>
  <c r="H32" i="5"/>
  <c r="M31" i="5"/>
  <c r="L31" i="5"/>
  <c r="K31" i="5"/>
  <c r="J31" i="5"/>
  <c r="I31" i="5"/>
  <c r="H31" i="5"/>
  <c r="M30" i="5"/>
  <c r="L30" i="5"/>
  <c r="K30" i="5"/>
  <c r="J30" i="5"/>
  <c r="I30" i="5"/>
  <c r="H30" i="5"/>
  <c r="M29" i="5"/>
  <c r="L29" i="5"/>
  <c r="K29" i="5"/>
  <c r="J29" i="5"/>
  <c r="I29" i="5"/>
  <c r="H29" i="5"/>
  <c r="M28" i="5"/>
  <c r="L28" i="5"/>
  <c r="K28" i="5"/>
  <c r="J28" i="5"/>
  <c r="I28" i="5"/>
  <c r="H28" i="5"/>
  <c r="M27" i="5"/>
  <c r="L27" i="5"/>
  <c r="K27" i="5"/>
  <c r="J27" i="5"/>
  <c r="I27" i="5"/>
  <c r="H27" i="5"/>
  <c r="M26" i="5"/>
  <c r="L26" i="5"/>
  <c r="K26" i="5"/>
  <c r="J26" i="5"/>
  <c r="I26" i="5"/>
  <c r="H26" i="5"/>
  <c r="M25" i="5"/>
  <c r="L25" i="5"/>
  <c r="K25" i="5"/>
  <c r="J25" i="5"/>
  <c r="I25" i="5"/>
  <c r="H25" i="5"/>
  <c r="M24" i="5"/>
  <c r="L24" i="5"/>
  <c r="K24" i="5"/>
  <c r="J24" i="5"/>
  <c r="I24" i="5"/>
  <c r="H24" i="5"/>
  <c r="M23" i="5"/>
  <c r="L23" i="5"/>
  <c r="K23" i="5"/>
  <c r="J23" i="5"/>
  <c r="I23" i="5"/>
  <c r="H23" i="5"/>
  <c r="M22" i="5"/>
  <c r="L22" i="5"/>
  <c r="K22" i="5"/>
  <c r="J22" i="5"/>
  <c r="I22" i="5"/>
  <c r="H22" i="5"/>
  <c r="M21" i="5"/>
  <c r="L21" i="5"/>
  <c r="K21" i="5"/>
  <c r="J21" i="5"/>
  <c r="I21" i="5"/>
  <c r="H21" i="5"/>
  <c r="M20" i="5"/>
  <c r="L20" i="5"/>
  <c r="K20" i="5"/>
  <c r="J20" i="5"/>
  <c r="I20" i="5"/>
  <c r="H20" i="5"/>
  <c r="M19" i="5"/>
  <c r="L19" i="5"/>
  <c r="K19" i="5"/>
  <c r="J19" i="5"/>
  <c r="I19" i="5"/>
  <c r="H19" i="5"/>
  <c r="M18" i="5"/>
  <c r="L18" i="5"/>
  <c r="K18" i="5"/>
  <c r="J18" i="5"/>
  <c r="I18" i="5"/>
  <c r="H18" i="5"/>
  <c r="M17" i="5"/>
  <c r="L17" i="5"/>
  <c r="K17" i="5"/>
  <c r="J17" i="5"/>
  <c r="I17" i="5"/>
  <c r="H17" i="5"/>
  <c r="M16" i="5"/>
  <c r="L16" i="5"/>
  <c r="K16" i="5"/>
  <c r="J16" i="5"/>
  <c r="I16" i="5"/>
  <c r="H16" i="5"/>
  <c r="M15" i="5"/>
  <c r="L15" i="5"/>
  <c r="K15" i="5"/>
  <c r="J15" i="5"/>
  <c r="I15" i="5"/>
  <c r="H15" i="5"/>
  <c r="M14" i="5"/>
  <c r="L14" i="5"/>
  <c r="K14" i="5"/>
  <c r="J14" i="5"/>
  <c r="I14" i="5"/>
  <c r="H14" i="5"/>
  <c r="M13" i="5"/>
  <c r="L13" i="5"/>
  <c r="K13" i="5"/>
  <c r="J13" i="5"/>
  <c r="I13" i="5"/>
  <c r="H13" i="5"/>
  <c r="M12" i="5"/>
  <c r="L12" i="5"/>
  <c r="K12" i="5"/>
  <c r="J12" i="5"/>
  <c r="I12" i="5"/>
  <c r="H12" i="5"/>
  <c r="M11" i="5"/>
  <c r="L11" i="5"/>
  <c r="K11" i="5"/>
  <c r="J11" i="5"/>
  <c r="I11" i="5"/>
  <c r="H11" i="5"/>
  <c r="M10" i="5"/>
  <c r="L10" i="5"/>
  <c r="K10" i="5"/>
  <c r="J10" i="5"/>
  <c r="I10" i="5"/>
  <c r="H10" i="5"/>
  <c r="M9" i="5"/>
  <c r="L9" i="5"/>
  <c r="K9" i="5"/>
  <c r="J9" i="5"/>
  <c r="I9" i="5"/>
  <c r="H9" i="5"/>
  <c r="M8" i="5"/>
  <c r="L8" i="5"/>
  <c r="K8" i="5"/>
  <c r="J8" i="5"/>
  <c r="I8" i="5"/>
  <c r="H8" i="5"/>
  <c r="M7" i="5"/>
  <c r="L7" i="5"/>
  <c r="K7" i="5"/>
  <c r="J7" i="5"/>
  <c r="I7" i="5"/>
  <c r="H7" i="5"/>
  <c r="M6" i="5"/>
  <c r="L6" i="5"/>
  <c r="K6" i="5"/>
  <c r="J6" i="5"/>
  <c r="I6" i="5"/>
  <c r="H6" i="5"/>
  <c r="M5" i="5"/>
  <c r="L5" i="5"/>
  <c r="K5" i="5"/>
  <c r="J5" i="5"/>
  <c r="I5" i="5"/>
  <c r="H5" i="5"/>
  <c r="M4" i="5"/>
  <c r="L4" i="5"/>
  <c r="K4" i="5"/>
  <c r="J4" i="5"/>
  <c r="I4" i="5"/>
  <c r="H4" i="5"/>
  <c r="M3" i="5"/>
  <c r="L3" i="5"/>
  <c r="K3" i="5"/>
  <c r="J3" i="5"/>
  <c r="I3" i="5"/>
  <c r="H3" i="5"/>
  <c r="L82" i="3"/>
  <c r="J82" i="3"/>
  <c r="I82" i="3"/>
  <c r="L81" i="3"/>
  <c r="J81" i="3"/>
  <c r="I81" i="3"/>
  <c r="L80" i="3"/>
  <c r="J80" i="3"/>
  <c r="I80" i="3"/>
  <c r="L79" i="3"/>
  <c r="J79" i="3"/>
  <c r="I79" i="3"/>
  <c r="L78" i="3"/>
  <c r="J78" i="3"/>
  <c r="I78" i="3"/>
  <c r="L77" i="3"/>
  <c r="J77" i="3"/>
  <c r="I77" i="3"/>
  <c r="L76" i="3"/>
  <c r="J76" i="3"/>
  <c r="I76" i="3"/>
  <c r="L75" i="3"/>
  <c r="J75" i="3"/>
  <c r="I75" i="3"/>
  <c r="L74" i="3"/>
  <c r="J74" i="3"/>
  <c r="I74" i="3"/>
  <c r="L73" i="3"/>
  <c r="J73" i="3"/>
  <c r="I73" i="3"/>
  <c r="L72" i="3"/>
  <c r="J72" i="3"/>
  <c r="I72" i="3"/>
  <c r="L71" i="3"/>
  <c r="J71" i="3"/>
  <c r="I71" i="3"/>
  <c r="L70" i="3"/>
  <c r="J70" i="3"/>
  <c r="I70" i="3"/>
  <c r="L69" i="3"/>
  <c r="J69" i="3"/>
  <c r="I69" i="3"/>
  <c r="L68" i="3"/>
  <c r="J68" i="3"/>
  <c r="I68" i="3"/>
  <c r="L67" i="3"/>
  <c r="J67" i="3"/>
  <c r="I67" i="3"/>
  <c r="L66" i="3"/>
  <c r="J66" i="3"/>
  <c r="I66" i="3"/>
  <c r="L65" i="3"/>
  <c r="J65" i="3"/>
  <c r="I65" i="3"/>
  <c r="L64" i="3"/>
  <c r="J64" i="3"/>
  <c r="I64" i="3"/>
  <c r="L63" i="3"/>
  <c r="J63" i="3"/>
  <c r="I63" i="3"/>
  <c r="L62" i="3"/>
  <c r="J62" i="3"/>
  <c r="I62" i="3"/>
  <c r="L61" i="3"/>
  <c r="J61" i="3"/>
  <c r="I61" i="3"/>
  <c r="L60" i="3"/>
  <c r="J60" i="3"/>
  <c r="I60" i="3"/>
  <c r="L59" i="3"/>
  <c r="J59" i="3"/>
  <c r="I59" i="3"/>
  <c r="L58" i="3"/>
  <c r="J58" i="3"/>
  <c r="I58" i="3"/>
  <c r="L54" i="3"/>
  <c r="I54" i="3"/>
  <c r="L53" i="3"/>
  <c r="I53" i="3"/>
  <c r="L52" i="3"/>
  <c r="I52" i="3"/>
  <c r="L51" i="3"/>
  <c r="I51" i="3"/>
  <c r="L50" i="3"/>
  <c r="I50" i="3"/>
  <c r="L49" i="3"/>
  <c r="I49" i="3"/>
  <c r="L48" i="3"/>
  <c r="I48" i="3"/>
  <c r="L47" i="3"/>
  <c r="I47" i="3"/>
  <c r="L46" i="3"/>
  <c r="I46" i="3"/>
  <c r="L45" i="3"/>
  <c r="I45" i="3"/>
  <c r="L44" i="3"/>
  <c r="I44" i="3"/>
  <c r="L43" i="3"/>
  <c r="I43" i="3"/>
  <c r="L42" i="3"/>
  <c r="I42" i="3"/>
  <c r="L41" i="3"/>
  <c r="I41" i="3"/>
  <c r="L40" i="3"/>
  <c r="I40" i="3"/>
  <c r="L39" i="3"/>
  <c r="I39" i="3"/>
  <c r="L38" i="3"/>
  <c r="I38" i="3"/>
  <c r="L37" i="3"/>
  <c r="I37" i="3"/>
  <c r="L36" i="3"/>
  <c r="I36" i="3"/>
  <c r="L35" i="3"/>
  <c r="I35" i="3"/>
  <c r="L34" i="3"/>
  <c r="I34" i="3"/>
  <c r="L33" i="3"/>
  <c r="I33" i="3"/>
  <c r="L32" i="3"/>
  <c r="I32" i="3"/>
  <c r="L31" i="3"/>
  <c r="I31" i="3"/>
  <c r="L30" i="3"/>
  <c r="I30" i="3"/>
  <c r="L29" i="3"/>
  <c r="I29" i="3"/>
  <c r="L28" i="3"/>
  <c r="I28" i="3"/>
  <c r="L27" i="3"/>
  <c r="I27" i="3"/>
  <c r="L26" i="3"/>
  <c r="I26" i="3"/>
  <c r="L25" i="3"/>
  <c r="I25" i="3"/>
  <c r="L24" i="3"/>
  <c r="I24" i="3"/>
  <c r="L23" i="3"/>
  <c r="I23" i="3"/>
  <c r="L22" i="3"/>
  <c r="I22" i="3"/>
  <c r="L21" i="3"/>
  <c r="I21" i="3"/>
  <c r="L20" i="3"/>
  <c r="I20" i="3"/>
  <c r="L19" i="3"/>
  <c r="I19" i="3"/>
  <c r="L18" i="3"/>
  <c r="I18" i="3"/>
  <c r="L17" i="3"/>
  <c r="I17" i="3"/>
  <c r="L16" i="3"/>
  <c r="I16" i="3"/>
  <c r="L15" i="3"/>
  <c r="I15" i="3"/>
  <c r="L14" i="3"/>
  <c r="I14" i="3"/>
  <c r="L13" i="3"/>
  <c r="I13" i="3"/>
  <c r="L12" i="3"/>
  <c r="I12" i="3"/>
  <c r="L11" i="3"/>
  <c r="I11" i="3"/>
  <c r="L10" i="3"/>
  <c r="I10" i="3"/>
  <c r="L9" i="3"/>
  <c r="I9" i="3"/>
  <c r="L8" i="3"/>
  <c r="I8" i="3"/>
  <c r="L7" i="3"/>
  <c r="I7" i="3"/>
  <c r="L6" i="3"/>
  <c r="I6" i="3"/>
  <c r="L5" i="3"/>
  <c r="I5" i="3"/>
  <c r="L4" i="3"/>
  <c r="I4" i="3"/>
  <c r="P11" i="6"/>
  <c r="O6" i="6"/>
  <c r="O26" i="6"/>
  <c r="P10" i="5"/>
  <c r="O9" i="6"/>
  <c r="O52" i="5"/>
  <c r="O17" i="6"/>
  <c r="O10" i="6"/>
  <c r="P3" i="6"/>
  <c r="O53" i="5"/>
  <c r="O5" i="5"/>
  <c r="O40" i="5"/>
  <c r="O34" i="5"/>
  <c r="O17" i="5"/>
  <c r="P25" i="5"/>
  <c r="O23" i="5"/>
  <c r="O18" i="6"/>
  <c r="P16" i="6"/>
  <c r="P38" i="5"/>
  <c r="P23" i="6"/>
  <c r="P43" i="5"/>
  <c r="O5" i="6"/>
  <c r="P22" i="5"/>
  <c r="O13" i="6"/>
  <c r="P19" i="6"/>
  <c r="O13" i="5"/>
  <c r="O21" i="6"/>
  <c r="P9" i="6"/>
  <c r="O16" i="6"/>
  <c r="P17" i="5"/>
  <c r="P14" i="5"/>
  <c r="P6" i="5"/>
  <c r="O45" i="5"/>
  <c r="O49" i="5"/>
  <c r="P7" i="6"/>
  <c r="O16" i="5"/>
  <c r="P42" i="5"/>
  <c r="P46" i="5"/>
  <c r="O21" i="5"/>
  <c r="P15" i="6"/>
  <c r="P31" i="5"/>
  <c r="O24" i="6"/>
  <c r="P39" i="5"/>
  <c r="O14" i="6"/>
  <c r="P18" i="6"/>
  <c r="O26" i="5"/>
  <c r="P27" i="6"/>
  <c r="O32" i="5"/>
  <c r="P8" i="6"/>
  <c r="O37" i="5"/>
  <c r="O4" i="5"/>
  <c r="O12" i="5"/>
  <c r="P51" i="5"/>
  <c r="P20" i="6"/>
  <c r="P47" i="5"/>
  <c r="O22" i="6"/>
  <c r="P4" i="6"/>
  <c r="P35" i="5"/>
  <c r="O25" i="6"/>
  <c r="P24" i="6"/>
  <c r="P23" i="5"/>
  <c r="O29" i="5"/>
  <c r="O41" i="5"/>
  <c r="P26" i="5"/>
  <c r="P12" i="6"/>
  <c r="P22" i="6"/>
  <c r="O7" i="6"/>
  <c r="O8" i="5"/>
  <c r="P5" i="5"/>
  <c r="O9" i="5"/>
  <c r="P13" i="6"/>
  <c r="P50" i="5"/>
  <c r="O48" i="5"/>
  <c r="O44" i="5"/>
  <c r="O28" i="5"/>
  <c r="P34" i="5"/>
  <c r="P30" i="5"/>
  <c r="P18" i="5"/>
  <c r="O33" i="5"/>
  <c r="O25" i="5"/>
  <c r="P27" i="5"/>
  <c r="P19" i="5"/>
  <c r="P15" i="5"/>
  <c r="P11" i="5"/>
  <c r="P7" i="5"/>
  <c r="P3" i="5"/>
  <c r="O27" i="6"/>
  <c r="O23" i="6"/>
  <c r="O19" i="6"/>
  <c r="O15" i="6"/>
  <c r="O11" i="6"/>
  <c r="O3" i="6"/>
  <c r="O50" i="5"/>
  <c r="O46" i="5"/>
  <c r="O42" i="5"/>
  <c r="O38" i="5"/>
  <c r="O30" i="5"/>
  <c r="O22" i="5"/>
  <c r="O18" i="5"/>
  <c r="O14" i="5"/>
  <c r="O10" i="5"/>
  <c r="O6" i="5"/>
  <c r="P26" i="6"/>
  <c r="P25" i="6"/>
  <c r="P21" i="6"/>
  <c r="O20" i="6"/>
  <c r="P17" i="6"/>
  <c r="P14" i="6"/>
  <c r="P10" i="6"/>
  <c r="O8" i="6"/>
  <c r="P6" i="6"/>
  <c r="P5" i="6"/>
  <c r="P53" i="5"/>
  <c r="P52" i="5"/>
  <c r="O51" i="5"/>
  <c r="P48" i="5"/>
  <c r="O47" i="5"/>
  <c r="P45" i="5"/>
  <c r="P44" i="5"/>
  <c r="P41" i="5"/>
  <c r="P40" i="5"/>
  <c r="O39" i="5"/>
  <c r="P36" i="5"/>
  <c r="O35" i="5"/>
  <c r="P33" i="5"/>
  <c r="P32" i="5"/>
  <c r="O31" i="5"/>
  <c r="P29" i="5"/>
  <c r="P28" i="5"/>
  <c r="O27" i="5"/>
  <c r="P24" i="5"/>
  <c r="P21" i="5"/>
  <c r="P20" i="5"/>
  <c r="O19" i="5"/>
  <c r="P16" i="5"/>
  <c r="O15" i="5"/>
  <c r="P13" i="5"/>
  <c r="P12" i="5"/>
  <c r="O11" i="5"/>
  <c r="P9" i="5"/>
  <c r="P8" i="5"/>
  <c r="P4" i="5"/>
  <c r="O12" i="6"/>
  <c r="O4" i="6"/>
  <c r="P49" i="5"/>
  <c r="O43" i="5"/>
  <c r="P37" i="5"/>
  <c r="O36" i="5"/>
  <c r="O24" i="5"/>
  <c r="O20" i="5"/>
  <c r="O7" i="5"/>
  <c r="O3" i="5"/>
  <c r="R4" i="5" l="1"/>
  <c r="S15" i="5"/>
  <c r="S23" i="5"/>
  <c r="S20" i="5"/>
  <c r="S36" i="5"/>
  <c r="R37" i="5"/>
  <c r="S5" i="5"/>
  <c r="R10" i="5"/>
  <c r="S13" i="5"/>
  <c r="R18" i="5"/>
  <c r="S21" i="5"/>
  <c r="R26" i="5"/>
  <c r="S29" i="5"/>
  <c r="R34" i="5"/>
  <c r="S37" i="5"/>
  <c r="T37" i="5" s="1"/>
  <c r="U37" i="5" s="1"/>
  <c r="R42" i="5"/>
  <c r="S45" i="5"/>
  <c r="R50" i="5"/>
  <c r="S53" i="5"/>
  <c r="R7" i="6"/>
  <c r="S10" i="6"/>
  <c r="R15" i="6"/>
  <c r="R17" i="6"/>
  <c r="R19" i="6"/>
  <c r="R21" i="6"/>
  <c r="R23" i="6"/>
  <c r="R25" i="6"/>
  <c r="R3" i="5"/>
  <c r="S10" i="5"/>
  <c r="R11" i="5"/>
  <c r="S18" i="5"/>
  <c r="T18" i="5" s="1"/>
  <c r="U18" i="5" s="1"/>
  <c r="R19" i="5"/>
  <c r="S26" i="5"/>
  <c r="R27" i="5"/>
  <c r="S34" i="5"/>
  <c r="R35" i="5"/>
  <c r="S42" i="5"/>
  <c r="R43" i="5"/>
  <c r="S50" i="5"/>
  <c r="T50" i="5" s="1"/>
  <c r="U50" i="5" s="1"/>
  <c r="R51" i="5"/>
  <c r="S7" i="6"/>
  <c r="R8" i="6"/>
  <c r="S15" i="6"/>
  <c r="S17" i="6"/>
  <c r="S19" i="6"/>
  <c r="S21" i="6"/>
  <c r="T21" i="6" s="1"/>
  <c r="U21" i="6" s="1"/>
  <c r="S23" i="6"/>
  <c r="T23" i="6" s="1"/>
  <c r="U23" i="6" s="1"/>
  <c r="S25" i="6"/>
  <c r="R52" i="5"/>
  <c r="S4" i="6"/>
  <c r="R9" i="6"/>
  <c r="S12" i="6"/>
  <c r="S44" i="5"/>
  <c r="R45" i="5"/>
  <c r="S52" i="5"/>
  <c r="T52" i="5" s="1"/>
  <c r="U52" i="5" s="1"/>
  <c r="R53" i="5"/>
  <c r="S9" i="6"/>
  <c r="R10" i="6"/>
  <c r="S6" i="6"/>
  <c r="R11" i="6"/>
  <c r="S14" i="6"/>
  <c r="R28" i="5"/>
  <c r="S39" i="5"/>
  <c r="R44" i="5"/>
  <c r="S28" i="5"/>
  <c r="S9" i="5"/>
  <c r="R14" i="5"/>
  <c r="R22" i="5"/>
  <c r="S33" i="5"/>
  <c r="R38" i="5"/>
  <c r="S49" i="5"/>
  <c r="R3" i="6"/>
  <c r="S6" i="5"/>
  <c r="R7" i="5"/>
  <c r="S14" i="5"/>
  <c r="T14" i="5" s="1"/>
  <c r="U14" i="5" s="1"/>
  <c r="R15" i="5"/>
  <c r="S22" i="5"/>
  <c r="T22" i="5" s="1"/>
  <c r="U22" i="5" s="1"/>
  <c r="R23" i="5"/>
  <c r="S30" i="5"/>
  <c r="R31" i="5"/>
  <c r="S38" i="5"/>
  <c r="R39" i="5"/>
  <c r="S46" i="5"/>
  <c r="R47" i="5"/>
  <c r="S3" i="6"/>
  <c r="R4" i="6"/>
  <c r="S11" i="6"/>
  <c r="T11" i="6" s="1"/>
  <c r="U11" i="6" s="1"/>
  <c r="R12" i="6"/>
  <c r="S16" i="6"/>
  <c r="S18" i="6"/>
  <c r="S20" i="6"/>
  <c r="S22" i="6"/>
  <c r="S24" i="6"/>
  <c r="S26" i="6"/>
  <c r="S7" i="5"/>
  <c r="T7" i="5" s="1"/>
  <c r="U7" i="5" s="1"/>
  <c r="R12" i="5"/>
  <c r="R20" i="5"/>
  <c r="S31" i="5"/>
  <c r="R36" i="5"/>
  <c r="S47" i="5"/>
  <c r="T47" i="5" s="1"/>
  <c r="U47" i="5" s="1"/>
  <c r="S4" i="5"/>
  <c r="T4" i="5" s="1"/>
  <c r="U4" i="5" s="1"/>
  <c r="R5" i="5"/>
  <c r="S12" i="5"/>
  <c r="R13" i="5"/>
  <c r="R21" i="5"/>
  <c r="R29" i="5"/>
  <c r="R6" i="5"/>
  <c r="S17" i="5"/>
  <c r="S25" i="5"/>
  <c r="R30" i="5"/>
  <c r="S41" i="5"/>
  <c r="R46" i="5"/>
  <c r="S3" i="5"/>
  <c r="R8" i="5"/>
  <c r="S11" i="5"/>
  <c r="R16" i="5"/>
  <c r="S19" i="5"/>
  <c r="R24" i="5"/>
  <c r="S27" i="5"/>
  <c r="T27" i="5" s="1"/>
  <c r="U27" i="5" s="1"/>
  <c r="R32" i="5"/>
  <c r="S35" i="5"/>
  <c r="R40" i="5"/>
  <c r="S43" i="5"/>
  <c r="R48" i="5"/>
  <c r="S51" i="5"/>
  <c r="R5" i="6"/>
  <c r="S8" i="6"/>
  <c r="T8" i="6" s="1"/>
  <c r="U8" i="6" s="1"/>
  <c r="R13" i="6"/>
  <c r="S8" i="5"/>
  <c r="R9" i="5"/>
  <c r="S16" i="5"/>
  <c r="R17" i="5"/>
  <c r="S24" i="5"/>
  <c r="R25" i="5"/>
  <c r="S32" i="5"/>
  <c r="R33" i="5"/>
  <c r="S40" i="5"/>
  <c r="R41" i="5"/>
  <c r="S48" i="5"/>
  <c r="R49" i="5"/>
  <c r="S5" i="6"/>
  <c r="R6" i="6"/>
  <c r="S13" i="6"/>
  <c r="R14" i="6"/>
  <c r="R27" i="6"/>
  <c r="S27" i="6"/>
  <c r="R26" i="6"/>
  <c r="R16" i="6"/>
  <c r="R18" i="6"/>
  <c r="R20" i="6"/>
  <c r="R22" i="6"/>
  <c r="R24" i="6"/>
  <c r="T41" i="5" l="1"/>
  <c r="U41" i="5" s="1"/>
  <c r="T26" i="6"/>
  <c r="U26" i="6" s="1"/>
  <c r="T30" i="5"/>
  <c r="U30" i="5" s="1"/>
  <c r="T49" i="5"/>
  <c r="U49" i="5" s="1"/>
  <c r="T39" i="5"/>
  <c r="U39" i="5" s="1"/>
  <c r="T10" i="6"/>
  <c r="U10" i="6" s="1"/>
  <c r="T29" i="5"/>
  <c r="U29" i="5" s="1"/>
  <c r="T36" i="5"/>
  <c r="U36" i="5" s="1"/>
  <c r="T20" i="5"/>
  <c r="U20" i="5" s="1"/>
  <c r="T25" i="6"/>
  <c r="U25" i="6" s="1"/>
  <c r="T13" i="6"/>
  <c r="U13" i="6" s="1"/>
  <c r="T12" i="5"/>
  <c r="U12" i="5" s="1"/>
  <c r="T19" i="5"/>
  <c r="U19" i="5" s="1"/>
  <c r="T19" i="6"/>
  <c r="U19" i="6" s="1"/>
  <c r="T10" i="5"/>
  <c r="U10" i="5" s="1"/>
  <c r="T32" i="5"/>
  <c r="U32" i="5" s="1"/>
  <c r="T51" i="5"/>
  <c r="U51" i="5" s="1"/>
  <c r="T3" i="6"/>
  <c r="U3" i="6" s="1"/>
  <c r="T44" i="5"/>
  <c r="U44" i="5" s="1"/>
  <c r="T42" i="5"/>
  <c r="U42" i="5" s="1"/>
  <c r="T24" i="5"/>
  <c r="U24" i="5" s="1"/>
  <c r="T24" i="6"/>
  <c r="U24" i="6" s="1"/>
  <c r="T33" i="5"/>
  <c r="U33" i="5" s="1"/>
  <c r="T14" i="6"/>
  <c r="U14" i="6" s="1"/>
  <c r="T40" i="5"/>
  <c r="U40" i="5" s="1"/>
  <c r="T8" i="5"/>
  <c r="U8" i="5" s="1"/>
  <c r="T5" i="5"/>
  <c r="U5" i="5" s="1"/>
  <c r="T17" i="6"/>
  <c r="U17" i="6" s="1"/>
  <c r="T22" i="6"/>
  <c r="U22" i="6" s="1"/>
  <c r="T48" i="5"/>
  <c r="U48" i="5" s="1"/>
  <c r="T16" i="5"/>
  <c r="U16" i="5" s="1"/>
  <c r="T43" i="5"/>
  <c r="U43" i="5" s="1"/>
  <c r="T11" i="5"/>
  <c r="U11" i="5" s="1"/>
  <c r="T20" i="6"/>
  <c r="U20" i="6" s="1"/>
  <c r="T46" i="5"/>
  <c r="U46" i="5" s="1"/>
  <c r="T6" i="6"/>
  <c r="U6" i="6" s="1"/>
  <c r="T15" i="6"/>
  <c r="U15" i="6" s="1"/>
  <c r="T34" i="5"/>
  <c r="U34" i="5" s="1"/>
  <c r="T53" i="5"/>
  <c r="U53" i="5" s="1"/>
  <c r="T21" i="5"/>
  <c r="U21" i="5" s="1"/>
  <c r="T23" i="5"/>
  <c r="U23" i="5" s="1"/>
  <c r="T12" i="6"/>
  <c r="U12" i="6" s="1"/>
  <c r="T27" i="6"/>
  <c r="U27" i="6" s="1"/>
  <c r="T31" i="5"/>
  <c r="U31" i="5" s="1"/>
  <c r="T18" i="6"/>
  <c r="U18" i="6" s="1"/>
  <c r="T9" i="5"/>
  <c r="U9" i="5" s="1"/>
  <c r="T4" i="6"/>
  <c r="U4" i="6" s="1"/>
  <c r="T15" i="5"/>
  <c r="U15" i="5" s="1"/>
  <c r="T5" i="6"/>
  <c r="U5" i="6" s="1"/>
  <c r="T25" i="5"/>
  <c r="U25" i="5" s="1"/>
  <c r="T17" i="5"/>
  <c r="U17" i="5" s="1"/>
  <c r="T35" i="5"/>
  <c r="U35" i="5" s="1"/>
  <c r="T3" i="5"/>
  <c r="U3" i="5" s="1"/>
  <c r="T16" i="6"/>
  <c r="U16" i="6" s="1"/>
  <c r="T38" i="5"/>
  <c r="U38" i="5" s="1"/>
  <c r="T6" i="5"/>
  <c r="U6" i="5" s="1"/>
  <c r="T28" i="5"/>
  <c r="U28" i="5" s="1"/>
  <c r="T9" i="6"/>
  <c r="U9" i="6" s="1"/>
  <c r="T7" i="6"/>
  <c r="U7" i="6" s="1"/>
  <c r="T26" i="5"/>
  <c r="U26" i="5" s="1"/>
  <c r="T45" i="5"/>
  <c r="U45" i="5" s="1"/>
  <c r="T13" i="5"/>
  <c r="U13" i="5" s="1"/>
</calcChain>
</file>

<file path=xl/sharedStrings.xml><?xml version="1.0" encoding="utf-8"?>
<sst xmlns="http://schemas.openxmlformats.org/spreadsheetml/2006/main" count="1218" uniqueCount="301">
  <si>
    <t>No</t>
  </si>
  <si>
    <t>Name</t>
  </si>
  <si>
    <t>Location</t>
  </si>
  <si>
    <t>Depth (m)</t>
  </si>
  <si>
    <t>P (MPa)</t>
  </si>
  <si>
    <t>T (°C)</t>
  </si>
  <si>
    <r>
      <rPr>
        <b/>
        <sz val="8"/>
        <color rgb="FF000000"/>
        <rFont val="Arial"/>
        <family val="2"/>
      </rPr>
      <t>CO</t>
    </r>
    <r>
      <rPr>
        <b/>
        <vertAlign val="subscript"/>
        <sz val="8"/>
        <color rgb="FF000000"/>
        <rFont val="Arial"/>
        <family val="2"/>
      </rPr>
      <t xml:space="preserve">2 </t>
    </r>
    <r>
      <rPr>
        <b/>
        <sz val="8"/>
        <color rgb="FF000000"/>
        <rFont val="Arial"/>
        <family val="2"/>
      </rPr>
      <t>(%)</t>
    </r>
  </si>
  <si>
    <r>
      <rPr>
        <b/>
        <sz val="8"/>
        <color rgb="FF000000"/>
        <rFont val="Arial"/>
        <family val="2"/>
      </rPr>
      <t>CO</t>
    </r>
    <r>
      <rPr>
        <b/>
        <vertAlign val="subscript"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 xml:space="preserve"> Density (kg/m</t>
    </r>
    <r>
      <rPr>
        <b/>
        <vertAlign val="superscript"/>
        <sz val="8"/>
        <color rgb="FF000000"/>
        <rFont val="Arial"/>
        <family val="2"/>
      </rPr>
      <t>3</t>
    </r>
    <r>
      <rPr>
        <b/>
        <sz val="8"/>
        <color rgb="FF000000"/>
        <rFont val="Arial"/>
        <family val="2"/>
      </rPr>
      <t>)</t>
    </r>
  </si>
  <si>
    <t>Secure</t>
  </si>
  <si>
    <t>GIIP (Mt)</t>
  </si>
  <si>
    <t>Source</t>
  </si>
  <si>
    <t>Fault</t>
  </si>
  <si>
    <t>Reservoir</t>
  </si>
  <si>
    <t>Thickness (m)</t>
  </si>
  <si>
    <t>Seal</t>
  </si>
  <si>
    <t>Stacked</t>
  </si>
  <si>
    <t>Reference</t>
  </si>
  <si>
    <t>McElmo</t>
  </si>
  <si>
    <t>USA</t>
  </si>
  <si>
    <t>Yes</t>
  </si>
  <si>
    <t>Magmatic</t>
  </si>
  <si>
    <t>Limestone</t>
  </si>
  <si>
    <t>Salt, Anhydrite</t>
  </si>
  <si>
    <t>Allis et al. (2001), Gerling (1983)</t>
  </si>
  <si>
    <t>St. Johns</t>
  </si>
  <si>
    <t>Siltstone, Sandstone Limestone</t>
  </si>
  <si>
    <t>Shale, Mudstone</t>
  </si>
  <si>
    <t>Moore et al. (2005), Rauzi (1999), Gilfillan et al. (2011), Keating et al., 2014</t>
  </si>
  <si>
    <t>Bravo Dome</t>
  </si>
  <si>
    <t>Sandstone Conglomerate</t>
  </si>
  <si>
    <t>Anhydrite, Mudstone</t>
  </si>
  <si>
    <t>Allis et al.(2001), Pearce (1996), Broadhead, 1987; Dubacq et al, 2012; Johnson, 1984; Sathaye et al., 2014</t>
  </si>
  <si>
    <t>Doe Canyon</t>
  </si>
  <si>
    <t>Adams et al, 2015;</t>
  </si>
  <si>
    <t>Val Verde</t>
  </si>
  <si>
    <t>Carbonate</t>
  </si>
  <si>
    <t>Shale</t>
  </si>
  <si>
    <t>NETL, 2014</t>
  </si>
  <si>
    <t>Oakdale</t>
  </si>
  <si>
    <t>Sandstone</t>
  </si>
  <si>
    <t>Shale, Volcanics</t>
  </si>
  <si>
    <t>Sheep Mountain</t>
  </si>
  <si>
    <t>Holloway et al., 2007; Lynch et al., 1985; Allis et al., 2001; Renfro, 1979</t>
  </si>
  <si>
    <t>Lisbon</t>
  </si>
  <si>
    <t>NA</t>
  </si>
  <si>
    <t>Big Piney La Barge Basinal</t>
  </si>
  <si>
    <t>Sandstone, Dolomite, Basement</t>
  </si>
  <si>
    <t>Becker &amp; Lynds (2012); Kaszuba et al., 2011; Allis et al., 2001</t>
  </si>
  <si>
    <t>Big Piney La Barge Foreland</t>
  </si>
  <si>
    <t>Big Piney La Barge Highland</t>
  </si>
  <si>
    <t>Madden</t>
  </si>
  <si>
    <t>Magmatic*</t>
  </si>
  <si>
    <t>Dolomite</t>
  </si>
  <si>
    <t>Barett &amp; Hubley, 1969</t>
  </si>
  <si>
    <t>Jackson Dome</t>
  </si>
  <si>
    <t>Limestone, Dolomite, Sandstone</t>
  </si>
  <si>
    <t>Carbonate, Anhydrite</t>
  </si>
  <si>
    <t>Stevens et al., 2001; Stuart&amp;Kosik, 1977; Rice et al, 1997; Schenk &amp; Viger</t>
  </si>
  <si>
    <t>Escalante</t>
  </si>
  <si>
    <t>Sandstone, Limestone</t>
  </si>
  <si>
    <t>Kevin Dome</t>
  </si>
  <si>
    <t>Magmatic *</t>
  </si>
  <si>
    <t>Anhydrite, Halite</t>
  </si>
  <si>
    <t>McCallum</t>
  </si>
  <si>
    <t>Gordon Creek</t>
  </si>
  <si>
    <t>Chidsey and Chamberlain (1996), Allis et al . (2001)</t>
  </si>
  <si>
    <t>Indian Creek</t>
  </si>
  <si>
    <t>Woodside</t>
  </si>
  <si>
    <t>Des Moines</t>
  </si>
  <si>
    <t>Congolomerate, Sandstone</t>
  </si>
  <si>
    <t>NETL, 2014; Broadhead et al, 2009</t>
  </si>
  <si>
    <t>Estancia</t>
  </si>
  <si>
    <t>Sandstone, Conglomerate</t>
  </si>
  <si>
    <t>Farnham</t>
  </si>
  <si>
    <t>Inconclusive</t>
  </si>
  <si>
    <t>Allis et al. (2001), Morgan and Chidsey (1991); Allis et al., 2005; Well log; Kampman et al, 2012</t>
  </si>
  <si>
    <t>Imperial</t>
  </si>
  <si>
    <t>Silt and Clay</t>
  </si>
  <si>
    <t>&lt;100</t>
  </si>
  <si>
    <t>NETL, 2014; Muffler &amp; White, 1969</t>
  </si>
  <si>
    <t>JM- Brown Bassett Field</t>
  </si>
  <si>
    <t>Ballentine et al., 2001; Gilfillan et al., 2009 sup. Info; Schoell et atl., 2001</t>
  </si>
  <si>
    <t>El Trapial Field</t>
  </si>
  <si>
    <t>Mexico</t>
  </si>
  <si>
    <t>Blann et al., 1997; Crotti et al, 2007; Orchuela et al., 2003</t>
  </si>
  <si>
    <t>Quebrache Field</t>
  </si>
  <si>
    <t>Organic matter degradation</t>
  </si>
  <si>
    <t>Sandstone &amp; Carbonates</t>
  </si>
  <si>
    <t>Mudstones; Anhydrite</t>
  </si>
  <si>
    <t>Gachuz-Muro et al., 2011; Gachuz-Muro et al, 2007</t>
  </si>
  <si>
    <t>Montmiral</t>
  </si>
  <si>
    <t>France</t>
  </si>
  <si>
    <t>Mantle/carbonates*</t>
  </si>
  <si>
    <t>Sandstone &amp; Limestone</t>
  </si>
  <si>
    <t>Claystone and Marlstone</t>
  </si>
  <si>
    <t>Gaus et al, 2004, Pearce et al., 2004</t>
  </si>
  <si>
    <t>Messokampos</t>
  </si>
  <si>
    <t>Greece</t>
  </si>
  <si>
    <t>Carbonates/minor magmatic</t>
  </si>
  <si>
    <t>Sands</t>
  </si>
  <si>
    <t>Clay</t>
  </si>
  <si>
    <t>Gaus et al, 2004; TNO poster</t>
  </si>
  <si>
    <t>Fizzy Field</t>
  </si>
  <si>
    <t>UK</t>
  </si>
  <si>
    <t>Shale, Evaporites</t>
  </si>
  <si>
    <t>Wilkinson et al. (2009), Underhill et al. (2009), Yielding et al. (2011)</t>
  </si>
  <si>
    <t>Vorderrhön</t>
  </si>
  <si>
    <t>Germany</t>
  </si>
  <si>
    <t>Sandstone, Siltstone, Limestone &amp; Anhydrite</t>
  </si>
  <si>
    <t>Anhydrite &amp; claystones</t>
  </si>
  <si>
    <t>200-300</t>
  </si>
  <si>
    <t>Pearce et al., 2002 &amp; 2004</t>
  </si>
  <si>
    <t>Latera caldera</t>
  </si>
  <si>
    <t>Italy</t>
  </si>
  <si>
    <t>Carbonates*</t>
  </si>
  <si>
    <t>Flysch and Volcanics</t>
  </si>
  <si>
    <t>Annunziatellis et al., 2008</t>
  </si>
  <si>
    <t>Benevento Field</t>
  </si>
  <si>
    <t>Evaporite, Carbonate</t>
  </si>
  <si>
    <t>Roberts, 2012; well log</t>
  </si>
  <si>
    <t>Monte Taburno Reservoir</t>
  </si>
  <si>
    <t>Thrust deposits</t>
  </si>
  <si>
    <t>Muscillo Reservoir</t>
  </si>
  <si>
    <t>Mudstone</t>
  </si>
  <si>
    <t>Roberts, 2012; Well log</t>
  </si>
  <si>
    <t>Acerno Reservoir</t>
  </si>
  <si>
    <t>Pieve Santo Stefano</t>
  </si>
  <si>
    <t>Dolomite, Evaporite</t>
  </si>
  <si>
    <t>Evaporites (?)</t>
  </si>
  <si>
    <t>Roberts, 2012; well log, Bonini 2009, Trippetta et al., 2013</t>
  </si>
  <si>
    <t>Frigento Field</t>
  </si>
  <si>
    <t>Mudstones</t>
  </si>
  <si>
    <t>Wiehengebirgsvorland</t>
  </si>
  <si>
    <t>27*</t>
  </si>
  <si>
    <t>Organic Matter &amp; Carbonates</t>
  </si>
  <si>
    <t>Anhydrite</t>
  </si>
  <si>
    <t>Fischer et al., 2006</t>
  </si>
  <si>
    <t>Budafa Field</t>
  </si>
  <si>
    <t>Hungary</t>
  </si>
  <si>
    <t>Carbonates, Magmatic</t>
  </si>
  <si>
    <t>Doleschall et al., 1992, Gacho-Muro, 2005 Kiraly et al, 2014, Clayton et al, 1990</t>
  </si>
  <si>
    <t>Mihalyi-Repcelak</t>
  </si>
  <si>
    <t>Conglomerates, Sandstones</t>
  </si>
  <si>
    <t>Claystones</t>
  </si>
  <si>
    <t>Zaizhuangzi field</t>
  </si>
  <si>
    <t>China</t>
  </si>
  <si>
    <t>16*</t>
  </si>
  <si>
    <t>Mixed</t>
  </si>
  <si>
    <t>Biolithite, dolomite</t>
  </si>
  <si>
    <t>Zhang et al., 2008, Dai et al. 2000</t>
  </si>
  <si>
    <t>Youaicun Field</t>
  </si>
  <si>
    <t>22.4*</t>
  </si>
  <si>
    <t>Magmatic?*</t>
  </si>
  <si>
    <t>Mudstone, Siltstone</t>
  </si>
  <si>
    <t>Anping et al., 2009; Dai et al. 2000</t>
  </si>
  <si>
    <t>Dazhongwang WG1</t>
  </si>
  <si>
    <t>24.42*</t>
  </si>
  <si>
    <t>Magmatic +?*</t>
  </si>
  <si>
    <t>Dolomitic limestone, sandstone</t>
  </si>
  <si>
    <t>Dai et al., 2000; Zhang et al., 2008; Anping et al., 2009</t>
  </si>
  <si>
    <t>Gaoquing Field</t>
  </si>
  <si>
    <t>8.11*</t>
  </si>
  <si>
    <t>Sandstone, siltstone</t>
  </si>
  <si>
    <t>?</t>
  </si>
  <si>
    <t>Dai et al., 2005, Dai et al., 2000; Gong et al., 2003</t>
  </si>
  <si>
    <t>Ping Fang Wang Field</t>
  </si>
  <si>
    <t>14.5*</t>
  </si>
  <si>
    <t>Anping et al., 2009; Dai et al, 2000; Gong et al., 2003</t>
  </si>
  <si>
    <t>Yang 25 Field</t>
  </si>
  <si>
    <t>2.9*</t>
  </si>
  <si>
    <t>Shale, Mudstone, basalt</t>
  </si>
  <si>
    <t>Anping et al., 2009, Dai et al., 2000; Gong et al., 2003</t>
  </si>
  <si>
    <t>Balipo Field</t>
  </si>
  <si>
    <t>26*</t>
  </si>
  <si>
    <t>98.2*</t>
  </si>
  <si>
    <t>Conglomerates, Mudstone</t>
  </si>
  <si>
    <t>Anping et al., 2009, Dai et al., 2000</t>
  </si>
  <si>
    <t>Pingnan</t>
  </si>
  <si>
    <t>19.8*</t>
  </si>
  <si>
    <t>Anping et al., 2009, Dai et al., 2000, Gong et al., 2003</t>
  </si>
  <si>
    <t>Hua 17 Field</t>
  </si>
  <si>
    <t>19.6*</t>
  </si>
  <si>
    <t>Anping et al., 2009; Dai et al., 2000; Gong et al., 2003</t>
  </si>
  <si>
    <t>Huangquiao Field</t>
  </si>
  <si>
    <t>57.5*</t>
  </si>
  <si>
    <t>Carbonate; Sandstone</t>
  </si>
  <si>
    <t>Gypsum-bearing clay rocks</t>
  </si>
  <si>
    <t>Dai et al., 2005</t>
  </si>
  <si>
    <t>Huanchang 3-4 Field</t>
  </si>
  <si>
    <t>33.5*</t>
  </si>
  <si>
    <t>Li et al., 2008</t>
  </si>
  <si>
    <t>Wanjinta Field</t>
  </si>
  <si>
    <t>7.7*</t>
  </si>
  <si>
    <t>Dai et al., 2005; Dai et al., 2000</t>
  </si>
  <si>
    <t>Qian'an</t>
  </si>
  <si>
    <t>20.6*</t>
  </si>
  <si>
    <t>Siltstone, sandstone</t>
  </si>
  <si>
    <t>30?</t>
  </si>
  <si>
    <t>Dai et al., 2000</t>
  </si>
  <si>
    <t>Nong'ancun Field</t>
  </si>
  <si>
    <t>2.75*</t>
  </si>
  <si>
    <t>Volcanics, conglomerates</t>
  </si>
  <si>
    <t>Changling Field</t>
  </si>
  <si>
    <t>33*</t>
  </si>
  <si>
    <t>Volcanics</t>
  </si>
  <si>
    <t>Guang et al., 2011</t>
  </si>
  <si>
    <t>DF1-1 Field</t>
  </si>
  <si>
    <t>12.8*</t>
  </si>
  <si>
    <t>Thermogenic</t>
  </si>
  <si>
    <t>Huang et al., 2003, 2004; Zhu et al, 2009, Zhenfeng, 2008</t>
  </si>
  <si>
    <t>LD28-1 Field</t>
  </si>
  <si>
    <t>16.5*</t>
  </si>
  <si>
    <t>69.5*</t>
  </si>
  <si>
    <t>Organic Matter</t>
  </si>
  <si>
    <t>Huang et al., 2003</t>
  </si>
  <si>
    <t>LD15-1 Field</t>
  </si>
  <si>
    <t>14.23*</t>
  </si>
  <si>
    <t>60.7*</t>
  </si>
  <si>
    <t>Natuna D-Alpha Block</t>
  </si>
  <si>
    <t>Indonesia</t>
  </si>
  <si>
    <t>Shale/Clay</t>
  </si>
  <si>
    <t>Bell et al., 1987</t>
  </si>
  <si>
    <t>Ladbroke Grove Field</t>
  </si>
  <si>
    <t>Australia</t>
  </si>
  <si>
    <t>Watson et al., 2004; Parker, 1992; Well log,  Watson, 2012</t>
  </si>
  <si>
    <t>Caroline</t>
  </si>
  <si>
    <t>Shale and Siltstones</t>
  </si>
  <si>
    <t>LeBlanc et al (1967), Watson 2012, Chivas et al, 1987</t>
  </si>
  <si>
    <t>Tuna field</t>
  </si>
  <si>
    <t>Carbonates</t>
  </si>
  <si>
    <t>Hortle et al., 2011; Neslon et al, 2005; http://er-info.dpi.vic.gov.au/petroleum/well/tuna4.htm; Schacht, 2008</t>
  </si>
  <si>
    <t>Kapuni Field</t>
  </si>
  <si>
    <t>NZ</t>
  </si>
  <si>
    <t>Hulston et al., 2001; Webster et al, 2011; King et al., 2009</t>
  </si>
  <si>
    <t>New Plymouth Area</t>
  </si>
  <si>
    <t>3.7*</t>
  </si>
  <si>
    <t>32.4*</t>
  </si>
  <si>
    <t>Claystone/Siltstone</t>
  </si>
  <si>
    <t>&lt;150</t>
  </si>
  <si>
    <t>Hulston et al., 2001; Lyon, 1996; Leitner et al., 2000</t>
  </si>
  <si>
    <t>Garvoc-1</t>
  </si>
  <si>
    <t>no</t>
  </si>
  <si>
    <t>Higgs et al., 2014, Well logs, cross sections, Watson 2012</t>
  </si>
  <si>
    <t>Kalangadoo 1</t>
  </si>
  <si>
    <t>20.5*</t>
  </si>
  <si>
    <t>Basement</t>
  </si>
  <si>
    <t>Watson 2012, Higgs et al. 2014</t>
  </si>
  <si>
    <t>Boggy Creek</t>
  </si>
  <si>
    <t>Watson 2014, WCR</t>
  </si>
  <si>
    <t>Gudian</t>
  </si>
  <si>
    <t>11.8*</t>
  </si>
  <si>
    <t>Yuquiao et al., 2007, Yu et al, 2014, Dai et al., 2000 &amp; 2005</t>
  </si>
  <si>
    <t>Battle Creek</t>
  </si>
  <si>
    <t>Halite</t>
  </si>
  <si>
    <t>Lane. 1987, Ryerson et al., 2013, Lake &amp; Whittaker, 2006</t>
  </si>
  <si>
    <t>Prudhoe Bay 01-13</t>
  </si>
  <si>
    <t>28*</t>
  </si>
  <si>
    <t>Kharaka &amp; Carothers, 1982, USGS Report</t>
  </si>
  <si>
    <t>Turaco, Albertine Graben</t>
  </si>
  <si>
    <t>Uganda</t>
  </si>
  <si>
    <t>25*</t>
  </si>
  <si>
    <t>Logan et al, 2009, Dou et al, 2004, Karp et al, 2012</t>
  </si>
  <si>
    <t>Khairpur</t>
  </si>
  <si>
    <t>Pakistan</t>
  </si>
  <si>
    <t>Tainsh et al, 1959</t>
  </si>
  <si>
    <t>Yemahnuang</t>
  </si>
  <si>
    <t>Burma</t>
  </si>
  <si>
    <t>17.1*</t>
  </si>
  <si>
    <t>Imbus et al., 1999</t>
  </si>
  <si>
    <t>W961</t>
  </si>
  <si>
    <t>38*</t>
  </si>
  <si>
    <t>Zhu et al., 2009</t>
  </si>
  <si>
    <t>DF29-1</t>
  </si>
  <si>
    <t>18.3*</t>
  </si>
  <si>
    <t>yes</t>
  </si>
  <si>
    <t>Huang et al 2002, Hao et al 2000, huang et al, 2004</t>
  </si>
  <si>
    <t>L22-1</t>
  </si>
  <si>
    <t>14.8*</t>
  </si>
  <si>
    <t>Huang et al 2002, Hao et al 2000, huang et al, 2004, Lei et al., 2011</t>
  </si>
  <si>
    <t>Reservoir Thickness (m)</t>
  </si>
  <si>
    <t>Seal Thickness (m)</t>
  </si>
  <si>
    <t>lower limit</t>
  </si>
  <si>
    <t>no fault</t>
  </si>
  <si>
    <t>Training</t>
  </si>
  <si>
    <t>upper limit</t>
  </si>
  <si>
    <t>Validation</t>
  </si>
  <si>
    <t>Depth</t>
  </si>
  <si>
    <t>Seal Thickness</t>
  </si>
  <si>
    <t>Count of Secure</t>
  </si>
  <si>
    <t>Grand Total</t>
  </si>
  <si>
    <t>P(x1|No)</t>
  </si>
  <si>
    <t>P(x2|No)</t>
  </si>
  <si>
    <t>P(x3|No)</t>
  </si>
  <si>
    <t>P(x1|Yes)</t>
  </si>
  <si>
    <t>P(x2|Yes)</t>
  </si>
  <si>
    <t>P(x3|Yes)</t>
  </si>
  <si>
    <t>P(No|x_i)</t>
  </si>
  <si>
    <t>P(Yes|x_i)</t>
  </si>
  <si>
    <t>P(No)</t>
  </si>
  <si>
    <t>P(Yes)</t>
  </si>
  <si>
    <t>Prediction(Security)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</si>
</sst>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Calibri"/>
      <family val="2"/>
    </font>
    <font>
      <i/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b/>
      <vertAlign val="subscript"/>
      <sz val="8"/>
      <color rgb="FF000000"/>
      <name val="Arial"/>
      <family val="2"/>
    </font>
    <font>
      <b/>
      <vertAlign val="superscript"/>
      <sz val="8"/>
      <color rgb="FF000000"/>
      <name val="Arial"/>
      <family val="2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</fills>
  <borders count="16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top"/>
    </xf>
    <xf numFmtId="0" fontId="5" fillId="0" borderId="0" xfId="0" applyFont="1"/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1" fillId="2" borderId="5" xfId="0" applyFont="1" applyFill="1" applyBorder="1" applyAlignment="1">
      <alignment horizontal="center" vertical="center" wrapText="1"/>
    </xf>
    <xf numFmtId="10" fontId="3" fillId="0" borderId="5" xfId="0" applyNumberFormat="1" applyFont="1" applyBorder="1" applyAlignment="1">
      <alignment horizontal="center"/>
    </xf>
    <xf numFmtId="0" fontId="3" fillId="0" borderId="5" xfId="0" applyFont="1" applyBorder="1"/>
    <xf numFmtId="10" fontId="0" fillId="0" borderId="0" xfId="0" applyNumberFormat="1"/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10" fontId="0" fillId="0" borderId="6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0" fontId="0" fillId="0" borderId="11" xfId="0" applyBorder="1"/>
    <xf numFmtId="10" fontId="0" fillId="0" borderId="11" xfId="0" applyNumberFormat="1" applyBorder="1"/>
    <xf numFmtId="10" fontId="0" fillId="0" borderId="12" xfId="0" applyNumberFormat="1" applyBorder="1"/>
    <xf numFmtId="0" fontId="0" fillId="0" borderId="13" xfId="0" applyBorder="1"/>
    <xf numFmtId="10" fontId="0" fillId="0" borderId="13" xfId="0" applyNumberFormat="1" applyBorder="1"/>
    <xf numFmtId="10" fontId="0" fillId="0" borderId="14" xfId="0" applyNumberFormat="1" applyBorder="1"/>
    <xf numFmtId="10" fontId="0" fillId="0" borderId="15" xfId="0" applyNumberFormat="1" applyBorder="1"/>
  </cellXfs>
  <cellStyles count="1">
    <cellStyle name="Normal" xfId="0" builtinId="0"/>
  </cellStyles>
  <dxfs count="4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4840.464591319447" refreshedVersion="8" recordCount="51" xr:uid="{00000000-000A-0000-FFFF-FFFF00000000}">
  <cacheSource type="worksheet">
    <worksheetSource ref="H3:L54" sheet="CASSEM Discretization"/>
  </cacheSource>
  <cacheFields count="5">
    <cacheField name="No" numFmtId="0">
      <sharedItems containsSemiMixedTypes="0" containsString="0" containsNumber="1" containsInteger="1" minValue="1" maxValue="76"/>
    </cacheField>
    <cacheField name="Depth (m)" numFmtId="0">
      <sharedItems containsSemiMixedTypes="0" containsString="0" containsNumber="1" containsInteger="1" minValue="0" maxValue="1" count="2">
        <n v="0"/>
        <n v="1"/>
      </sharedItems>
    </cacheField>
    <cacheField name="Seal Thickness (m)" numFmtId="0">
      <sharedItems containsMixedTypes="1" containsNumber="1" containsInteger="1" minValue="0" maxValue="1" count="3">
        <s v="NA"/>
        <n v="1"/>
        <n v="0"/>
      </sharedItems>
    </cacheField>
    <cacheField name="Fault" numFmtId="0">
      <sharedItems containsMixedTypes="1" containsNumber="1" containsInteger="1" minValue="0" maxValue="1" count="3">
        <n v="1"/>
        <n v="0"/>
        <s v="NA"/>
      </sharedItems>
    </cacheField>
    <cacheField name="Secure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54"/>
    <x v="0"/>
    <x v="0"/>
    <x v="0"/>
    <x v="0"/>
  </r>
  <r>
    <n v="55"/>
    <x v="1"/>
    <x v="1"/>
    <x v="1"/>
    <x v="0"/>
  </r>
  <r>
    <n v="1"/>
    <x v="1"/>
    <x v="1"/>
    <x v="0"/>
    <x v="0"/>
  </r>
  <r>
    <n v="14"/>
    <x v="1"/>
    <x v="1"/>
    <x v="0"/>
    <x v="0"/>
  </r>
  <r>
    <n v="58"/>
    <x v="1"/>
    <x v="0"/>
    <x v="1"/>
    <x v="0"/>
  </r>
  <r>
    <n v="10"/>
    <x v="0"/>
    <x v="1"/>
    <x v="0"/>
    <x v="0"/>
  </r>
  <r>
    <n v="51"/>
    <x v="1"/>
    <x v="0"/>
    <x v="1"/>
    <x v="0"/>
  </r>
  <r>
    <n v="57"/>
    <x v="1"/>
    <x v="1"/>
    <x v="1"/>
    <x v="0"/>
  </r>
  <r>
    <n v="5"/>
    <x v="1"/>
    <x v="1"/>
    <x v="1"/>
    <x v="0"/>
  </r>
  <r>
    <n v="59"/>
    <x v="1"/>
    <x v="1"/>
    <x v="0"/>
    <x v="0"/>
  </r>
  <r>
    <n v="60"/>
    <x v="0"/>
    <x v="0"/>
    <x v="0"/>
    <x v="0"/>
  </r>
  <r>
    <n v="4"/>
    <x v="0"/>
    <x v="0"/>
    <x v="1"/>
    <x v="0"/>
  </r>
  <r>
    <n v="12"/>
    <x v="0"/>
    <x v="1"/>
    <x v="0"/>
    <x v="0"/>
  </r>
  <r>
    <n v="27"/>
    <x v="0"/>
    <x v="1"/>
    <x v="0"/>
    <x v="0"/>
  </r>
  <r>
    <n v="33"/>
    <x v="1"/>
    <x v="0"/>
    <x v="1"/>
    <x v="0"/>
  </r>
  <r>
    <n v="7"/>
    <x v="0"/>
    <x v="0"/>
    <x v="2"/>
    <x v="0"/>
  </r>
  <r>
    <n v="37"/>
    <x v="0"/>
    <x v="1"/>
    <x v="1"/>
    <x v="0"/>
  </r>
  <r>
    <n v="61"/>
    <x v="0"/>
    <x v="0"/>
    <x v="1"/>
    <x v="0"/>
  </r>
  <r>
    <n v="62"/>
    <x v="0"/>
    <x v="0"/>
    <x v="0"/>
    <x v="0"/>
  </r>
  <r>
    <n v="26"/>
    <x v="0"/>
    <x v="1"/>
    <x v="0"/>
    <x v="0"/>
  </r>
  <r>
    <n v="53"/>
    <x v="0"/>
    <x v="1"/>
    <x v="1"/>
    <x v="0"/>
  </r>
  <r>
    <n v="44"/>
    <x v="1"/>
    <x v="1"/>
    <x v="1"/>
    <x v="0"/>
  </r>
  <r>
    <n v="50"/>
    <x v="0"/>
    <x v="1"/>
    <x v="0"/>
    <x v="0"/>
  </r>
  <r>
    <n v="63"/>
    <x v="1"/>
    <x v="1"/>
    <x v="0"/>
    <x v="0"/>
  </r>
  <r>
    <n v="64"/>
    <x v="0"/>
    <x v="1"/>
    <x v="2"/>
    <x v="0"/>
  </r>
  <r>
    <n v="2"/>
    <x v="0"/>
    <x v="2"/>
    <x v="1"/>
    <x v="0"/>
  </r>
  <r>
    <n v="65"/>
    <x v="1"/>
    <x v="1"/>
    <x v="1"/>
    <x v="0"/>
  </r>
  <r>
    <n v="38"/>
    <x v="0"/>
    <x v="1"/>
    <x v="1"/>
    <x v="0"/>
  </r>
  <r>
    <n v="66"/>
    <x v="1"/>
    <x v="1"/>
    <x v="1"/>
    <x v="0"/>
  </r>
  <r>
    <n v="8"/>
    <x v="0"/>
    <x v="1"/>
    <x v="0"/>
    <x v="0"/>
  </r>
  <r>
    <n v="35"/>
    <x v="1"/>
    <x v="0"/>
    <x v="1"/>
    <x v="0"/>
  </r>
  <r>
    <n v="30"/>
    <x v="0"/>
    <x v="0"/>
    <x v="2"/>
    <x v="0"/>
  </r>
  <r>
    <n v="34"/>
    <x v="1"/>
    <x v="2"/>
    <x v="1"/>
    <x v="0"/>
  </r>
  <r>
    <n v="23"/>
    <x v="1"/>
    <x v="1"/>
    <x v="0"/>
    <x v="0"/>
  </r>
  <r>
    <n v="6"/>
    <x v="1"/>
    <x v="1"/>
    <x v="1"/>
    <x v="0"/>
  </r>
  <r>
    <n v="9"/>
    <x v="0"/>
    <x v="1"/>
    <x v="0"/>
    <x v="0"/>
  </r>
  <r>
    <n v="36"/>
    <x v="1"/>
    <x v="1"/>
    <x v="0"/>
    <x v="0"/>
  </r>
  <r>
    <n v="16"/>
    <x v="0"/>
    <x v="1"/>
    <x v="1"/>
    <x v="0"/>
  </r>
  <r>
    <n v="20"/>
    <x v="0"/>
    <x v="2"/>
    <x v="0"/>
    <x v="0"/>
  </r>
  <r>
    <n v="31"/>
    <x v="1"/>
    <x v="1"/>
    <x v="1"/>
    <x v="0"/>
  </r>
  <r>
    <n v="39"/>
    <x v="1"/>
    <x v="2"/>
    <x v="1"/>
    <x v="0"/>
  </r>
  <r>
    <n v="40"/>
    <x v="1"/>
    <x v="2"/>
    <x v="1"/>
    <x v="0"/>
  </r>
  <r>
    <n v="41"/>
    <x v="1"/>
    <x v="1"/>
    <x v="1"/>
    <x v="0"/>
  </r>
  <r>
    <n v="45"/>
    <x v="0"/>
    <x v="1"/>
    <x v="0"/>
    <x v="0"/>
  </r>
  <r>
    <n v="75"/>
    <x v="0"/>
    <x v="1"/>
    <x v="0"/>
    <x v="1"/>
  </r>
  <r>
    <n v="71"/>
    <x v="0"/>
    <x v="1"/>
    <x v="1"/>
    <x v="1"/>
  </r>
  <r>
    <n v="72"/>
    <x v="1"/>
    <x v="1"/>
    <x v="1"/>
    <x v="1"/>
  </r>
  <r>
    <n v="74"/>
    <x v="1"/>
    <x v="1"/>
    <x v="1"/>
    <x v="1"/>
  </r>
  <r>
    <n v="76"/>
    <x v="0"/>
    <x v="1"/>
    <x v="2"/>
    <x v="1"/>
  </r>
  <r>
    <n v="67"/>
    <x v="0"/>
    <x v="1"/>
    <x v="1"/>
    <x v="1"/>
  </r>
  <r>
    <n v="68"/>
    <x v="0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CASSEM Pivot 3" cacheId="10601" applyNumberFormats="0" applyBorderFormats="0" applyFontFormats="0" applyPatternFormats="0" applyAlignmentFormats="0" applyWidthHeightFormats="0" dataCaption="" updatedVersion="8" compact="0" compactData="0">
  <location ref="L3:O7" firstHeaderRow="1" firstDataRow="2" firstDataCol="1"/>
  <pivotFields count="5">
    <pivotField name="No" compact="0" outline="0" multipleItemSelectionAllowed="1" showAll="0"/>
    <pivotField name="Depth (m)" compact="0" outline="0" multipleItemSelectionAllowed="1" showAll="0"/>
    <pivotField name="Seal Thickness (m)" compact="0" outline="0" multipleItemSelectionAllowed="1" showAll="0"/>
    <pivotField name="Fault" axis="axisRow" compact="0" outline="0" multipleItemSelectionAllowed="1" showAll="0" sortType="ascending">
      <items count="4">
        <item x="1"/>
        <item x="0"/>
        <item h="1" x="2"/>
        <item t="default"/>
      </items>
    </pivotField>
    <pivotField name="Secure" axis="axisCol" dataField="1" compact="0" outline="0" multipleItemSelectionAllowed="1" showAll="0" sortType="ascending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ecure" fld="4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CASSEM Pivot 4" cacheId="10601" applyNumberFormats="0" applyBorderFormats="0" applyFontFormats="0" applyPatternFormats="0" applyAlignmentFormats="0" applyWidthHeightFormats="0" dataCaption="" updatedVersion="8" compact="0" compactData="0">
  <location ref="B11:C14" firstHeaderRow="1" firstDataRow="1" firstDataCol="1"/>
  <pivotFields count="5">
    <pivotField name="No" compact="0" outline="0" multipleItemSelectionAllowed="1" showAll="0"/>
    <pivotField name="Depth (m)" compact="0" outline="0" multipleItemSelectionAllowed="1" showAll="0"/>
    <pivotField name="Seal Thickness (m)" compact="0" outline="0" multipleItemSelectionAllowed="1" showAll="0"/>
    <pivotField name="Fault" compact="0" outline="0" multipleItemSelectionAllowed="1" showAll="0"/>
    <pivotField name="Secure" axis="axisRow" dataField="1" compact="0" outline="0" multipleItemSelectionAllowed="1" showAll="0" sortType="ascending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Secure" fld="4" subtotal="count" showDataAs="percentOfTota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CASSEM Pivot" cacheId="10601" applyNumberFormats="0" applyBorderFormats="0" applyFontFormats="0" applyPatternFormats="0" applyAlignmentFormats="0" applyWidthHeightFormats="0" dataCaption="" updatedVersion="8" compact="0" compactData="0">
  <location ref="B3:E7" firstHeaderRow="1" firstDataRow="2" firstDataCol="1"/>
  <pivotFields count="5">
    <pivotField name="No" compact="0" outline="0" multipleItemSelectionAllowed="1" showAll="0"/>
    <pivotField name="Depth (m)" axis="axisRow" compact="0" outline="0" multipleItemSelectionAllowed="1" showAll="0" sortType="ascending">
      <items count="3">
        <item x="0"/>
        <item x="1"/>
        <item t="default"/>
      </items>
    </pivotField>
    <pivotField name="Seal Thickness (m)" compact="0" outline="0" multipleItemSelectionAllowed="1" showAll="0"/>
    <pivotField name="Fault" compact="0" outline="0" multipleItemSelectionAllowed="1" showAll="0"/>
    <pivotField name="Secure" axis="axisCol" dataField="1" compact="0" outline="0" multipleItemSelectionAllowed="1" showAll="0" sortType="ascending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ecure" fld="4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CASSEM Pivot 2" cacheId="10601" applyNumberFormats="0" applyBorderFormats="0" applyFontFormats="0" applyPatternFormats="0" applyAlignmentFormats="0" applyWidthHeightFormats="0" dataCaption="" updatedVersion="8" compact="0" compactData="0">
  <location ref="G3:J7" firstHeaderRow="1" firstDataRow="2" firstDataCol="1"/>
  <pivotFields count="5">
    <pivotField name="No" compact="0" outline="0" multipleItemSelectionAllowed="1" showAll="0"/>
    <pivotField name="Depth (m)" compact="0" outline="0" multipleItemSelectionAllowed="1" showAll="0"/>
    <pivotField name="Seal Thickness (m)" axis="axisRow" compact="0" outline="0" multipleItemSelectionAllowed="1" showAll="0" sortType="ascending">
      <items count="4">
        <item x="2"/>
        <item x="1"/>
        <item h="1" x="0"/>
        <item t="default"/>
      </items>
    </pivotField>
    <pivotField name="Fault" compact="0" outline="0" multipleItemSelectionAllowed="1" showAll="0"/>
    <pivotField name="Secure" axis="axisCol" dataField="1" compact="0" outline="0" multipleItemSelectionAllowed="1" showAll="0" sortType="ascending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ecure" fld="4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000"/>
  <sheetViews>
    <sheetView topLeftCell="A15" workbookViewId="0"/>
  </sheetViews>
  <sheetFormatPr defaultColWidth="14.42578125" defaultRowHeight="15" customHeight="1"/>
  <cols>
    <col min="1" max="26" width="8.7109375" customWidth="1"/>
  </cols>
  <sheetData>
    <row r="2" spans="2:19" ht="26.1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13</v>
      </c>
      <c r="R2" s="2" t="s">
        <v>15</v>
      </c>
      <c r="S2" s="2" t="s">
        <v>16</v>
      </c>
    </row>
    <row r="3" spans="2:19" ht="48">
      <c r="B3" s="3">
        <v>1</v>
      </c>
      <c r="C3" s="4" t="s">
        <v>17</v>
      </c>
      <c r="D3" s="4" t="s">
        <v>18</v>
      </c>
      <c r="E3" s="4">
        <v>2438</v>
      </c>
      <c r="F3" s="4">
        <v>24.3</v>
      </c>
      <c r="G3" s="4">
        <v>91.1</v>
      </c>
      <c r="H3" s="4">
        <v>98</v>
      </c>
      <c r="I3" s="4">
        <v>619.70000000000005</v>
      </c>
      <c r="J3" s="4" t="s">
        <v>19</v>
      </c>
      <c r="K3" s="5">
        <v>30095</v>
      </c>
      <c r="L3" s="4" t="s">
        <v>20</v>
      </c>
      <c r="M3" s="4" t="s">
        <v>0</v>
      </c>
      <c r="N3" s="4" t="s">
        <v>21</v>
      </c>
      <c r="O3" s="4">
        <v>29</v>
      </c>
      <c r="P3" s="4" t="s">
        <v>22</v>
      </c>
      <c r="Q3" s="4">
        <v>400</v>
      </c>
      <c r="R3" s="4" t="s">
        <v>19</v>
      </c>
      <c r="S3" s="4" t="s">
        <v>23</v>
      </c>
    </row>
    <row r="4" spans="2:19" ht="84">
      <c r="B4" s="3">
        <v>2</v>
      </c>
      <c r="C4" s="4" t="s">
        <v>24</v>
      </c>
      <c r="D4" s="4" t="s">
        <v>18</v>
      </c>
      <c r="E4" s="4">
        <v>465</v>
      </c>
      <c r="F4" s="4">
        <v>6.2</v>
      </c>
      <c r="G4" s="4">
        <v>30</v>
      </c>
      <c r="H4" s="4">
        <v>99</v>
      </c>
      <c r="I4" s="4">
        <v>184.3</v>
      </c>
      <c r="J4" s="4" t="s">
        <v>0</v>
      </c>
      <c r="K4" s="5">
        <v>8917</v>
      </c>
      <c r="L4" s="4" t="s">
        <v>20</v>
      </c>
      <c r="M4" s="4" t="s">
        <v>19</v>
      </c>
      <c r="N4" s="4" t="s">
        <v>25</v>
      </c>
      <c r="O4" s="4">
        <v>150</v>
      </c>
      <c r="P4" s="4" t="s">
        <v>26</v>
      </c>
      <c r="Q4" s="4">
        <v>220</v>
      </c>
      <c r="R4" s="4" t="s">
        <v>19</v>
      </c>
      <c r="S4" s="4" t="s">
        <v>27</v>
      </c>
    </row>
    <row r="5" spans="2:19" ht="120">
      <c r="B5" s="3">
        <v>3</v>
      </c>
      <c r="C5" s="4" t="s">
        <v>28</v>
      </c>
      <c r="D5" s="4" t="s">
        <v>18</v>
      </c>
      <c r="E5" s="4">
        <v>777</v>
      </c>
      <c r="F5" s="4">
        <v>4.4000000000000004</v>
      </c>
      <c r="G5" s="4">
        <v>26.7</v>
      </c>
      <c r="H5" s="4">
        <v>97</v>
      </c>
      <c r="I5" s="4">
        <v>105.5</v>
      </c>
      <c r="J5" s="4" t="s">
        <v>19</v>
      </c>
      <c r="K5" s="5">
        <v>23107</v>
      </c>
      <c r="L5" s="4" t="s">
        <v>20</v>
      </c>
      <c r="M5" s="4" t="s">
        <v>19</v>
      </c>
      <c r="N5" s="4" t="s">
        <v>29</v>
      </c>
      <c r="O5" s="4">
        <v>38</v>
      </c>
      <c r="P5" s="4" t="s">
        <v>30</v>
      </c>
      <c r="Q5" s="4">
        <v>45</v>
      </c>
      <c r="R5" s="4" t="s">
        <v>0</v>
      </c>
      <c r="S5" s="4" t="s">
        <v>31</v>
      </c>
    </row>
    <row r="6" spans="2:19" ht="24">
      <c r="B6" s="3">
        <v>4</v>
      </c>
      <c r="C6" s="4" t="s">
        <v>32</v>
      </c>
      <c r="D6" s="4" t="s">
        <v>18</v>
      </c>
      <c r="E6" s="4">
        <v>2743</v>
      </c>
      <c r="F6" s="4">
        <v>27.3</v>
      </c>
      <c r="G6" s="4">
        <v>100.6</v>
      </c>
      <c r="H6" s="4">
        <v>95</v>
      </c>
      <c r="I6" s="4">
        <v>623.20000000000005</v>
      </c>
      <c r="J6" s="4" t="s">
        <v>19</v>
      </c>
      <c r="K6" s="5">
        <v>5095</v>
      </c>
      <c r="L6" s="4" t="s">
        <v>20</v>
      </c>
      <c r="M6" s="4" t="s">
        <v>0</v>
      </c>
      <c r="N6" s="4" t="s">
        <v>21</v>
      </c>
      <c r="O6" s="4">
        <v>18</v>
      </c>
      <c r="P6" s="4" t="s">
        <v>22</v>
      </c>
      <c r="Q6" s="4">
        <v>400</v>
      </c>
      <c r="R6" s="4" t="s">
        <v>19</v>
      </c>
      <c r="S6" s="4" t="s">
        <v>33</v>
      </c>
    </row>
    <row r="7" spans="2:19">
      <c r="B7" s="3">
        <v>5</v>
      </c>
      <c r="C7" s="4" t="s">
        <v>34</v>
      </c>
      <c r="D7" s="4" t="s">
        <v>18</v>
      </c>
      <c r="E7" s="4">
        <v>4133</v>
      </c>
      <c r="F7" s="4">
        <v>40.5</v>
      </c>
      <c r="G7" s="4">
        <v>103.3</v>
      </c>
      <c r="H7" s="4">
        <v>40</v>
      </c>
      <c r="I7" s="4">
        <v>748.8</v>
      </c>
      <c r="J7" s="4" t="s">
        <v>19</v>
      </c>
      <c r="K7" s="5">
        <v>7361</v>
      </c>
      <c r="L7" s="4" t="s">
        <v>20</v>
      </c>
      <c r="M7" s="4" t="s">
        <v>19</v>
      </c>
      <c r="N7" s="4" t="s">
        <v>35</v>
      </c>
      <c r="O7" s="4">
        <v>195</v>
      </c>
      <c r="P7" s="4" t="s">
        <v>36</v>
      </c>
      <c r="Q7" s="6"/>
      <c r="R7" s="6"/>
      <c r="S7" s="4" t="s">
        <v>37</v>
      </c>
    </row>
    <row r="8" spans="2:19" ht="24">
      <c r="B8" s="3">
        <v>6</v>
      </c>
      <c r="C8" s="4" t="s">
        <v>38</v>
      </c>
      <c r="D8" s="4" t="s">
        <v>18</v>
      </c>
      <c r="E8" s="4">
        <v>1829</v>
      </c>
      <c r="F8" s="4">
        <v>19.2</v>
      </c>
      <c r="G8" s="4">
        <v>81.7</v>
      </c>
      <c r="H8" s="4">
        <v>72</v>
      </c>
      <c r="I8" s="4">
        <v>564.29999999999995</v>
      </c>
      <c r="J8" s="4" t="s">
        <v>19</v>
      </c>
      <c r="K8" s="5">
        <v>1153</v>
      </c>
      <c r="L8" s="4" t="s">
        <v>20</v>
      </c>
      <c r="M8" s="4" t="s">
        <v>19</v>
      </c>
      <c r="N8" s="4" t="s">
        <v>39</v>
      </c>
      <c r="O8" s="4">
        <v>76</v>
      </c>
      <c r="P8" s="4" t="s">
        <v>40</v>
      </c>
      <c r="Q8" s="4">
        <v>300</v>
      </c>
      <c r="R8" s="4" t="s">
        <v>19</v>
      </c>
      <c r="S8" s="4" t="s">
        <v>37</v>
      </c>
    </row>
    <row r="9" spans="2:19" ht="72">
      <c r="B9" s="3">
        <v>7</v>
      </c>
      <c r="C9" s="4" t="s">
        <v>41</v>
      </c>
      <c r="D9" s="4" t="s">
        <v>18</v>
      </c>
      <c r="E9" s="4">
        <v>1524</v>
      </c>
      <c r="F9" s="4">
        <v>14.9</v>
      </c>
      <c r="G9" s="4">
        <v>69.400000000000006</v>
      </c>
      <c r="H9" s="4">
        <v>97</v>
      </c>
      <c r="I9" s="4">
        <v>509.6</v>
      </c>
      <c r="J9" s="4" t="s">
        <v>19</v>
      </c>
      <c r="K9" s="5">
        <v>3066</v>
      </c>
      <c r="L9" s="4" t="s">
        <v>20</v>
      </c>
      <c r="M9" s="4" t="s">
        <v>19</v>
      </c>
      <c r="N9" s="4" t="s">
        <v>39</v>
      </c>
      <c r="O9" s="4">
        <v>44</v>
      </c>
      <c r="P9" s="4" t="s">
        <v>40</v>
      </c>
      <c r="Q9" s="4">
        <v>300</v>
      </c>
      <c r="R9" s="4" t="s">
        <v>19</v>
      </c>
      <c r="S9" s="4" t="s">
        <v>42</v>
      </c>
    </row>
    <row r="10" spans="2:19">
      <c r="B10" s="3">
        <v>8</v>
      </c>
      <c r="C10" s="4" t="s">
        <v>43</v>
      </c>
      <c r="D10" s="4" t="s">
        <v>18</v>
      </c>
      <c r="E10" s="4">
        <v>2926</v>
      </c>
      <c r="F10" s="4">
        <v>22.1</v>
      </c>
      <c r="G10" s="4">
        <v>106.7</v>
      </c>
      <c r="H10" s="4">
        <v>90</v>
      </c>
      <c r="I10" s="4">
        <v>501.8</v>
      </c>
      <c r="J10" s="4" t="s">
        <v>19</v>
      </c>
      <c r="K10" s="4">
        <v>238</v>
      </c>
      <c r="L10" s="6"/>
      <c r="M10" s="4" t="s">
        <v>44</v>
      </c>
      <c r="N10" s="4" t="s">
        <v>21</v>
      </c>
      <c r="O10" s="4">
        <v>23</v>
      </c>
      <c r="P10" s="6"/>
      <c r="Q10" s="6"/>
      <c r="R10" s="6"/>
      <c r="S10" s="4" t="s">
        <v>37</v>
      </c>
    </row>
    <row r="11" spans="2:19" ht="60">
      <c r="B11" s="3">
        <v>9</v>
      </c>
      <c r="C11" s="4" t="s">
        <v>45</v>
      </c>
      <c r="D11" s="4" t="s">
        <v>18</v>
      </c>
      <c r="E11" s="4">
        <v>4779</v>
      </c>
      <c r="F11" s="4">
        <v>45.4</v>
      </c>
      <c r="G11" s="4">
        <v>107.2</v>
      </c>
      <c r="H11" s="4">
        <v>85</v>
      </c>
      <c r="I11" s="4">
        <v>770.4</v>
      </c>
      <c r="J11" s="4" t="s">
        <v>19</v>
      </c>
      <c r="K11" s="5">
        <v>113009</v>
      </c>
      <c r="L11" s="4" t="s">
        <v>20</v>
      </c>
      <c r="M11" s="4" t="s">
        <v>0</v>
      </c>
      <c r="N11" s="4" t="s">
        <v>46</v>
      </c>
      <c r="O11" s="4">
        <v>84</v>
      </c>
      <c r="P11" s="4" t="s">
        <v>21</v>
      </c>
      <c r="Q11" s="4">
        <v>200</v>
      </c>
      <c r="R11" s="4" t="s">
        <v>0</v>
      </c>
      <c r="S11" s="4" t="s">
        <v>47</v>
      </c>
    </row>
    <row r="12" spans="2:19" ht="60">
      <c r="B12" s="3">
        <v>10</v>
      </c>
      <c r="C12" s="4" t="s">
        <v>48</v>
      </c>
      <c r="D12" s="4" t="s">
        <v>18</v>
      </c>
      <c r="E12" s="4">
        <v>4985</v>
      </c>
      <c r="F12" s="4">
        <v>47.4</v>
      </c>
      <c r="G12" s="4">
        <v>162.19999999999999</v>
      </c>
      <c r="H12" s="4">
        <v>74</v>
      </c>
      <c r="I12" s="4">
        <v>638.6</v>
      </c>
      <c r="J12" s="4" t="s">
        <v>19</v>
      </c>
      <c r="K12" s="5">
        <v>29627</v>
      </c>
      <c r="L12" s="4" t="s">
        <v>20</v>
      </c>
      <c r="M12" s="4" t="s">
        <v>0</v>
      </c>
      <c r="N12" s="4" t="s">
        <v>46</v>
      </c>
      <c r="O12" s="4">
        <v>84</v>
      </c>
      <c r="P12" s="4" t="s">
        <v>21</v>
      </c>
      <c r="Q12" s="4">
        <v>200</v>
      </c>
      <c r="R12" s="4" t="s">
        <v>0</v>
      </c>
      <c r="S12" s="4" t="s">
        <v>47</v>
      </c>
    </row>
    <row r="13" spans="2:19" ht="60">
      <c r="B13" s="3">
        <v>11</v>
      </c>
      <c r="C13" s="4" t="s">
        <v>49</v>
      </c>
      <c r="D13" s="4" t="s">
        <v>18</v>
      </c>
      <c r="E13" s="4">
        <v>5533</v>
      </c>
      <c r="F13" s="4">
        <v>52.6</v>
      </c>
      <c r="G13" s="4">
        <v>176.1</v>
      </c>
      <c r="H13" s="4">
        <v>81</v>
      </c>
      <c r="I13" s="4">
        <v>645</v>
      </c>
      <c r="J13" s="4" t="s">
        <v>19</v>
      </c>
      <c r="K13" s="5">
        <v>30385</v>
      </c>
      <c r="L13" s="4" t="s">
        <v>20</v>
      </c>
      <c r="M13" s="4" t="s">
        <v>0</v>
      </c>
      <c r="N13" s="4" t="s">
        <v>46</v>
      </c>
      <c r="O13" s="4">
        <v>84</v>
      </c>
      <c r="P13" s="4" t="s">
        <v>21</v>
      </c>
      <c r="Q13" s="4">
        <v>200</v>
      </c>
      <c r="R13" s="4" t="s">
        <v>0</v>
      </c>
      <c r="S13" s="4" t="s">
        <v>47</v>
      </c>
    </row>
    <row r="14" spans="2:19" ht="24">
      <c r="B14" s="3">
        <v>12</v>
      </c>
      <c r="C14" s="4" t="s">
        <v>50</v>
      </c>
      <c r="D14" s="4" t="s">
        <v>18</v>
      </c>
      <c r="E14" s="4">
        <v>7224</v>
      </c>
      <c r="F14" s="4">
        <v>76</v>
      </c>
      <c r="G14" s="4">
        <v>168.3</v>
      </c>
      <c r="H14" s="4">
        <v>20</v>
      </c>
      <c r="I14" s="4">
        <v>780.5</v>
      </c>
      <c r="J14" s="4" t="s">
        <v>19</v>
      </c>
      <c r="K14" s="5">
        <v>3828</v>
      </c>
      <c r="L14" s="7" t="s">
        <v>51</v>
      </c>
      <c r="M14" s="4" t="s">
        <v>0</v>
      </c>
      <c r="N14" s="4" t="s">
        <v>52</v>
      </c>
      <c r="O14" s="4">
        <v>53</v>
      </c>
      <c r="P14" s="4" t="s">
        <v>36</v>
      </c>
      <c r="Q14" s="4">
        <v>780</v>
      </c>
      <c r="R14" s="4" t="s">
        <v>0</v>
      </c>
      <c r="S14" s="4" t="s">
        <v>53</v>
      </c>
    </row>
    <row r="15" spans="2:19" ht="84">
      <c r="B15" s="3">
        <v>13</v>
      </c>
      <c r="C15" s="4" t="s">
        <v>54</v>
      </c>
      <c r="D15" s="4" t="s">
        <v>18</v>
      </c>
      <c r="E15" s="4">
        <v>4724</v>
      </c>
      <c r="F15" s="4">
        <v>48.3</v>
      </c>
      <c r="G15" s="4">
        <v>170.6</v>
      </c>
      <c r="H15" s="4">
        <v>90</v>
      </c>
      <c r="I15" s="4">
        <v>626.5</v>
      </c>
      <c r="J15" s="4" t="s">
        <v>19</v>
      </c>
      <c r="K15" s="5">
        <v>24245</v>
      </c>
      <c r="L15" s="4" t="s">
        <v>20</v>
      </c>
      <c r="M15" s="4" t="s">
        <v>0</v>
      </c>
      <c r="N15" s="4" t="s">
        <v>55</v>
      </c>
      <c r="O15" s="4">
        <v>56</v>
      </c>
      <c r="P15" s="4" t="s">
        <v>56</v>
      </c>
      <c r="Q15" s="4">
        <v>180</v>
      </c>
      <c r="R15" s="4" t="s">
        <v>19</v>
      </c>
      <c r="S15" s="4" t="s">
        <v>57</v>
      </c>
    </row>
    <row r="16" spans="2:19" ht="24">
      <c r="B16" s="3">
        <v>14</v>
      </c>
      <c r="C16" s="4" t="s">
        <v>58</v>
      </c>
      <c r="D16" s="4" t="s">
        <v>18</v>
      </c>
      <c r="E16" s="4">
        <v>693</v>
      </c>
      <c r="F16" s="4">
        <v>7.3</v>
      </c>
      <c r="G16" s="4">
        <v>35</v>
      </c>
      <c r="H16" s="4">
        <v>95</v>
      </c>
      <c r="I16" s="4">
        <v>249.6</v>
      </c>
      <c r="J16" s="4" t="s">
        <v>19</v>
      </c>
      <c r="K16" s="5">
        <v>10082</v>
      </c>
      <c r="L16" s="7" t="s">
        <v>51</v>
      </c>
      <c r="M16" s="4" t="s">
        <v>44</v>
      </c>
      <c r="N16" s="4" t="s">
        <v>59</v>
      </c>
      <c r="O16" s="4">
        <v>52</v>
      </c>
      <c r="P16" s="4" t="s">
        <v>36</v>
      </c>
      <c r="Q16" s="4">
        <v>200</v>
      </c>
      <c r="R16" s="4" t="s">
        <v>19</v>
      </c>
      <c r="S16" s="4" t="s">
        <v>37</v>
      </c>
    </row>
    <row r="17" spans="2:19" ht="24">
      <c r="B17" s="3">
        <v>15</v>
      </c>
      <c r="C17" s="4" t="s">
        <v>60</v>
      </c>
      <c r="D17" s="4" t="s">
        <v>18</v>
      </c>
      <c r="E17" s="4">
        <v>1097</v>
      </c>
      <c r="F17" s="4">
        <v>8.6</v>
      </c>
      <c r="G17" s="4">
        <v>32.799999999999997</v>
      </c>
      <c r="H17" s="4">
        <v>88</v>
      </c>
      <c r="I17" s="4">
        <v>683.3</v>
      </c>
      <c r="J17" s="4" t="s">
        <v>19</v>
      </c>
      <c r="K17" s="5">
        <v>13824</v>
      </c>
      <c r="L17" s="7" t="s">
        <v>61</v>
      </c>
      <c r="M17" s="4" t="s">
        <v>0</v>
      </c>
      <c r="N17" s="4" t="s">
        <v>21</v>
      </c>
      <c r="O17" s="4">
        <v>20</v>
      </c>
      <c r="P17" s="4" t="s">
        <v>62</v>
      </c>
      <c r="Q17" s="4">
        <v>210</v>
      </c>
      <c r="R17" s="4" t="s">
        <v>0</v>
      </c>
      <c r="S17" s="4" t="s">
        <v>37</v>
      </c>
    </row>
    <row r="18" spans="2:19">
      <c r="B18" s="3">
        <v>16</v>
      </c>
      <c r="C18" s="4" t="s">
        <v>63</v>
      </c>
      <c r="D18" s="4" t="s">
        <v>18</v>
      </c>
      <c r="E18" s="4">
        <v>1676</v>
      </c>
      <c r="F18" s="4">
        <v>16</v>
      </c>
      <c r="G18" s="4">
        <v>48.9</v>
      </c>
      <c r="H18" s="4">
        <v>92</v>
      </c>
      <c r="I18" s="4">
        <v>732</v>
      </c>
      <c r="J18" s="4" t="s">
        <v>19</v>
      </c>
      <c r="K18" s="5">
        <v>2797</v>
      </c>
      <c r="L18" s="4" t="s">
        <v>20</v>
      </c>
      <c r="M18" s="4" t="s">
        <v>19</v>
      </c>
      <c r="N18" s="4" t="s">
        <v>39</v>
      </c>
      <c r="O18" s="4">
        <v>30</v>
      </c>
      <c r="P18" s="4" t="s">
        <v>36</v>
      </c>
      <c r="Q18" s="4">
        <v>600</v>
      </c>
      <c r="R18" s="4" t="s">
        <v>19</v>
      </c>
      <c r="S18" s="4" t="s">
        <v>37</v>
      </c>
    </row>
    <row r="19" spans="2:19" ht="48">
      <c r="B19" s="3">
        <v>17</v>
      </c>
      <c r="C19" s="4" t="s">
        <v>64</v>
      </c>
      <c r="D19" s="4" t="s">
        <v>18</v>
      </c>
      <c r="E19" s="4">
        <v>3834</v>
      </c>
      <c r="F19" s="4">
        <v>45.3</v>
      </c>
      <c r="G19" s="4">
        <v>101.1</v>
      </c>
      <c r="H19" s="4">
        <v>99</v>
      </c>
      <c r="I19" s="4">
        <v>788.1</v>
      </c>
      <c r="J19" s="4" t="s">
        <v>19</v>
      </c>
      <c r="K19" s="5">
        <v>1720</v>
      </c>
      <c r="L19" s="7" t="s">
        <v>61</v>
      </c>
      <c r="M19" s="4" t="s">
        <v>19</v>
      </c>
      <c r="N19" s="4" t="s">
        <v>21</v>
      </c>
      <c r="O19" s="4">
        <v>41</v>
      </c>
      <c r="P19" s="4" t="s">
        <v>36</v>
      </c>
      <c r="Q19" s="4">
        <v>280</v>
      </c>
      <c r="R19" s="4" t="s">
        <v>19</v>
      </c>
      <c r="S19" s="4" t="s">
        <v>65</v>
      </c>
    </row>
    <row r="20" spans="2:19">
      <c r="B20" s="3">
        <v>18</v>
      </c>
      <c r="C20" s="4" t="s">
        <v>66</v>
      </c>
      <c r="D20" s="4" t="s">
        <v>18</v>
      </c>
      <c r="E20" s="4">
        <v>2034</v>
      </c>
      <c r="F20" s="4">
        <v>20.7</v>
      </c>
      <c r="G20" s="4">
        <v>52.2</v>
      </c>
      <c r="H20" s="4">
        <v>66</v>
      </c>
      <c r="I20" s="4">
        <v>781</v>
      </c>
      <c r="J20" s="4" t="s">
        <v>19</v>
      </c>
      <c r="K20" s="4">
        <v>85</v>
      </c>
      <c r="L20" s="4" t="s">
        <v>44</v>
      </c>
      <c r="M20" s="4" t="s">
        <v>0</v>
      </c>
      <c r="N20" s="4" t="s">
        <v>39</v>
      </c>
      <c r="O20" s="4">
        <v>3</v>
      </c>
      <c r="P20" s="4" t="s">
        <v>36</v>
      </c>
      <c r="Q20" s="4">
        <v>160</v>
      </c>
      <c r="R20" s="4" t="s">
        <v>0</v>
      </c>
      <c r="S20" s="4" t="s">
        <v>37</v>
      </c>
    </row>
    <row r="21" spans="2:19" ht="15.75" customHeight="1">
      <c r="B21" s="3">
        <v>19</v>
      </c>
      <c r="C21" s="4" t="s">
        <v>67</v>
      </c>
      <c r="D21" s="4" t="s">
        <v>18</v>
      </c>
      <c r="E21" s="4">
        <v>1067</v>
      </c>
      <c r="F21" s="4">
        <v>11.2</v>
      </c>
      <c r="G21" s="4">
        <v>39.4</v>
      </c>
      <c r="H21" s="4">
        <v>32</v>
      </c>
      <c r="I21" s="4">
        <v>700.6</v>
      </c>
      <c r="J21" s="4" t="s">
        <v>19</v>
      </c>
      <c r="K21" s="4">
        <v>111</v>
      </c>
      <c r="L21" s="7" t="s">
        <v>61</v>
      </c>
      <c r="M21" s="4" t="s">
        <v>0</v>
      </c>
      <c r="N21" s="4" t="s">
        <v>39</v>
      </c>
      <c r="O21" s="4">
        <v>14</v>
      </c>
      <c r="P21" s="4" t="s">
        <v>36</v>
      </c>
      <c r="Q21" s="4">
        <v>85</v>
      </c>
      <c r="R21" s="4" t="s">
        <v>0</v>
      </c>
      <c r="S21" s="4" t="s">
        <v>37</v>
      </c>
    </row>
    <row r="22" spans="2:19" ht="15.75" customHeight="1">
      <c r="B22" s="3">
        <v>20</v>
      </c>
      <c r="C22" s="4" t="s">
        <v>68</v>
      </c>
      <c r="D22" s="4" t="s">
        <v>18</v>
      </c>
      <c r="E22" s="4">
        <v>710</v>
      </c>
      <c r="F22" s="4">
        <v>0.9</v>
      </c>
      <c r="G22" s="4">
        <v>25.6</v>
      </c>
      <c r="H22" s="4">
        <v>99</v>
      </c>
      <c r="I22" s="4">
        <v>16.7</v>
      </c>
      <c r="J22" s="4" t="s">
        <v>19</v>
      </c>
      <c r="K22" s="5">
        <v>1003</v>
      </c>
      <c r="L22" s="7" t="s">
        <v>51</v>
      </c>
      <c r="M22" s="4" t="s">
        <v>0</v>
      </c>
      <c r="N22" s="4" t="s">
        <v>69</v>
      </c>
      <c r="O22" s="4">
        <v>15</v>
      </c>
      <c r="P22" s="4" t="s">
        <v>36</v>
      </c>
      <c r="Q22" s="4">
        <v>45</v>
      </c>
      <c r="R22" s="4" t="s">
        <v>0</v>
      </c>
      <c r="S22" s="4" t="s">
        <v>70</v>
      </c>
    </row>
    <row r="23" spans="2:19" ht="15.75" customHeight="1">
      <c r="B23" s="3">
        <v>21</v>
      </c>
      <c r="C23" s="4" t="s">
        <v>71</v>
      </c>
      <c r="D23" s="4" t="s">
        <v>18</v>
      </c>
      <c r="E23" s="4">
        <v>450</v>
      </c>
      <c r="F23" s="4">
        <v>2.8</v>
      </c>
      <c r="G23" s="4">
        <v>27.2</v>
      </c>
      <c r="H23" s="4">
        <v>98</v>
      </c>
      <c r="I23" s="4">
        <v>58.2</v>
      </c>
      <c r="J23" s="4" t="s">
        <v>19</v>
      </c>
      <c r="K23" s="4">
        <v>989</v>
      </c>
      <c r="L23" s="4" t="s">
        <v>44</v>
      </c>
      <c r="M23" s="4" t="s">
        <v>0</v>
      </c>
      <c r="N23" s="4" t="s">
        <v>72</v>
      </c>
      <c r="O23" s="4">
        <v>20</v>
      </c>
      <c r="P23" s="4" t="s">
        <v>36</v>
      </c>
      <c r="Q23" s="4">
        <v>40</v>
      </c>
      <c r="R23" s="4" t="s">
        <v>0</v>
      </c>
      <c r="S23" s="4" t="s">
        <v>37</v>
      </c>
    </row>
    <row r="24" spans="2:19" ht="15.75" customHeight="1">
      <c r="B24" s="3">
        <v>22</v>
      </c>
      <c r="C24" s="4" t="s">
        <v>73</v>
      </c>
      <c r="D24" s="4" t="s">
        <v>18</v>
      </c>
      <c r="E24" s="4">
        <v>1219</v>
      </c>
      <c r="F24" s="4">
        <v>15.2</v>
      </c>
      <c r="G24" s="4">
        <v>43.3</v>
      </c>
      <c r="H24" s="4">
        <v>99</v>
      </c>
      <c r="I24" s="4">
        <v>760.3</v>
      </c>
      <c r="J24" s="4" t="s">
        <v>74</v>
      </c>
      <c r="K24" s="4">
        <v>202</v>
      </c>
      <c r="L24" s="4" t="s">
        <v>20</v>
      </c>
      <c r="M24" s="4" t="s">
        <v>19</v>
      </c>
      <c r="N24" s="4" t="s">
        <v>39</v>
      </c>
      <c r="O24" s="4">
        <v>12</v>
      </c>
      <c r="P24" s="4" t="s">
        <v>36</v>
      </c>
      <c r="Q24" s="4">
        <v>180</v>
      </c>
      <c r="R24" s="4" t="s">
        <v>19</v>
      </c>
      <c r="S24" s="4" t="s">
        <v>75</v>
      </c>
    </row>
    <row r="25" spans="2:19" ht="15.75" customHeight="1">
      <c r="B25" s="3">
        <v>23</v>
      </c>
      <c r="C25" s="4" t="s">
        <v>76</v>
      </c>
      <c r="D25" s="4" t="s">
        <v>18</v>
      </c>
      <c r="E25" s="4">
        <v>180</v>
      </c>
      <c r="F25" s="4">
        <v>2.2999999999999998</v>
      </c>
      <c r="G25" s="4">
        <v>118.3</v>
      </c>
      <c r="H25" s="4">
        <v>95</v>
      </c>
      <c r="I25" s="4">
        <v>32.6</v>
      </c>
      <c r="J25" s="4" t="s">
        <v>0</v>
      </c>
      <c r="K25" s="4">
        <v>158</v>
      </c>
      <c r="L25" s="4" t="s">
        <v>20</v>
      </c>
      <c r="M25" s="4" t="s">
        <v>19</v>
      </c>
      <c r="N25" s="4" t="s">
        <v>39</v>
      </c>
      <c r="O25" s="4">
        <v>70</v>
      </c>
      <c r="P25" s="4" t="s">
        <v>77</v>
      </c>
      <c r="Q25" s="4" t="s">
        <v>78</v>
      </c>
      <c r="R25" s="4" t="s">
        <v>0</v>
      </c>
      <c r="S25" s="4" t="s">
        <v>79</v>
      </c>
    </row>
    <row r="26" spans="2:19" ht="15.75" customHeight="1">
      <c r="B26" s="3">
        <v>24</v>
      </c>
      <c r="C26" s="4" t="s">
        <v>80</v>
      </c>
      <c r="D26" s="4" t="s">
        <v>18</v>
      </c>
      <c r="E26" s="4">
        <v>2800</v>
      </c>
      <c r="F26" s="4">
        <v>27.4</v>
      </c>
      <c r="G26" s="4">
        <v>100</v>
      </c>
      <c r="H26" s="4">
        <v>57</v>
      </c>
      <c r="I26" s="4">
        <v>627.29999999999995</v>
      </c>
      <c r="J26" s="4" t="s">
        <v>19</v>
      </c>
      <c r="K26" s="6"/>
      <c r="L26" s="4" t="s">
        <v>20</v>
      </c>
      <c r="M26" s="4" t="s">
        <v>44</v>
      </c>
      <c r="N26" s="4" t="s">
        <v>52</v>
      </c>
      <c r="O26" s="6"/>
      <c r="P26" s="4" t="s">
        <v>36</v>
      </c>
      <c r="Q26" s="6"/>
      <c r="R26" s="4" t="s">
        <v>44</v>
      </c>
      <c r="S26" s="4" t="s">
        <v>81</v>
      </c>
    </row>
    <row r="27" spans="2:19" ht="15.75" customHeight="1">
      <c r="B27" s="3">
        <v>25</v>
      </c>
      <c r="C27" s="4" t="s">
        <v>82</v>
      </c>
      <c r="D27" s="4" t="s">
        <v>83</v>
      </c>
      <c r="E27" s="4">
        <v>1234</v>
      </c>
      <c r="F27" s="4">
        <v>6.4</v>
      </c>
      <c r="G27" s="4">
        <v>56</v>
      </c>
      <c r="H27" s="4">
        <v>74.239999999999995</v>
      </c>
      <c r="I27" s="4">
        <v>141</v>
      </c>
      <c r="J27" s="4" t="s">
        <v>19</v>
      </c>
      <c r="K27" s="6"/>
      <c r="L27" s="4" t="s">
        <v>44</v>
      </c>
      <c r="M27" s="4" t="s">
        <v>44</v>
      </c>
      <c r="N27" s="4" t="s">
        <v>39</v>
      </c>
      <c r="O27" s="6"/>
      <c r="P27" s="6"/>
      <c r="Q27" s="6"/>
      <c r="R27" s="4" t="s">
        <v>44</v>
      </c>
      <c r="S27" s="4" t="s">
        <v>84</v>
      </c>
    </row>
    <row r="28" spans="2:19" ht="15.75" customHeight="1">
      <c r="B28" s="3">
        <v>26</v>
      </c>
      <c r="C28" s="4" t="s">
        <v>85</v>
      </c>
      <c r="D28" s="4" t="s">
        <v>83</v>
      </c>
      <c r="E28" s="4">
        <v>900</v>
      </c>
      <c r="F28" s="4">
        <v>5.8</v>
      </c>
      <c r="G28" s="4">
        <v>56</v>
      </c>
      <c r="H28" s="4">
        <v>60</v>
      </c>
      <c r="I28" s="4">
        <v>122.7</v>
      </c>
      <c r="J28" s="4" t="s">
        <v>19</v>
      </c>
      <c r="K28" s="6"/>
      <c r="L28" s="4" t="s">
        <v>86</v>
      </c>
      <c r="M28" s="4" t="s">
        <v>0</v>
      </c>
      <c r="N28" s="4" t="s">
        <v>87</v>
      </c>
      <c r="O28" s="4">
        <v>90</v>
      </c>
      <c r="P28" s="4" t="s">
        <v>88</v>
      </c>
      <c r="Q28" s="4">
        <v>400</v>
      </c>
      <c r="R28" s="4" t="s">
        <v>0</v>
      </c>
      <c r="S28" s="4" t="s">
        <v>89</v>
      </c>
    </row>
    <row r="29" spans="2:19" ht="15.75" customHeight="1">
      <c r="B29" s="3">
        <v>27</v>
      </c>
      <c r="C29" s="4" t="s">
        <v>90</v>
      </c>
      <c r="D29" s="4" t="s">
        <v>91</v>
      </c>
      <c r="E29" s="4">
        <v>2400</v>
      </c>
      <c r="F29" s="4">
        <v>36</v>
      </c>
      <c r="G29" s="4">
        <v>100</v>
      </c>
      <c r="H29" s="4">
        <v>97</v>
      </c>
      <c r="I29" s="4">
        <v>723.7</v>
      </c>
      <c r="J29" s="4" t="s">
        <v>74</v>
      </c>
      <c r="K29" s="6"/>
      <c r="L29" s="7" t="s">
        <v>92</v>
      </c>
      <c r="M29" s="4" t="s">
        <v>19</v>
      </c>
      <c r="N29" s="4" t="s">
        <v>93</v>
      </c>
      <c r="O29" s="4">
        <v>80</v>
      </c>
      <c r="P29" s="4" t="s">
        <v>94</v>
      </c>
      <c r="Q29" s="4">
        <v>500</v>
      </c>
      <c r="R29" s="4" t="s">
        <v>19</v>
      </c>
      <c r="S29" s="4" t="s">
        <v>95</v>
      </c>
    </row>
    <row r="30" spans="2:19" ht="15.75" customHeight="1">
      <c r="B30" s="3">
        <v>28</v>
      </c>
      <c r="C30" s="4" t="s">
        <v>96</v>
      </c>
      <c r="D30" s="4" t="s">
        <v>97</v>
      </c>
      <c r="E30" s="4">
        <v>200</v>
      </c>
      <c r="F30" s="4">
        <v>0.8</v>
      </c>
      <c r="G30" s="4">
        <v>25</v>
      </c>
      <c r="H30" s="4">
        <v>99.5</v>
      </c>
      <c r="I30" s="4">
        <v>14.8</v>
      </c>
      <c r="J30" s="4" t="s">
        <v>0</v>
      </c>
      <c r="K30" s="6"/>
      <c r="L30" s="4" t="s">
        <v>98</v>
      </c>
      <c r="M30" s="4" t="s">
        <v>44</v>
      </c>
      <c r="N30" s="4" t="s">
        <v>99</v>
      </c>
      <c r="O30" s="4">
        <v>260</v>
      </c>
      <c r="P30" s="4" t="s">
        <v>100</v>
      </c>
      <c r="Q30" s="4">
        <v>20</v>
      </c>
      <c r="R30" s="4" t="s">
        <v>44</v>
      </c>
      <c r="S30" s="4" t="s">
        <v>101</v>
      </c>
    </row>
    <row r="31" spans="2:19" ht="15.75" customHeight="1">
      <c r="B31" s="3">
        <v>29</v>
      </c>
      <c r="C31" s="4" t="s">
        <v>102</v>
      </c>
      <c r="D31" s="4" t="s">
        <v>103</v>
      </c>
      <c r="E31" s="4">
        <v>2300</v>
      </c>
      <c r="F31" s="4">
        <v>20.9</v>
      </c>
      <c r="G31" s="4">
        <v>80</v>
      </c>
      <c r="H31" s="4">
        <v>50</v>
      </c>
      <c r="I31" s="4">
        <v>615.70000000000005</v>
      </c>
      <c r="J31" s="4" t="s">
        <v>19</v>
      </c>
      <c r="K31" s="6"/>
      <c r="L31" s="4" t="s">
        <v>35</v>
      </c>
      <c r="M31" s="4" t="s">
        <v>19</v>
      </c>
      <c r="N31" s="4" t="s">
        <v>39</v>
      </c>
      <c r="O31" s="4">
        <v>100</v>
      </c>
      <c r="P31" s="4" t="s">
        <v>104</v>
      </c>
      <c r="Q31" s="4">
        <v>400</v>
      </c>
      <c r="R31" s="4" t="s">
        <v>0</v>
      </c>
      <c r="S31" s="4" t="s">
        <v>105</v>
      </c>
    </row>
    <row r="32" spans="2:19" ht="15.75" customHeight="1">
      <c r="B32" s="3">
        <v>30</v>
      </c>
      <c r="C32" s="4" t="s">
        <v>106</v>
      </c>
      <c r="D32" s="4" t="s">
        <v>107</v>
      </c>
      <c r="E32" s="4">
        <v>465</v>
      </c>
      <c r="F32" s="4">
        <v>4.5</v>
      </c>
      <c r="G32" s="4">
        <v>20</v>
      </c>
      <c r="H32" s="4">
        <v>97</v>
      </c>
      <c r="I32" s="4">
        <v>116.9</v>
      </c>
      <c r="J32" s="4" t="s">
        <v>19</v>
      </c>
      <c r="K32" s="6"/>
      <c r="L32" s="7" t="s">
        <v>61</v>
      </c>
      <c r="M32" s="4" t="s">
        <v>0</v>
      </c>
      <c r="N32" s="4" t="s">
        <v>108</v>
      </c>
      <c r="O32" s="4">
        <v>300</v>
      </c>
      <c r="P32" s="4" t="s">
        <v>109</v>
      </c>
      <c r="Q32" s="4" t="s">
        <v>110</v>
      </c>
      <c r="R32" s="4" t="s">
        <v>0</v>
      </c>
      <c r="S32" s="4" t="s">
        <v>111</v>
      </c>
    </row>
    <row r="33" spans="2:19" ht="15.75" customHeight="1">
      <c r="B33" s="3">
        <v>31</v>
      </c>
      <c r="C33" s="4" t="s">
        <v>112</v>
      </c>
      <c r="D33" s="4" t="s">
        <v>113</v>
      </c>
      <c r="E33" s="4">
        <v>1000</v>
      </c>
      <c r="F33" s="6"/>
      <c r="G33" s="4">
        <v>200</v>
      </c>
      <c r="H33" s="4">
        <v>98</v>
      </c>
      <c r="I33" s="4">
        <v>121.9</v>
      </c>
      <c r="J33" s="4" t="s">
        <v>0</v>
      </c>
      <c r="K33" s="6"/>
      <c r="L33" s="7" t="s">
        <v>114</v>
      </c>
      <c r="M33" s="4" t="s">
        <v>19</v>
      </c>
      <c r="N33" s="4" t="s">
        <v>21</v>
      </c>
      <c r="O33" s="6"/>
      <c r="P33" s="4" t="s">
        <v>115</v>
      </c>
      <c r="Q33" s="6"/>
      <c r="R33" s="4" t="s">
        <v>44</v>
      </c>
      <c r="S33" s="4" t="s">
        <v>116</v>
      </c>
    </row>
    <row r="34" spans="2:19" ht="15.75" customHeight="1">
      <c r="B34" s="3">
        <v>32</v>
      </c>
      <c r="C34" s="4" t="s">
        <v>117</v>
      </c>
      <c r="D34" s="4" t="s">
        <v>113</v>
      </c>
      <c r="E34" s="4">
        <v>2715</v>
      </c>
      <c r="F34" s="4">
        <v>27.1</v>
      </c>
      <c r="G34" s="4">
        <v>100.4</v>
      </c>
      <c r="H34" s="4">
        <v>98.85</v>
      </c>
      <c r="I34" s="4">
        <v>621.20000000000005</v>
      </c>
      <c r="J34" s="4" t="s">
        <v>19</v>
      </c>
      <c r="K34" s="6"/>
      <c r="L34" s="4" t="s">
        <v>35</v>
      </c>
      <c r="M34" s="4" t="s">
        <v>0</v>
      </c>
      <c r="N34" s="4" t="s">
        <v>35</v>
      </c>
      <c r="O34" s="4">
        <v>1432</v>
      </c>
      <c r="P34" s="4" t="s">
        <v>118</v>
      </c>
      <c r="Q34" s="4">
        <v>600</v>
      </c>
      <c r="R34" s="4" t="s">
        <v>0</v>
      </c>
      <c r="S34" s="4" t="s">
        <v>119</v>
      </c>
    </row>
    <row r="35" spans="2:19" ht="15.75" customHeight="1">
      <c r="B35" s="3">
        <v>33</v>
      </c>
      <c r="C35" s="4" t="s">
        <v>120</v>
      </c>
      <c r="D35" s="4" t="s">
        <v>113</v>
      </c>
      <c r="E35" s="4">
        <v>2600</v>
      </c>
      <c r="F35" s="4">
        <v>34.5</v>
      </c>
      <c r="G35" s="4">
        <v>142.1</v>
      </c>
      <c r="H35" s="4">
        <v>90</v>
      </c>
      <c r="I35" s="4">
        <v>571.29999999999995</v>
      </c>
      <c r="J35" s="4" t="s">
        <v>74</v>
      </c>
      <c r="K35" s="6"/>
      <c r="L35" s="4" t="s">
        <v>35</v>
      </c>
      <c r="M35" s="4" t="s">
        <v>0</v>
      </c>
      <c r="N35" s="4" t="s">
        <v>35</v>
      </c>
      <c r="O35" s="4">
        <v>280</v>
      </c>
      <c r="P35" s="4" t="s">
        <v>121</v>
      </c>
      <c r="Q35" s="4">
        <v>300</v>
      </c>
      <c r="R35" s="4" t="s">
        <v>0</v>
      </c>
      <c r="S35" s="4" t="s">
        <v>119</v>
      </c>
    </row>
    <row r="36" spans="2:19" ht="15.75" customHeight="1">
      <c r="B36" s="3">
        <v>34</v>
      </c>
      <c r="C36" s="4" t="s">
        <v>122</v>
      </c>
      <c r="D36" s="4" t="s">
        <v>113</v>
      </c>
      <c r="E36" s="4">
        <v>694</v>
      </c>
      <c r="F36" s="4">
        <v>6.3</v>
      </c>
      <c r="G36" s="4">
        <v>55.5</v>
      </c>
      <c r="H36" s="4">
        <v>97</v>
      </c>
      <c r="I36" s="4">
        <v>138.4</v>
      </c>
      <c r="J36" s="4" t="s">
        <v>19</v>
      </c>
      <c r="K36" s="6"/>
      <c r="L36" s="4" t="s">
        <v>35</v>
      </c>
      <c r="M36" s="4" t="s">
        <v>0</v>
      </c>
      <c r="N36" s="4" t="s">
        <v>35</v>
      </c>
      <c r="O36" s="4">
        <v>100</v>
      </c>
      <c r="P36" s="4" t="s">
        <v>123</v>
      </c>
      <c r="Q36" s="4">
        <v>300</v>
      </c>
      <c r="R36" s="4" t="s">
        <v>0</v>
      </c>
      <c r="S36" s="4" t="s">
        <v>124</v>
      </c>
    </row>
    <row r="37" spans="2:19" ht="15.75" customHeight="1">
      <c r="B37" s="3">
        <v>35</v>
      </c>
      <c r="C37" s="4" t="s">
        <v>125</v>
      </c>
      <c r="D37" s="4" t="s">
        <v>113</v>
      </c>
      <c r="E37" s="4">
        <v>4262</v>
      </c>
      <c r="F37" s="4">
        <v>61.8</v>
      </c>
      <c r="G37" s="4">
        <v>81</v>
      </c>
      <c r="H37" s="4">
        <v>97</v>
      </c>
      <c r="I37" s="4">
        <v>919.3</v>
      </c>
      <c r="J37" s="4" t="s">
        <v>19</v>
      </c>
      <c r="K37" s="6"/>
      <c r="L37" s="4" t="s">
        <v>35</v>
      </c>
      <c r="M37" s="4" t="s">
        <v>0</v>
      </c>
      <c r="N37" s="4" t="s">
        <v>35</v>
      </c>
      <c r="O37" s="4">
        <v>192</v>
      </c>
      <c r="P37" s="6"/>
      <c r="Q37" s="6"/>
      <c r="R37" s="4" t="s">
        <v>0</v>
      </c>
      <c r="S37" s="4" t="s">
        <v>119</v>
      </c>
    </row>
    <row r="38" spans="2:19" ht="15.75" customHeight="1">
      <c r="B38" s="3">
        <v>36</v>
      </c>
      <c r="C38" s="4" t="s">
        <v>126</v>
      </c>
      <c r="D38" s="4" t="s">
        <v>113</v>
      </c>
      <c r="E38" s="4">
        <v>3600</v>
      </c>
      <c r="F38" s="4">
        <v>62</v>
      </c>
      <c r="G38" s="4">
        <v>117.2</v>
      </c>
      <c r="H38" s="4">
        <v>92.2</v>
      </c>
      <c r="I38" s="4">
        <v>830.4</v>
      </c>
      <c r="J38" s="4" t="s">
        <v>0</v>
      </c>
      <c r="K38" s="6"/>
      <c r="L38" s="4" t="s">
        <v>35</v>
      </c>
      <c r="M38" s="4" t="s">
        <v>19</v>
      </c>
      <c r="N38" s="4" t="s">
        <v>127</v>
      </c>
      <c r="O38" s="4">
        <v>240</v>
      </c>
      <c r="P38" s="4" t="s">
        <v>128</v>
      </c>
      <c r="Q38" s="4">
        <v>300</v>
      </c>
      <c r="R38" s="4" t="s">
        <v>0</v>
      </c>
      <c r="S38" s="4" t="s">
        <v>129</v>
      </c>
    </row>
    <row r="39" spans="2:19" ht="15.75" customHeight="1">
      <c r="B39" s="3">
        <v>37</v>
      </c>
      <c r="C39" s="4" t="s">
        <v>130</v>
      </c>
      <c r="D39" s="4" t="s">
        <v>113</v>
      </c>
      <c r="E39" s="4">
        <v>1163</v>
      </c>
      <c r="F39" s="4">
        <v>11.7</v>
      </c>
      <c r="G39" s="4">
        <v>123</v>
      </c>
      <c r="H39" s="4">
        <v>99.7</v>
      </c>
      <c r="I39" s="4">
        <v>199.7</v>
      </c>
      <c r="J39" s="4" t="s">
        <v>0</v>
      </c>
      <c r="K39" s="6"/>
      <c r="L39" s="4" t="s">
        <v>35</v>
      </c>
      <c r="M39" s="4" t="s">
        <v>19</v>
      </c>
      <c r="N39" s="4" t="s">
        <v>35</v>
      </c>
      <c r="O39" s="4">
        <v>427</v>
      </c>
      <c r="P39" s="4" t="s">
        <v>131</v>
      </c>
      <c r="Q39" s="4">
        <v>150</v>
      </c>
      <c r="R39" s="4" t="s">
        <v>0</v>
      </c>
      <c r="S39" s="4" t="s">
        <v>119</v>
      </c>
    </row>
    <row r="40" spans="2:19" ht="15.75" customHeight="1">
      <c r="B40" s="3">
        <v>38</v>
      </c>
      <c r="C40" s="4" t="s">
        <v>132</v>
      </c>
      <c r="D40" s="4" t="s">
        <v>107</v>
      </c>
      <c r="E40" s="4">
        <v>2700</v>
      </c>
      <c r="F40" s="7" t="s">
        <v>133</v>
      </c>
      <c r="G40" s="4">
        <v>115</v>
      </c>
      <c r="H40" s="4">
        <v>91</v>
      </c>
      <c r="I40" s="4">
        <v>559.70000000000005</v>
      </c>
      <c r="J40" s="4" t="s">
        <v>19</v>
      </c>
      <c r="K40" s="6"/>
      <c r="L40" s="4" t="s">
        <v>134</v>
      </c>
      <c r="M40" s="4" t="s">
        <v>19</v>
      </c>
      <c r="N40" s="4" t="s">
        <v>35</v>
      </c>
      <c r="O40" s="4">
        <v>65</v>
      </c>
      <c r="P40" s="4" t="s">
        <v>135</v>
      </c>
      <c r="Q40" s="6"/>
      <c r="R40" s="4" t="s">
        <v>44</v>
      </c>
      <c r="S40" s="4" t="s">
        <v>136</v>
      </c>
    </row>
    <row r="41" spans="2:19" ht="15.75" customHeight="1">
      <c r="B41" s="3">
        <v>39</v>
      </c>
      <c r="C41" s="4" t="s">
        <v>137</v>
      </c>
      <c r="D41" s="4" t="s">
        <v>138</v>
      </c>
      <c r="E41" s="4">
        <v>3200</v>
      </c>
      <c r="F41" s="4">
        <v>29.5</v>
      </c>
      <c r="G41" s="4">
        <v>164</v>
      </c>
      <c r="H41" s="4">
        <v>81</v>
      </c>
      <c r="I41" s="4">
        <v>451.6</v>
      </c>
      <c r="J41" s="4" t="s">
        <v>19</v>
      </c>
      <c r="K41" s="6"/>
      <c r="L41" s="4" t="s">
        <v>139</v>
      </c>
      <c r="M41" s="4" t="s">
        <v>44</v>
      </c>
      <c r="N41" s="4" t="s">
        <v>39</v>
      </c>
      <c r="O41" s="4">
        <v>100</v>
      </c>
      <c r="P41" s="6"/>
      <c r="Q41" s="6"/>
      <c r="R41" s="4" t="s">
        <v>19</v>
      </c>
      <c r="S41" s="4" t="s">
        <v>140</v>
      </c>
    </row>
    <row r="42" spans="2:19" ht="15.75" customHeight="1">
      <c r="B42" s="3">
        <v>40</v>
      </c>
      <c r="C42" s="4" t="s">
        <v>141</v>
      </c>
      <c r="D42" s="4" t="s">
        <v>138</v>
      </c>
      <c r="E42" s="4">
        <v>1460</v>
      </c>
      <c r="F42" s="6"/>
      <c r="G42" s="6"/>
      <c r="H42" s="4">
        <v>90</v>
      </c>
      <c r="I42" s="4">
        <v>450.8</v>
      </c>
      <c r="J42" s="4" t="s">
        <v>19</v>
      </c>
      <c r="K42" s="6"/>
      <c r="L42" s="7" t="s">
        <v>61</v>
      </c>
      <c r="M42" s="4" t="s">
        <v>19</v>
      </c>
      <c r="N42" s="4" t="s">
        <v>142</v>
      </c>
      <c r="O42" s="4">
        <v>250</v>
      </c>
      <c r="P42" s="4" t="s">
        <v>143</v>
      </c>
      <c r="Q42" s="4">
        <v>300</v>
      </c>
      <c r="R42" s="4" t="s">
        <v>19</v>
      </c>
      <c r="S42" s="4" t="s">
        <v>111</v>
      </c>
    </row>
    <row r="43" spans="2:19" ht="15.75" customHeight="1">
      <c r="B43" s="3">
        <v>41</v>
      </c>
      <c r="C43" s="4" t="s">
        <v>144</v>
      </c>
      <c r="D43" s="4" t="s">
        <v>145</v>
      </c>
      <c r="E43" s="4">
        <v>1600</v>
      </c>
      <c r="F43" s="7" t="s">
        <v>146</v>
      </c>
      <c r="G43" s="4">
        <v>77</v>
      </c>
      <c r="H43" s="4">
        <v>99</v>
      </c>
      <c r="I43" s="4">
        <v>624.29999999999995</v>
      </c>
      <c r="J43" s="4" t="s">
        <v>19</v>
      </c>
      <c r="K43" s="6"/>
      <c r="L43" s="4" t="s">
        <v>147</v>
      </c>
      <c r="M43" s="4" t="s">
        <v>19</v>
      </c>
      <c r="N43" s="4" t="s">
        <v>148</v>
      </c>
      <c r="O43" s="4">
        <v>50</v>
      </c>
      <c r="P43" s="4" t="s">
        <v>123</v>
      </c>
      <c r="Q43" s="4">
        <v>200</v>
      </c>
      <c r="R43" s="4" t="s">
        <v>0</v>
      </c>
      <c r="S43" s="4" t="s">
        <v>149</v>
      </c>
    </row>
    <row r="44" spans="2:19" ht="15.75" customHeight="1">
      <c r="B44" s="3">
        <v>42</v>
      </c>
      <c r="C44" s="4" t="s">
        <v>150</v>
      </c>
      <c r="D44" s="4" t="s">
        <v>145</v>
      </c>
      <c r="E44" s="4">
        <v>2044</v>
      </c>
      <c r="F44" s="7" t="s">
        <v>151</v>
      </c>
      <c r="G44" s="4">
        <v>93</v>
      </c>
      <c r="H44" s="4">
        <v>88</v>
      </c>
      <c r="I44" s="4">
        <v>612.4</v>
      </c>
      <c r="J44" s="4" t="s">
        <v>19</v>
      </c>
      <c r="K44" s="6"/>
      <c r="L44" s="7" t="s">
        <v>152</v>
      </c>
      <c r="M44" s="4" t="s">
        <v>19</v>
      </c>
      <c r="N44" s="4" t="s">
        <v>35</v>
      </c>
      <c r="O44" s="6"/>
      <c r="P44" s="4" t="s">
        <v>153</v>
      </c>
      <c r="Q44" s="6"/>
      <c r="R44" s="4" t="s">
        <v>0</v>
      </c>
      <c r="S44" s="4" t="s">
        <v>154</v>
      </c>
    </row>
    <row r="45" spans="2:19" ht="15.75" customHeight="1">
      <c r="B45" s="3">
        <v>43</v>
      </c>
      <c r="C45" s="4" t="s">
        <v>155</v>
      </c>
      <c r="D45" s="4" t="s">
        <v>145</v>
      </c>
      <c r="E45" s="4">
        <v>2442</v>
      </c>
      <c r="F45" s="7" t="s">
        <v>156</v>
      </c>
      <c r="G45" s="4">
        <v>100</v>
      </c>
      <c r="H45" s="4">
        <v>95.09</v>
      </c>
      <c r="I45" s="4">
        <v>143.5</v>
      </c>
      <c r="J45" s="4" t="s">
        <v>19</v>
      </c>
      <c r="K45" s="6"/>
      <c r="L45" s="7" t="s">
        <v>157</v>
      </c>
      <c r="M45" s="4" t="s">
        <v>19</v>
      </c>
      <c r="N45" s="4" t="s">
        <v>158</v>
      </c>
      <c r="O45" s="4">
        <v>20</v>
      </c>
      <c r="P45" s="4" t="s">
        <v>123</v>
      </c>
      <c r="Q45" s="4">
        <v>100</v>
      </c>
      <c r="R45" s="4" t="s">
        <v>0</v>
      </c>
      <c r="S45" s="4" t="s">
        <v>159</v>
      </c>
    </row>
    <row r="46" spans="2:19" ht="15.75" customHeight="1">
      <c r="B46" s="3">
        <v>44</v>
      </c>
      <c r="C46" s="4" t="s">
        <v>160</v>
      </c>
      <c r="D46" s="4" t="s">
        <v>145</v>
      </c>
      <c r="E46" s="4">
        <v>811</v>
      </c>
      <c r="F46" s="7" t="s">
        <v>161</v>
      </c>
      <c r="G46" s="4">
        <v>45</v>
      </c>
      <c r="H46" s="4">
        <v>94</v>
      </c>
      <c r="I46" s="4">
        <v>733.2</v>
      </c>
      <c r="J46" s="4" t="s">
        <v>19</v>
      </c>
      <c r="K46" s="6"/>
      <c r="L46" s="7" t="s">
        <v>51</v>
      </c>
      <c r="M46" s="4" t="s">
        <v>19</v>
      </c>
      <c r="N46" s="4" t="s">
        <v>162</v>
      </c>
      <c r="O46" s="4">
        <v>10</v>
      </c>
      <c r="P46" s="4" t="s">
        <v>123</v>
      </c>
      <c r="Q46" s="4" t="s">
        <v>163</v>
      </c>
      <c r="R46" s="4" t="s">
        <v>19</v>
      </c>
      <c r="S46" s="4" t="s">
        <v>164</v>
      </c>
    </row>
    <row r="47" spans="2:19" ht="15.75" customHeight="1">
      <c r="B47" s="3">
        <v>45</v>
      </c>
      <c r="C47" s="4" t="s">
        <v>165</v>
      </c>
      <c r="D47" s="4" t="s">
        <v>145</v>
      </c>
      <c r="E47" s="4">
        <v>1450</v>
      </c>
      <c r="F47" s="7" t="s">
        <v>166</v>
      </c>
      <c r="G47" s="4">
        <v>70</v>
      </c>
      <c r="H47" s="4">
        <v>68</v>
      </c>
      <c r="I47" s="4">
        <v>769</v>
      </c>
      <c r="J47" s="4" t="s">
        <v>19</v>
      </c>
      <c r="K47" s="6"/>
      <c r="L47" s="4" t="s">
        <v>20</v>
      </c>
      <c r="M47" s="4" t="s">
        <v>0</v>
      </c>
      <c r="N47" s="4" t="s">
        <v>52</v>
      </c>
      <c r="O47" s="4">
        <v>100</v>
      </c>
      <c r="P47" s="4" t="s">
        <v>123</v>
      </c>
      <c r="Q47" s="4">
        <v>250</v>
      </c>
      <c r="R47" s="4" t="s">
        <v>0</v>
      </c>
      <c r="S47" s="4" t="s">
        <v>167</v>
      </c>
    </row>
    <row r="48" spans="2:19" ht="15.75" customHeight="1">
      <c r="B48" s="3">
        <v>46</v>
      </c>
      <c r="C48" s="4" t="s">
        <v>168</v>
      </c>
      <c r="D48" s="4" t="s">
        <v>145</v>
      </c>
      <c r="E48" s="4">
        <v>2793</v>
      </c>
      <c r="F48" s="7" t="s">
        <v>169</v>
      </c>
      <c r="G48" s="4">
        <v>110</v>
      </c>
      <c r="H48" s="4">
        <v>96.5</v>
      </c>
      <c r="I48" s="4">
        <v>563.1</v>
      </c>
      <c r="J48" s="4" t="s">
        <v>19</v>
      </c>
      <c r="K48" s="6"/>
      <c r="L48" s="4" t="s">
        <v>20</v>
      </c>
      <c r="M48" s="4" t="s">
        <v>19</v>
      </c>
      <c r="N48" s="4" t="s">
        <v>39</v>
      </c>
      <c r="O48" s="4">
        <v>50</v>
      </c>
      <c r="P48" s="4" t="s">
        <v>170</v>
      </c>
      <c r="Q48" s="4">
        <v>800</v>
      </c>
      <c r="R48" s="4" t="s">
        <v>0</v>
      </c>
      <c r="S48" s="4" t="s">
        <v>171</v>
      </c>
    </row>
    <row r="49" spans="2:19" ht="15.75" customHeight="1">
      <c r="B49" s="3">
        <v>47</v>
      </c>
      <c r="C49" s="4" t="s">
        <v>172</v>
      </c>
      <c r="D49" s="4" t="s">
        <v>145</v>
      </c>
      <c r="E49" s="4">
        <v>2600</v>
      </c>
      <c r="F49" s="7" t="s">
        <v>173</v>
      </c>
      <c r="G49" s="7" t="s">
        <v>174</v>
      </c>
      <c r="H49" s="4">
        <v>97</v>
      </c>
      <c r="I49" s="4">
        <v>485.9</v>
      </c>
      <c r="J49" s="4" t="s">
        <v>19</v>
      </c>
      <c r="K49" s="6"/>
      <c r="L49" s="7" t="s">
        <v>51</v>
      </c>
      <c r="M49" s="4" t="s">
        <v>19</v>
      </c>
      <c r="N49" s="4" t="s">
        <v>21</v>
      </c>
      <c r="O49" s="4">
        <v>360</v>
      </c>
      <c r="P49" s="4" t="s">
        <v>175</v>
      </c>
      <c r="Q49" s="4">
        <v>150</v>
      </c>
      <c r="R49" s="4" t="s">
        <v>44</v>
      </c>
      <c r="S49" s="4" t="s">
        <v>176</v>
      </c>
    </row>
    <row r="50" spans="2:19" ht="15.75" customHeight="1">
      <c r="B50" s="3">
        <v>48</v>
      </c>
      <c r="C50" s="4" t="s">
        <v>177</v>
      </c>
      <c r="D50" s="4" t="s">
        <v>145</v>
      </c>
      <c r="E50" s="4">
        <v>1980</v>
      </c>
      <c r="F50" s="7" t="s">
        <v>178</v>
      </c>
      <c r="G50" s="4">
        <v>85</v>
      </c>
      <c r="H50" s="4">
        <v>74</v>
      </c>
      <c r="I50" s="4">
        <v>554.1</v>
      </c>
      <c r="J50" s="4" t="s">
        <v>19</v>
      </c>
      <c r="K50" s="6"/>
      <c r="L50" s="4" t="s">
        <v>20</v>
      </c>
      <c r="M50" s="4" t="s">
        <v>19</v>
      </c>
      <c r="N50" s="4" t="s">
        <v>21</v>
      </c>
      <c r="O50" s="4">
        <v>110</v>
      </c>
      <c r="P50" s="4" t="s">
        <v>123</v>
      </c>
      <c r="Q50" s="4">
        <v>100</v>
      </c>
      <c r="R50" s="4" t="s">
        <v>0</v>
      </c>
      <c r="S50" s="4" t="s">
        <v>179</v>
      </c>
    </row>
    <row r="51" spans="2:19" ht="15.75" customHeight="1">
      <c r="B51" s="3">
        <v>49</v>
      </c>
      <c r="C51" s="4" t="s">
        <v>180</v>
      </c>
      <c r="D51" s="4" t="s">
        <v>145</v>
      </c>
      <c r="E51" s="4">
        <v>1960</v>
      </c>
      <c r="F51" s="7" t="s">
        <v>181</v>
      </c>
      <c r="G51" s="4">
        <v>90</v>
      </c>
      <c r="H51" s="4">
        <v>90</v>
      </c>
      <c r="I51" s="4">
        <v>513.70000000000005</v>
      </c>
      <c r="J51" s="4" t="s">
        <v>19</v>
      </c>
      <c r="K51" s="6"/>
      <c r="L51" s="4" t="s">
        <v>20</v>
      </c>
      <c r="M51" s="4" t="s">
        <v>19</v>
      </c>
      <c r="N51" s="4" t="s">
        <v>39</v>
      </c>
      <c r="O51" s="4">
        <v>25</v>
      </c>
      <c r="P51" s="4" t="s">
        <v>123</v>
      </c>
      <c r="Q51" s="4">
        <v>100</v>
      </c>
      <c r="R51" s="4" t="s">
        <v>0</v>
      </c>
      <c r="S51" s="4" t="s">
        <v>182</v>
      </c>
    </row>
    <row r="52" spans="2:19" ht="15.75" customHeight="1">
      <c r="B52" s="3">
        <v>50</v>
      </c>
      <c r="C52" s="4" t="s">
        <v>183</v>
      </c>
      <c r="D52" s="4" t="s">
        <v>145</v>
      </c>
      <c r="E52" s="4">
        <v>1700</v>
      </c>
      <c r="F52" s="4">
        <v>16</v>
      </c>
      <c r="G52" s="7" t="s">
        <v>184</v>
      </c>
      <c r="H52" s="4">
        <v>93</v>
      </c>
      <c r="I52" s="4">
        <v>661</v>
      </c>
      <c r="J52" s="4" t="s">
        <v>19</v>
      </c>
      <c r="K52" s="6"/>
      <c r="L52" s="4" t="s">
        <v>20</v>
      </c>
      <c r="M52" s="4" t="s">
        <v>19</v>
      </c>
      <c r="N52" s="4" t="s">
        <v>185</v>
      </c>
      <c r="O52" s="4">
        <v>200</v>
      </c>
      <c r="P52" s="4" t="s">
        <v>186</v>
      </c>
      <c r="Q52" s="4">
        <v>800</v>
      </c>
      <c r="R52" s="4" t="s">
        <v>19</v>
      </c>
      <c r="S52" s="4" t="s">
        <v>187</v>
      </c>
    </row>
    <row r="53" spans="2:19" ht="15.75" customHeight="1">
      <c r="B53" s="3">
        <v>51</v>
      </c>
      <c r="C53" s="4" t="s">
        <v>188</v>
      </c>
      <c r="D53" s="4" t="s">
        <v>145</v>
      </c>
      <c r="E53" s="4">
        <v>3350</v>
      </c>
      <c r="F53" s="7" t="s">
        <v>189</v>
      </c>
      <c r="G53" s="4">
        <v>100</v>
      </c>
      <c r="H53" s="4">
        <v>97.2</v>
      </c>
      <c r="I53" s="4">
        <v>700.3</v>
      </c>
      <c r="J53" s="4" t="s">
        <v>19</v>
      </c>
      <c r="K53" s="6"/>
      <c r="L53" s="4" t="s">
        <v>20</v>
      </c>
      <c r="M53" s="4" t="s">
        <v>19</v>
      </c>
      <c r="N53" s="4" t="s">
        <v>39</v>
      </c>
      <c r="O53" s="6"/>
      <c r="P53" s="4" t="s">
        <v>123</v>
      </c>
      <c r="Q53" s="4">
        <v>250</v>
      </c>
      <c r="R53" s="4" t="s">
        <v>0</v>
      </c>
      <c r="S53" s="4" t="s">
        <v>190</v>
      </c>
    </row>
    <row r="54" spans="2:19" ht="15.75" customHeight="1">
      <c r="B54" s="3">
        <v>52</v>
      </c>
      <c r="C54" s="4" t="s">
        <v>191</v>
      </c>
      <c r="D54" s="4" t="s">
        <v>145</v>
      </c>
      <c r="E54" s="4">
        <v>774</v>
      </c>
      <c r="F54" s="7" t="s">
        <v>192</v>
      </c>
      <c r="G54" s="4">
        <v>45</v>
      </c>
      <c r="H54" s="4">
        <v>90</v>
      </c>
      <c r="I54" s="4">
        <v>223.9</v>
      </c>
      <c r="J54" s="4" t="s">
        <v>19</v>
      </c>
      <c r="K54" s="6"/>
      <c r="L54" s="4" t="s">
        <v>20</v>
      </c>
      <c r="M54" s="4" t="s">
        <v>19</v>
      </c>
      <c r="N54" s="4" t="s">
        <v>162</v>
      </c>
      <c r="O54" s="4">
        <v>50</v>
      </c>
      <c r="P54" s="4" t="s">
        <v>36</v>
      </c>
      <c r="Q54" s="4">
        <v>100</v>
      </c>
      <c r="R54" s="4" t="s">
        <v>19</v>
      </c>
      <c r="S54" s="4" t="s">
        <v>193</v>
      </c>
    </row>
    <row r="55" spans="2:19" ht="15.75" customHeight="1">
      <c r="B55" s="3">
        <v>53</v>
      </c>
      <c r="C55" s="4" t="s">
        <v>194</v>
      </c>
      <c r="D55" s="4" t="s">
        <v>145</v>
      </c>
      <c r="E55" s="4">
        <v>2063</v>
      </c>
      <c r="F55" s="7" t="s">
        <v>195</v>
      </c>
      <c r="G55" s="4">
        <v>100</v>
      </c>
      <c r="H55" s="4">
        <v>80</v>
      </c>
      <c r="I55" s="4">
        <v>498.3</v>
      </c>
      <c r="J55" s="4" t="s">
        <v>19</v>
      </c>
      <c r="K55" s="6"/>
      <c r="L55" s="4" t="s">
        <v>20</v>
      </c>
      <c r="M55" s="4" t="s">
        <v>19</v>
      </c>
      <c r="N55" s="4" t="s">
        <v>196</v>
      </c>
      <c r="O55" s="4" t="s">
        <v>197</v>
      </c>
      <c r="P55" s="4" t="s">
        <v>36</v>
      </c>
      <c r="Q55" s="4">
        <v>150</v>
      </c>
      <c r="R55" s="4" t="s">
        <v>44</v>
      </c>
      <c r="S55" s="4" t="s">
        <v>198</v>
      </c>
    </row>
    <row r="56" spans="2:19" ht="15.75" customHeight="1">
      <c r="B56" s="3">
        <v>54</v>
      </c>
      <c r="C56" s="4" t="s">
        <v>199</v>
      </c>
      <c r="D56" s="4" t="s">
        <v>145</v>
      </c>
      <c r="E56" s="4">
        <v>2755</v>
      </c>
      <c r="F56" s="7" t="s">
        <v>200</v>
      </c>
      <c r="G56" s="4">
        <v>130</v>
      </c>
      <c r="H56" s="4">
        <v>84</v>
      </c>
      <c r="I56" s="4">
        <v>515.20000000000005</v>
      </c>
      <c r="J56" s="4" t="s">
        <v>19</v>
      </c>
      <c r="K56" s="6"/>
      <c r="L56" s="4" t="s">
        <v>20</v>
      </c>
      <c r="M56" s="4" t="s">
        <v>0</v>
      </c>
      <c r="N56" s="4" t="s">
        <v>201</v>
      </c>
      <c r="O56" s="4">
        <v>300</v>
      </c>
      <c r="P56" s="4" t="s">
        <v>123</v>
      </c>
      <c r="Q56" s="4">
        <v>500</v>
      </c>
      <c r="R56" s="4" t="s">
        <v>44</v>
      </c>
      <c r="S56" s="4" t="s">
        <v>193</v>
      </c>
    </row>
    <row r="57" spans="2:19" ht="15.75" customHeight="1">
      <c r="B57" s="3">
        <v>55</v>
      </c>
      <c r="C57" s="4" t="s">
        <v>202</v>
      </c>
      <c r="D57" s="4" t="s">
        <v>145</v>
      </c>
      <c r="E57" s="4">
        <v>3300</v>
      </c>
      <c r="F57" s="7" t="s">
        <v>203</v>
      </c>
      <c r="G57" s="4">
        <v>160</v>
      </c>
      <c r="H57" s="4">
        <v>90</v>
      </c>
      <c r="I57" s="4">
        <v>506.2</v>
      </c>
      <c r="J57" s="4" t="s">
        <v>19</v>
      </c>
      <c r="K57" s="6"/>
      <c r="L57" s="4" t="s">
        <v>20</v>
      </c>
      <c r="M57" s="4" t="s">
        <v>19</v>
      </c>
      <c r="N57" s="4" t="s">
        <v>204</v>
      </c>
      <c r="O57" s="6"/>
      <c r="P57" s="4" t="s">
        <v>123</v>
      </c>
      <c r="Q57" s="6"/>
      <c r="R57" s="4" t="s">
        <v>0</v>
      </c>
      <c r="S57" s="4" t="s">
        <v>205</v>
      </c>
    </row>
    <row r="58" spans="2:19" ht="15.75" customHeight="1">
      <c r="B58" s="3">
        <v>56</v>
      </c>
      <c r="C58" s="4" t="s">
        <v>206</v>
      </c>
      <c r="D58" s="4" t="s">
        <v>145</v>
      </c>
      <c r="E58" s="4">
        <v>1280</v>
      </c>
      <c r="F58" s="7" t="s">
        <v>207</v>
      </c>
      <c r="G58" s="4">
        <v>70</v>
      </c>
      <c r="H58" s="4">
        <v>51</v>
      </c>
      <c r="I58" s="4">
        <v>392.9</v>
      </c>
      <c r="J58" s="4" t="s">
        <v>19</v>
      </c>
      <c r="K58" s="6"/>
      <c r="L58" s="4" t="s">
        <v>208</v>
      </c>
      <c r="M58" s="4" t="s">
        <v>44</v>
      </c>
      <c r="N58" s="4" t="s">
        <v>39</v>
      </c>
      <c r="O58" s="6"/>
      <c r="P58" s="4" t="s">
        <v>131</v>
      </c>
      <c r="Q58" s="6"/>
      <c r="R58" s="4" t="s">
        <v>19</v>
      </c>
      <c r="S58" s="4" t="s">
        <v>209</v>
      </c>
    </row>
    <row r="59" spans="2:19" ht="15.75" customHeight="1">
      <c r="B59" s="3">
        <v>57</v>
      </c>
      <c r="C59" s="4" t="s">
        <v>210</v>
      </c>
      <c r="D59" s="4" t="s">
        <v>145</v>
      </c>
      <c r="E59" s="4">
        <v>1655</v>
      </c>
      <c r="F59" s="7" t="s">
        <v>211</v>
      </c>
      <c r="G59" s="7" t="s">
        <v>212</v>
      </c>
      <c r="H59" s="4">
        <v>88.1</v>
      </c>
      <c r="I59" s="4">
        <v>573.70000000000005</v>
      </c>
      <c r="J59" s="4" t="s">
        <v>19</v>
      </c>
      <c r="K59" s="6"/>
      <c r="L59" s="4" t="s">
        <v>213</v>
      </c>
      <c r="M59" s="4" t="s">
        <v>44</v>
      </c>
      <c r="N59" s="4" t="s">
        <v>39</v>
      </c>
      <c r="O59" s="6"/>
      <c r="P59" s="4" t="s">
        <v>131</v>
      </c>
      <c r="Q59" s="6"/>
      <c r="R59" s="4" t="s">
        <v>44</v>
      </c>
      <c r="S59" s="4" t="s">
        <v>214</v>
      </c>
    </row>
    <row r="60" spans="2:19" ht="15.75" customHeight="1">
      <c r="B60" s="3">
        <v>58</v>
      </c>
      <c r="C60" s="4" t="s">
        <v>215</v>
      </c>
      <c r="D60" s="4" t="s">
        <v>145</v>
      </c>
      <c r="E60" s="4">
        <v>1428</v>
      </c>
      <c r="F60" s="7" t="s">
        <v>216</v>
      </c>
      <c r="G60" s="7" t="s">
        <v>217</v>
      </c>
      <c r="H60" s="4">
        <v>63</v>
      </c>
      <c r="I60" s="4">
        <v>569</v>
      </c>
      <c r="J60" s="4" t="s">
        <v>19</v>
      </c>
      <c r="K60" s="6"/>
      <c r="L60" s="4" t="s">
        <v>213</v>
      </c>
      <c r="M60" s="4" t="s">
        <v>44</v>
      </c>
      <c r="N60" s="4" t="s">
        <v>39</v>
      </c>
      <c r="O60" s="6"/>
      <c r="P60" s="4" t="s">
        <v>131</v>
      </c>
      <c r="Q60" s="6"/>
      <c r="R60" s="4" t="s">
        <v>44</v>
      </c>
      <c r="S60" s="4" t="s">
        <v>214</v>
      </c>
    </row>
    <row r="61" spans="2:19" ht="15.75" customHeight="1">
      <c r="B61" s="3">
        <v>59</v>
      </c>
      <c r="C61" s="4" t="s">
        <v>218</v>
      </c>
      <c r="D61" s="4" t="s">
        <v>219</v>
      </c>
      <c r="E61" s="4">
        <v>3000</v>
      </c>
      <c r="F61" s="4">
        <v>41</v>
      </c>
      <c r="G61" s="4" t="s">
        <v>44</v>
      </c>
      <c r="H61" s="4">
        <v>72</v>
      </c>
      <c r="I61" s="4">
        <v>795.8</v>
      </c>
      <c r="J61" s="4" t="s">
        <v>19</v>
      </c>
      <c r="K61" s="6"/>
      <c r="L61" s="4" t="s">
        <v>44</v>
      </c>
      <c r="M61" s="4" t="s">
        <v>0</v>
      </c>
      <c r="N61" s="4" t="s">
        <v>21</v>
      </c>
      <c r="O61" s="4">
        <v>1500</v>
      </c>
      <c r="P61" s="4" t="s">
        <v>220</v>
      </c>
      <c r="Q61" s="4">
        <v>3000</v>
      </c>
      <c r="R61" s="4" t="s">
        <v>0</v>
      </c>
      <c r="S61" s="4" t="s">
        <v>221</v>
      </c>
    </row>
    <row r="62" spans="2:19" ht="15.75" customHeight="1">
      <c r="B62" s="3">
        <v>60</v>
      </c>
      <c r="C62" s="4" t="s">
        <v>222</v>
      </c>
      <c r="D62" s="4" t="s">
        <v>223</v>
      </c>
      <c r="E62" s="4">
        <v>2474</v>
      </c>
      <c r="F62" s="4">
        <v>24.9</v>
      </c>
      <c r="G62" s="4">
        <v>105</v>
      </c>
      <c r="H62" s="4">
        <v>57</v>
      </c>
      <c r="I62" s="4">
        <v>565.1</v>
      </c>
      <c r="J62" s="4" t="s">
        <v>19</v>
      </c>
      <c r="K62" s="6"/>
      <c r="L62" s="7" t="s">
        <v>51</v>
      </c>
      <c r="M62" s="4" t="s">
        <v>19</v>
      </c>
      <c r="N62" s="4" t="s">
        <v>39</v>
      </c>
      <c r="O62" s="6"/>
      <c r="P62" s="4" t="s">
        <v>36</v>
      </c>
      <c r="Q62" s="6"/>
      <c r="R62" s="4" t="s">
        <v>0</v>
      </c>
      <c r="S62" s="4" t="s">
        <v>224</v>
      </c>
    </row>
    <row r="63" spans="2:19" ht="15.75" customHeight="1">
      <c r="B63" s="3">
        <v>61</v>
      </c>
      <c r="C63" s="4" t="s">
        <v>225</v>
      </c>
      <c r="D63" s="4" t="s">
        <v>223</v>
      </c>
      <c r="E63" s="4">
        <v>2791</v>
      </c>
      <c r="F63" s="4">
        <v>25.6</v>
      </c>
      <c r="G63" s="4">
        <v>86</v>
      </c>
      <c r="H63" s="4">
        <v>98.6</v>
      </c>
      <c r="I63" s="4">
        <v>665.5</v>
      </c>
      <c r="J63" s="4" t="s">
        <v>19</v>
      </c>
      <c r="K63" s="6"/>
      <c r="L63" s="4" t="s">
        <v>20</v>
      </c>
      <c r="M63" s="4" t="s">
        <v>0</v>
      </c>
      <c r="N63" s="4" t="s">
        <v>39</v>
      </c>
      <c r="O63" s="4">
        <v>80</v>
      </c>
      <c r="P63" s="4" t="s">
        <v>226</v>
      </c>
      <c r="Q63" s="4">
        <v>200</v>
      </c>
      <c r="R63" s="4" t="s">
        <v>0</v>
      </c>
      <c r="S63" s="4" t="s">
        <v>227</v>
      </c>
    </row>
    <row r="64" spans="2:19" ht="15.75" customHeight="1">
      <c r="B64" s="3">
        <v>62</v>
      </c>
      <c r="C64" s="4" t="s">
        <v>228</v>
      </c>
      <c r="D64" s="4" t="s">
        <v>223</v>
      </c>
      <c r="E64" s="4">
        <v>2500</v>
      </c>
      <c r="F64" s="4">
        <v>25</v>
      </c>
      <c r="G64" s="4">
        <v>115</v>
      </c>
      <c r="H64" s="4">
        <v>60</v>
      </c>
      <c r="I64" s="4">
        <v>525.6</v>
      </c>
      <c r="J64" s="4" t="s">
        <v>19</v>
      </c>
      <c r="K64" s="6"/>
      <c r="L64" s="4" t="s">
        <v>20</v>
      </c>
      <c r="M64" s="4" t="s">
        <v>19</v>
      </c>
      <c r="N64" s="4" t="s">
        <v>39</v>
      </c>
      <c r="O64" s="4">
        <v>160</v>
      </c>
      <c r="P64" s="4" t="s">
        <v>229</v>
      </c>
      <c r="Q64" s="4">
        <v>280</v>
      </c>
      <c r="R64" s="4" t="s">
        <v>19</v>
      </c>
      <c r="S64" s="4" t="s">
        <v>230</v>
      </c>
    </row>
    <row r="65" spans="2:19" ht="15.75" customHeight="1">
      <c r="B65" s="3">
        <v>63</v>
      </c>
      <c r="C65" s="4" t="s">
        <v>231</v>
      </c>
      <c r="D65" s="4" t="s">
        <v>232</v>
      </c>
      <c r="E65" s="4">
        <v>3400</v>
      </c>
      <c r="F65" s="4">
        <v>45.5</v>
      </c>
      <c r="G65" s="4">
        <v>102</v>
      </c>
      <c r="H65" s="4">
        <v>39</v>
      </c>
      <c r="I65" s="4">
        <v>786.6</v>
      </c>
      <c r="J65" s="4" t="s">
        <v>19</v>
      </c>
      <c r="K65" s="6"/>
      <c r="L65" s="4" t="s">
        <v>44</v>
      </c>
      <c r="M65" s="4" t="s">
        <v>0</v>
      </c>
      <c r="N65" s="4" t="s">
        <v>39</v>
      </c>
      <c r="O65" s="6"/>
      <c r="P65" s="6"/>
      <c r="Q65" s="6"/>
      <c r="R65" s="4" t="s">
        <v>44</v>
      </c>
      <c r="S65" s="4" t="s">
        <v>233</v>
      </c>
    </row>
    <row r="66" spans="2:19" ht="15.75" customHeight="1">
      <c r="B66" s="3">
        <v>64</v>
      </c>
      <c r="C66" s="4" t="s">
        <v>234</v>
      </c>
      <c r="D66" s="4" t="s">
        <v>232</v>
      </c>
      <c r="E66" s="4">
        <v>375</v>
      </c>
      <c r="F66" s="7" t="s">
        <v>235</v>
      </c>
      <c r="G66" s="7" t="s">
        <v>236</v>
      </c>
      <c r="H66" s="4">
        <v>50</v>
      </c>
      <c r="I66" s="4">
        <v>81.099999999999994</v>
      </c>
      <c r="J66" s="4" t="s">
        <v>74</v>
      </c>
      <c r="K66" s="6"/>
      <c r="L66" s="4" t="s">
        <v>147</v>
      </c>
      <c r="M66" s="4" t="s">
        <v>44</v>
      </c>
      <c r="N66" s="4" t="s">
        <v>39</v>
      </c>
      <c r="O66" s="6"/>
      <c r="P66" s="4" t="s">
        <v>237</v>
      </c>
      <c r="Q66" s="4" t="s">
        <v>238</v>
      </c>
      <c r="R66" s="4" t="s">
        <v>19</v>
      </c>
      <c r="S66" s="4" t="s">
        <v>239</v>
      </c>
    </row>
    <row r="67" spans="2:19" ht="15.75" customHeight="1">
      <c r="B67" s="3">
        <v>65</v>
      </c>
      <c r="C67" s="4" t="s">
        <v>240</v>
      </c>
      <c r="D67" s="4" t="s">
        <v>223</v>
      </c>
      <c r="E67" s="4">
        <v>1362.5</v>
      </c>
      <c r="F67" s="4">
        <v>16.2</v>
      </c>
      <c r="G67" s="4">
        <v>75</v>
      </c>
      <c r="H67" s="4">
        <v>96.7</v>
      </c>
      <c r="I67" s="4">
        <v>516.29999999999995</v>
      </c>
      <c r="J67" s="4" t="s">
        <v>19</v>
      </c>
      <c r="K67" s="6"/>
      <c r="L67" s="4" t="s">
        <v>20</v>
      </c>
      <c r="M67" s="4" t="s">
        <v>19</v>
      </c>
      <c r="N67" s="4" t="s">
        <v>39</v>
      </c>
      <c r="O67" s="4">
        <v>25</v>
      </c>
      <c r="P67" s="4" t="s">
        <v>123</v>
      </c>
      <c r="Q67" s="4">
        <v>200</v>
      </c>
      <c r="R67" s="4" t="s">
        <v>241</v>
      </c>
      <c r="S67" s="4" t="s">
        <v>242</v>
      </c>
    </row>
    <row r="68" spans="2:19" ht="15.75" customHeight="1">
      <c r="B68" s="3">
        <v>66</v>
      </c>
      <c r="C68" s="4" t="s">
        <v>243</v>
      </c>
      <c r="D68" s="4" t="s">
        <v>223</v>
      </c>
      <c r="E68" s="4">
        <v>2051.3000000000002</v>
      </c>
      <c r="F68" s="7" t="s">
        <v>244</v>
      </c>
      <c r="G68" s="4" t="s">
        <v>44</v>
      </c>
      <c r="H68" s="4">
        <v>96.25</v>
      </c>
      <c r="I68" s="4">
        <v>723</v>
      </c>
      <c r="J68" s="4" t="s">
        <v>19</v>
      </c>
      <c r="K68" s="6"/>
      <c r="L68" s="4" t="s">
        <v>20</v>
      </c>
      <c r="M68" s="6"/>
      <c r="N68" s="4" t="s">
        <v>245</v>
      </c>
      <c r="O68" s="6"/>
      <c r="P68" s="6"/>
      <c r="Q68" s="6"/>
      <c r="R68" s="6"/>
      <c r="S68" s="4" t="s">
        <v>246</v>
      </c>
    </row>
    <row r="69" spans="2:19" ht="15.75" customHeight="1">
      <c r="B69" s="3">
        <v>67</v>
      </c>
      <c r="C69" s="4" t="s">
        <v>247</v>
      </c>
      <c r="D69" s="4" t="s">
        <v>223</v>
      </c>
      <c r="E69" s="4">
        <v>1662</v>
      </c>
      <c r="F69" s="4">
        <v>18.399999999999999</v>
      </c>
      <c r="G69" s="4">
        <v>68.3</v>
      </c>
      <c r="H69" s="4">
        <v>86.1</v>
      </c>
      <c r="I69" s="4">
        <v>636.6</v>
      </c>
      <c r="J69" s="4" t="s">
        <v>19</v>
      </c>
      <c r="K69" s="6"/>
      <c r="L69" s="4" t="s">
        <v>20</v>
      </c>
      <c r="M69" s="4" t="s">
        <v>19</v>
      </c>
      <c r="N69" s="4" t="s">
        <v>39</v>
      </c>
      <c r="O69" s="4">
        <v>83.5</v>
      </c>
      <c r="P69" s="4" t="s">
        <v>123</v>
      </c>
      <c r="Q69" s="4">
        <v>150</v>
      </c>
      <c r="R69" s="4" t="s">
        <v>241</v>
      </c>
      <c r="S69" s="4" t="s">
        <v>248</v>
      </c>
    </row>
    <row r="70" spans="2:19" ht="15.75" customHeight="1">
      <c r="B70" s="3">
        <v>68</v>
      </c>
      <c r="C70" s="4" t="s">
        <v>249</v>
      </c>
      <c r="D70" s="4" t="s">
        <v>145</v>
      </c>
      <c r="E70" s="4">
        <v>1188</v>
      </c>
      <c r="F70" s="7" t="s">
        <v>250</v>
      </c>
      <c r="G70" s="4">
        <v>44</v>
      </c>
      <c r="H70" s="4">
        <v>97</v>
      </c>
      <c r="I70" s="4">
        <v>667.3</v>
      </c>
      <c r="J70" s="4" t="s">
        <v>19</v>
      </c>
      <c r="K70" s="6"/>
      <c r="L70" s="4" t="s">
        <v>44</v>
      </c>
      <c r="M70" s="4" t="s">
        <v>19</v>
      </c>
      <c r="N70" s="4" t="s">
        <v>39</v>
      </c>
      <c r="O70" s="6"/>
      <c r="P70" s="6"/>
      <c r="Q70" s="6"/>
      <c r="R70" s="6"/>
      <c r="S70" s="4" t="s">
        <v>251</v>
      </c>
    </row>
    <row r="71" spans="2:19" ht="15.75" customHeight="1">
      <c r="B71" s="3">
        <v>69</v>
      </c>
      <c r="C71" s="4" t="s">
        <v>252</v>
      </c>
      <c r="D71" s="4" t="s">
        <v>18</v>
      </c>
      <c r="E71" s="4">
        <v>1574</v>
      </c>
      <c r="F71" s="4">
        <v>16.5</v>
      </c>
      <c r="G71" s="4">
        <v>55</v>
      </c>
      <c r="H71" s="4">
        <v>82</v>
      </c>
      <c r="I71" s="4">
        <v>694.2</v>
      </c>
      <c r="J71" s="4" t="s">
        <v>19</v>
      </c>
      <c r="K71" s="6"/>
      <c r="L71" s="4" t="s">
        <v>20</v>
      </c>
      <c r="M71" s="4" t="s">
        <v>0</v>
      </c>
      <c r="N71" s="4" t="s">
        <v>35</v>
      </c>
      <c r="O71" s="4">
        <v>180</v>
      </c>
      <c r="P71" s="4" t="s">
        <v>253</v>
      </c>
      <c r="Q71" s="4">
        <v>200</v>
      </c>
      <c r="R71" s="4" t="s">
        <v>241</v>
      </c>
      <c r="S71" s="4" t="s">
        <v>254</v>
      </c>
    </row>
    <row r="72" spans="2:19" ht="15.75" customHeight="1">
      <c r="B72" s="3">
        <v>70</v>
      </c>
      <c r="C72" s="4" t="s">
        <v>255</v>
      </c>
      <c r="D72" s="4" t="s">
        <v>18</v>
      </c>
      <c r="E72" s="4">
        <v>2804</v>
      </c>
      <c r="F72" s="7" t="s">
        <v>256</v>
      </c>
      <c r="G72" s="4">
        <v>90</v>
      </c>
      <c r="H72" s="4">
        <v>42.9</v>
      </c>
      <c r="I72" s="4">
        <v>679.9</v>
      </c>
      <c r="J72" s="4" t="s">
        <v>19</v>
      </c>
      <c r="K72" s="6"/>
      <c r="L72" s="4" t="s">
        <v>44</v>
      </c>
      <c r="M72" s="4" t="s">
        <v>0</v>
      </c>
      <c r="N72" s="4" t="s">
        <v>39</v>
      </c>
      <c r="O72" s="6"/>
      <c r="P72" s="4" t="s">
        <v>123</v>
      </c>
      <c r="Q72" s="6"/>
      <c r="R72" s="6"/>
      <c r="S72" s="4" t="s">
        <v>257</v>
      </c>
    </row>
    <row r="73" spans="2:19" ht="15.75" customHeight="1">
      <c r="B73" s="3">
        <v>71</v>
      </c>
      <c r="C73" s="4" t="s">
        <v>258</v>
      </c>
      <c r="D73" s="4" t="s">
        <v>259</v>
      </c>
      <c r="E73" s="4">
        <v>2500</v>
      </c>
      <c r="F73" s="7" t="s">
        <v>260</v>
      </c>
      <c r="G73" s="4" t="s">
        <v>44</v>
      </c>
      <c r="H73" s="4">
        <v>80</v>
      </c>
      <c r="I73" s="4">
        <v>712</v>
      </c>
      <c r="J73" s="4" t="s">
        <v>19</v>
      </c>
      <c r="K73" s="6"/>
      <c r="L73" s="4" t="s">
        <v>20</v>
      </c>
      <c r="M73" s="4" t="s">
        <v>19</v>
      </c>
      <c r="N73" s="4" t="s">
        <v>39</v>
      </c>
      <c r="O73" s="6"/>
      <c r="P73" s="6"/>
      <c r="Q73" s="6"/>
      <c r="R73" s="4" t="s">
        <v>19</v>
      </c>
      <c r="S73" s="4" t="s">
        <v>261</v>
      </c>
    </row>
    <row r="74" spans="2:19" ht="15.75" customHeight="1">
      <c r="B74" s="3">
        <v>72</v>
      </c>
      <c r="C74" s="4" t="s">
        <v>262</v>
      </c>
      <c r="D74" s="4" t="s">
        <v>263</v>
      </c>
      <c r="E74" s="4">
        <v>618</v>
      </c>
      <c r="F74" s="4">
        <v>7.58</v>
      </c>
      <c r="G74" s="4">
        <v>32</v>
      </c>
      <c r="H74" s="4">
        <v>70</v>
      </c>
      <c r="I74" s="4">
        <v>544</v>
      </c>
      <c r="J74" s="4" t="s">
        <v>19</v>
      </c>
      <c r="K74" s="6"/>
      <c r="L74" s="6"/>
      <c r="M74" s="4" t="s">
        <v>0</v>
      </c>
      <c r="N74" s="4" t="s">
        <v>35</v>
      </c>
      <c r="O74" s="4">
        <v>73</v>
      </c>
      <c r="P74" s="4" t="s">
        <v>36</v>
      </c>
      <c r="Q74" s="6"/>
      <c r="R74" s="4" t="s">
        <v>241</v>
      </c>
      <c r="S74" s="4" t="s">
        <v>264</v>
      </c>
    </row>
    <row r="75" spans="2:19" ht="15.75" customHeight="1">
      <c r="B75" s="3">
        <v>73</v>
      </c>
      <c r="C75" s="4" t="s">
        <v>265</v>
      </c>
      <c r="D75" s="4" t="s">
        <v>266</v>
      </c>
      <c r="E75" s="4">
        <v>1716</v>
      </c>
      <c r="F75" s="7" t="s">
        <v>267</v>
      </c>
      <c r="G75" s="4">
        <v>94</v>
      </c>
      <c r="H75" s="4">
        <v>91</v>
      </c>
      <c r="I75" s="4">
        <v>429.2</v>
      </c>
      <c r="J75" s="4" t="s">
        <v>19</v>
      </c>
      <c r="K75" s="6"/>
      <c r="L75" s="4" t="s">
        <v>35</v>
      </c>
      <c r="M75" s="4" t="s">
        <v>0</v>
      </c>
      <c r="N75" s="4" t="s">
        <v>39</v>
      </c>
      <c r="O75" s="4">
        <v>200</v>
      </c>
      <c r="P75" s="4" t="s">
        <v>36</v>
      </c>
      <c r="Q75" s="4">
        <v>300</v>
      </c>
      <c r="R75" s="4" t="s">
        <v>241</v>
      </c>
      <c r="S75" s="4" t="s">
        <v>268</v>
      </c>
    </row>
    <row r="76" spans="2:19" ht="15.75" customHeight="1">
      <c r="B76" s="3">
        <v>74</v>
      </c>
      <c r="C76" s="4" t="s">
        <v>269</v>
      </c>
      <c r="D76" s="4" t="s">
        <v>145</v>
      </c>
      <c r="E76" s="4">
        <v>3799.9</v>
      </c>
      <c r="F76" s="7" t="s">
        <v>270</v>
      </c>
      <c r="G76" s="4">
        <v>136</v>
      </c>
      <c r="H76" s="4">
        <v>65</v>
      </c>
      <c r="I76" s="4">
        <v>625.9</v>
      </c>
      <c r="J76" s="4" t="s">
        <v>19</v>
      </c>
      <c r="K76" s="6"/>
      <c r="L76" s="4" t="s">
        <v>20</v>
      </c>
      <c r="M76" s="4" t="s">
        <v>44</v>
      </c>
      <c r="N76" s="4" t="s">
        <v>39</v>
      </c>
      <c r="O76" s="4">
        <v>90</v>
      </c>
      <c r="P76" s="4" t="s">
        <v>36</v>
      </c>
      <c r="Q76" s="4">
        <v>500</v>
      </c>
      <c r="R76" s="6"/>
      <c r="S76" s="4" t="s">
        <v>271</v>
      </c>
    </row>
    <row r="77" spans="2:19" ht="15.75" customHeight="1">
      <c r="B77" s="3">
        <v>75</v>
      </c>
      <c r="C77" s="4" t="s">
        <v>272</v>
      </c>
      <c r="D77" s="4" t="s">
        <v>145</v>
      </c>
      <c r="E77" s="4">
        <v>1832</v>
      </c>
      <c r="F77" s="7" t="s">
        <v>273</v>
      </c>
      <c r="G77" s="4">
        <v>92</v>
      </c>
      <c r="H77" s="4">
        <v>70.349999999999994</v>
      </c>
      <c r="I77" s="4">
        <v>476.5</v>
      </c>
      <c r="J77" s="4" t="s">
        <v>19</v>
      </c>
      <c r="K77" s="6"/>
      <c r="L77" s="4" t="s">
        <v>35</v>
      </c>
      <c r="M77" s="4" t="s">
        <v>19</v>
      </c>
      <c r="N77" s="4" t="s">
        <v>39</v>
      </c>
      <c r="O77" s="4">
        <v>80</v>
      </c>
      <c r="P77" s="4" t="s">
        <v>36</v>
      </c>
      <c r="Q77" s="4">
        <v>300</v>
      </c>
      <c r="R77" s="4" t="s">
        <v>274</v>
      </c>
      <c r="S77" s="4" t="s">
        <v>275</v>
      </c>
    </row>
    <row r="78" spans="2:19" ht="15.75" customHeight="1">
      <c r="B78" s="3">
        <v>76</v>
      </c>
      <c r="C78" s="4" t="s">
        <v>276</v>
      </c>
      <c r="D78" s="4" t="s">
        <v>145</v>
      </c>
      <c r="E78" s="4">
        <v>1486</v>
      </c>
      <c r="F78" s="7" t="s">
        <v>277</v>
      </c>
      <c r="G78" s="4">
        <v>78</v>
      </c>
      <c r="H78" s="4">
        <v>80.42</v>
      </c>
      <c r="I78" s="4">
        <v>437.3</v>
      </c>
      <c r="J78" s="4" t="s">
        <v>19</v>
      </c>
      <c r="K78" s="6"/>
      <c r="L78" s="4" t="s">
        <v>35</v>
      </c>
      <c r="M78" s="4" t="s">
        <v>19</v>
      </c>
      <c r="N78" s="4" t="s">
        <v>39</v>
      </c>
      <c r="O78" s="8"/>
      <c r="P78" s="4" t="s">
        <v>36</v>
      </c>
      <c r="Q78" s="4">
        <v>300</v>
      </c>
      <c r="R78" s="4" t="s">
        <v>19</v>
      </c>
      <c r="S78" s="4" t="s">
        <v>278</v>
      </c>
    </row>
    <row r="79" spans="2:19" ht="15.75" customHeight="1"/>
    <row r="80" spans="2:1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W1000"/>
  <sheetViews>
    <sheetView topLeftCell="A3" workbookViewId="0">
      <selection activeCell="N16" sqref="N16"/>
    </sheetView>
  </sheetViews>
  <sheetFormatPr defaultColWidth="14.42578125" defaultRowHeight="15" customHeight="1"/>
  <cols>
    <col min="1" max="26" width="8.7109375" customWidth="1"/>
  </cols>
  <sheetData>
    <row r="2" spans="3:23" ht="36">
      <c r="C2" s="1" t="s">
        <v>0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279</v>
      </c>
      <c r="J2" s="2" t="s">
        <v>280</v>
      </c>
      <c r="K2" s="2" t="s">
        <v>11</v>
      </c>
      <c r="L2" s="2" t="s">
        <v>8</v>
      </c>
    </row>
    <row r="3" spans="3:23">
      <c r="C3" s="3">
        <v>1</v>
      </c>
      <c r="D3" s="4">
        <v>2438</v>
      </c>
      <c r="E3" s="4">
        <v>24.3</v>
      </c>
      <c r="F3" s="4">
        <v>91.1</v>
      </c>
      <c r="G3" s="4">
        <v>98</v>
      </c>
      <c r="H3" s="4">
        <v>619.70000000000005</v>
      </c>
      <c r="I3" s="4">
        <v>29</v>
      </c>
      <c r="J3" s="4">
        <v>400</v>
      </c>
      <c r="K3" s="4" t="s">
        <v>0</v>
      </c>
      <c r="L3" s="4" t="s">
        <v>19</v>
      </c>
      <c r="N3" s="14"/>
      <c r="O3" s="15"/>
      <c r="P3" s="15"/>
      <c r="Q3" s="15"/>
      <c r="R3" s="15"/>
      <c r="S3" s="15"/>
      <c r="T3" s="15"/>
      <c r="U3" s="15"/>
      <c r="V3" s="15"/>
      <c r="W3" s="15"/>
    </row>
    <row r="4" spans="3:23">
      <c r="C4" s="3">
        <v>2</v>
      </c>
      <c r="D4" s="4">
        <v>465</v>
      </c>
      <c r="E4" s="4">
        <v>6.2</v>
      </c>
      <c r="F4" s="4">
        <v>30</v>
      </c>
      <c r="G4" s="4">
        <v>99</v>
      </c>
      <c r="H4" s="4">
        <v>184.3</v>
      </c>
      <c r="I4" s="4">
        <v>150</v>
      </c>
      <c r="J4" s="4">
        <v>220</v>
      </c>
      <c r="K4" s="4" t="s">
        <v>19</v>
      </c>
      <c r="L4" s="4" t="s">
        <v>0</v>
      </c>
      <c r="N4" s="14"/>
      <c r="O4" s="15"/>
      <c r="P4" s="15"/>
      <c r="Q4" s="15"/>
      <c r="R4" s="15"/>
      <c r="S4" s="15"/>
      <c r="T4" s="15"/>
      <c r="U4" s="15"/>
      <c r="V4" s="15"/>
      <c r="W4" s="15"/>
    </row>
    <row r="5" spans="3:23">
      <c r="C5" s="3">
        <v>3</v>
      </c>
      <c r="D5" s="4">
        <v>777</v>
      </c>
      <c r="E5" s="4">
        <v>4.4000000000000004</v>
      </c>
      <c r="F5" s="4">
        <v>26.7</v>
      </c>
      <c r="G5" s="4">
        <v>97</v>
      </c>
      <c r="H5" s="4">
        <v>105.5</v>
      </c>
      <c r="I5" s="4">
        <v>38</v>
      </c>
      <c r="J5" s="4">
        <v>45</v>
      </c>
      <c r="K5" s="4" t="s">
        <v>19</v>
      </c>
      <c r="L5" s="4" t="s">
        <v>19</v>
      </c>
      <c r="N5" s="14"/>
      <c r="O5" s="15"/>
      <c r="P5" s="15"/>
      <c r="Q5" s="15"/>
      <c r="R5" s="15"/>
      <c r="S5" s="15"/>
      <c r="T5" s="15"/>
      <c r="U5" s="15"/>
      <c r="V5" s="15"/>
      <c r="W5" s="15"/>
    </row>
    <row r="6" spans="3:23">
      <c r="C6" s="3">
        <v>4</v>
      </c>
      <c r="D6" s="4">
        <v>2743</v>
      </c>
      <c r="E6" s="4">
        <v>27.3</v>
      </c>
      <c r="F6" s="4">
        <v>100.6</v>
      </c>
      <c r="G6" s="4">
        <v>95</v>
      </c>
      <c r="H6" s="4">
        <v>623.20000000000005</v>
      </c>
      <c r="I6" s="4">
        <v>18</v>
      </c>
      <c r="J6" s="4">
        <v>400</v>
      </c>
      <c r="K6" s="4" t="s">
        <v>0</v>
      </c>
      <c r="L6" s="4" t="s">
        <v>19</v>
      </c>
      <c r="N6" s="14"/>
      <c r="O6" s="15"/>
      <c r="P6" s="15"/>
      <c r="Q6" s="15"/>
      <c r="R6" s="15"/>
      <c r="S6" s="15"/>
      <c r="T6" s="15"/>
      <c r="U6" s="15"/>
      <c r="V6" s="15"/>
      <c r="W6" s="15"/>
    </row>
    <row r="7" spans="3:23">
      <c r="C7" s="3">
        <v>5</v>
      </c>
      <c r="D7" s="4">
        <v>4133</v>
      </c>
      <c r="E7" s="4">
        <v>40.5</v>
      </c>
      <c r="F7" s="4">
        <v>103.3</v>
      </c>
      <c r="G7" s="4">
        <v>40</v>
      </c>
      <c r="H7" s="4">
        <v>748.8</v>
      </c>
      <c r="I7" s="4">
        <v>195</v>
      </c>
      <c r="J7" s="4" t="s">
        <v>44</v>
      </c>
      <c r="K7" s="4" t="s">
        <v>19</v>
      </c>
      <c r="L7" s="4" t="s">
        <v>19</v>
      </c>
      <c r="N7" s="14"/>
      <c r="O7" s="15"/>
      <c r="P7" s="15"/>
      <c r="Q7" s="15"/>
      <c r="R7" s="15"/>
      <c r="S7" s="15"/>
      <c r="T7" s="15"/>
      <c r="U7" s="15"/>
      <c r="V7" s="15"/>
      <c r="W7" s="15"/>
    </row>
    <row r="8" spans="3:23">
      <c r="C8" s="3">
        <v>6</v>
      </c>
      <c r="D8" s="4">
        <v>1829</v>
      </c>
      <c r="E8" s="4">
        <v>19.2</v>
      </c>
      <c r="F8" s="4">
        <v>81.7</v>
      </c>
      <c r="G8" s="4">
        <v>72</v>
      </c>
      <c r="H8" s="4">
        <v>564.29999999999995</v>
      </c>
      <c r="I8" s="4">
        <v>76</v>
      </c>
      <c r="J8" s="4">
        <v>300</v>
      </c>
      <c r="K8" s="4" t="s">
        <v>19</v>
      </c>
      <c r="L8" s="4" t="s">
        <v>19</v>
      </c>
    </row>
    <row r="9" spans="3:23">
      <c r="C9" s="3">
        <v>7</v>
      </c>
      <c r="D9" s="4">
        <v>1524</v>
      </c>
      <c r="E9" s="4">
        <v>14.9</v>
      </c>
      <c r="F9" s="4">
        <v>69.400000000000006</v>
      </c>
      <c r="G9" s="4">
        <v>97</v>
      </c>
      <c r="H9" s="4">
        <v>509.6</v>
      </c>
      <c r="I9" s="4">
        <v>44</v>
      </c>
      <c r="J9" s="4">
        <v>300</v>
      </c>
      <c r="K9" s="4" t="s">
        <v>19</v>
      </c>
      <c r="L9" s="4" t="s">
        <v>19</v>
      </c>
    </row>
    <row r="10" spans="3:23">
      <c r="C10" s="3">
        <v>8</v>
      </c>
      <c r="D10" s="4">
        <v>2926</v>
      </c>
      <c r="E10" s="4">
        <v>22.1</v>
      </c>
      <c r="F10" s="4">
        <v>106.7</v>
      </c>
      <c r="G10" s="4">
        <v>90</v>
      </c>
      <c r="H10" s="4">
        <v>501.8</v>
      </c>
      <c r="I10" s="4">
        <v>23</v>
      </c>
      <c r="J10" s="4" t="s">
        <v>44</v>
      </c>
      <c r="K10" s="4" t="s">
        <v>44</v>
      </c>
      <c r="L10" s="4" t="s">
        <v>19</v>
      </c>
    </row>
    <row r="11" spans="3:23">
      <c r="C11" s="3">
        <v>9</v>
      </c>
      <c r="D11" s="4">
        <v>4779</v>
      </c>
      <c r="E11" s="4">
        <v>45.4</v>
      </c>
      <c r="F11" s="4">
        <v>107.2</v>
      </c>
      <c r="G11" s="4">
        <v>85</v>
      </c>
      <c r="H11" s="4">
        <v>770.4</v>
      </c>
      <c r="I11" s="4">
        <v>84</v>
      </c>
      <c r="J11" s="4">
        <v>200</v>
      </c>
      <c r="K11" s="4" t="s">
        <v>0</v>
      </c>
      <c r="L11" s="4" t="s">
        <v>19</v>
      </c>
    </row>
    <row r="12" spans="3:23">
      <c r="C12" s="3">
        <v>10</v>
      </c>
      <c r="D12" s="4">
        <v>4985</v>
      </c>
      <c r="E12" s="4">
        <v>47.4</v>
      </c>
      <c r="F12" s="4">
        <v>162.19999999999999</v>
      </c>
      <c r="G12" s="4">
        <v>74</v>
      </c>
      <c r="H12" s="4">
        <v>638.6</v>
      </c>
      <c r="I12" s="4">
        <v>84</v>
      </c>
      <c r="J12" s="4">
        <v>200</v>
      </c>
      <c r="K12" s="4" t="s">
        <v>0</v>
      </c>
      <c r="L12" s="4" t="s">
        <v>19</v>
      </c>
    </row>
    <row r="13" spans="3:23">
      <c r="C13" s="3">
        <v>11</v>
      </c>
      <c r="D13" s="4">
        <v>5533</v>
      </c>
      <c r="E13" s="4">
        <v>52.6</v>
      </c>
      <c r="F13" s="4">
        <v>176.1</v>
      </c>
      <c r="G13" s="4">
        <v>81</v>
      </c>
      <c r="H13" s="4">
        <v>645</v>
      </c>
      <c r="I13" s="4">
        <v>84</v>
      </c>
      <c r="J13" s="4">
        <v>200</v>
      </c>
      <c r="K13" s="4" t="s">
        <v>0</v>
      </c>
      <c r="L13" s="4" t="s">
        <v>19</v>
      </c>
    </row>
    <row r="14" spans="3:23">
      <c r="C14" s="3">
        <v>12</v>
      </c>
      <c r="D14" s="4">
        <v>7224</v>
      </c>
      <c r="E14" s="4">
        <v>76</v>
      </c>
      <c r="F14" s="4">
        <v>168.3</v>
      </c>
      <c r="G14" s="4">
        <v>20</v>
      </c>
      <c r="H14" s="4">
        <v>780.5</v>
      </c>
      <c r="I14" s="4">
        <v>53</v>
      </c>
      <c r="J14" s="4">
        <v>780</v>
      </c>
      <c r="K14" s="4" t="s">
        <v>0</v>
      </c>
      <c r="L14" s="4" t="s">
        <v>19</v>
      </c>
    </row>
    <row r="15" spans="3:23">
      <c r="C15" s="3">
        <v>13</v>
      </c>
      <c r="D15" s="4">
        <v>4724</v>
      </c>
      <c r="E15" s="4">
        <v>48.3</v>
      </c>
      <c r="F15" s="4">
        <v>170.6</v>
      </c>
      <c r="G15" s="4">
        <v>90</v>
      </c>
      <c r="H15" s="4">
        <v>626.5</v>
      </c>
      <c r="I15" s="4">
        <v>56</v>
      </c>
      <c r="J15" s="4">
        <v>180</v>
      </c>
      <c r="K15" s="4" t="s">
        <v>0</v>
      </c>
      <c r="L15" s="4" t="s">
        <v>19</v>
      </c>
    </row>
    <row r="16" spans="3:23">
      <c r="C16" s="3">
        <v>14</v>
      </c>
      <c r="D16" s="4">
        <v>693</v>
      </c>
      <c r="E16" s="4">
        <v>7.3</v>
      </c>
      <c r="F16" s="4">
        <v>35</v>
      </c>
      <c r="G16" s="4">
        <v>95</v>
      </c>
      <c r="H16" s="4">
        <v>249.6</v>
      </c>
      <c r="I16" s="4">
        <v>52</v>
      </c>
      <c r="J16" s="4">
        <v>200</v>
      </c>
      <c r="K16" s="4" t="s">
        <v>44</v>
      </c>
      <c r="L16" s="4" t="s">
        <v>19</v>
      </c>
    </row>
    <row r="17" spans="3:15">
      <c r="C17" s="3">
        <v>15</v>
      </c>
      <c r="D17" s="4">
        <v>1097</v>
      </c>
      <c r="E17" s="4">
        <v>8.6</v>
      </c>
      <c r="F17" s="4">
        <v>32.799999999999997</v>
      </c>
      <c r="G17" s="4">
        <v>88</v>
      </c>
      <c r="H17" s="4">
        <v>683.3</v>
      </c>
      <c r="I17" s="4">
        <v>20</v>
      </c>
      <c r="J17" s="4">
        <v>210</v>
      </c>
      <c r="K17" s="4" t="s">
        <v>0</v>
      </c>
      <c r="L17" s="4" t="s">
        <v>19</v>
      </c>
    </row>
    <row r="18" spans="3:15">
      <c r="C18" s="3">
        <v>16</v>
      </c>
      <c r="D18" s="4">
        <v>1676</v>
      </c>
      <c r="E18" s="4">
        <v>16</v>
      </c>
      <c r="F18" s="4">
        <v>48.9</v>
      </c>
      <c r="G18" s="4">
        <v>92</v>
      </c>
      <c r="H18" s="4">
        <v>732</v>
      </c>
      <c r="I18" s="4">
        <v>30</v>
      </c>
      <c r="J18" s="4">
        <v>600</v>
      </c>
      <c r="K18" s="4" t="s">
        <v>19</v>
      </c>
      <c r="L18" s="4" t="s">
        <v>19</v>
      </c>
    </row>
    <row r="19" spans="3:15">
      <c r="C19" s="3">
        <v>17</v>
      </c>
      <c r="D19" s="4">
        <v>3834</v>
      </c>
      <c r="E19" s="4">
        <v>45.3</v>
      </c>
      <c r="F19" s="4">
        <v>101.1</v>
      </c>
      <c r="G19" s="4">
        <v>99</v>
      </c>
      <c r="H19" s="4">
        <v>788.1</v>
      </c>
      <c r="I19" s="4">
        <v>41</v>
      </c>
      <c r="J19" s="4">
        <v>280</v>
      </c>
      <c r="K19" s="4" t="s">
        <v>19</v>
      </c>
      <c r="L19" s="4" t="s">
        <v>19</v>
      </c>
    </row>
    <row r="20" spans="3:15">
      <c r="C20" s="3">
        <v>18</v>
      </c>
      <c r="D20" s="4">
        <v>2034</v>
      </c>
      <c r="E20" s="4">
        <v>20.7</v>
      </c>
      <c r="F20" s="4">
        <v>52.2</v>
      </c>
      <c r="G20" s="4">
        <v>66</v>
      </c>
      <c r="H20" s="4">
        <v>781</v>
      </c>
      <c r="I20" s="4">
        <v>3</v>
      </c>
      <c r="J20" s="4">
        <v>160</v>
      </c>
      <c r="K20" s="4" t="s">
        <v>0</v>
      </c>
      <c r="L20" s="4" t="s">
        <v>19</v>
      </c>
    </row>
    <row r="21" spans="3:15" ht="15.75" customHeight="1">
      <c r="C21" s="3">
        <v>19</v>
      </c>
      <c r="D21" s="4">
        <v>1067</v>
      </c>
      <c r="E21" s="4">
        <v>11.2</v>
      </c>
      <c r="F21" s="4">
        <v>39.4</v>
      </c>
      <c r="G21" s="4">
        <v>32</v>
      </c>
      <c r="H21" s="4">
        <v>700.6</v>
      </c>
      <c r="I21" s="4">
        <v>14</v>
      </c>
      <c r="J21" s="4">
        <v>85</v>
      </c>
      <c r="K21" s="4" t="s">
        <v>0</v>
      </c>
      <c r="L21" s="4" t="s">
        <v>19</v>
      </c>
    </row>
    <row r="22" spans="3:15" ht="15.75" customHeight="1">
      <c r="C22" s="3">
        <v>20</v>
      </c>
      <c r="D22" s="4">
        <v>710</v>
      </c>
      <c r="E22" s="4">
        <v>0.9</v>
      </c>
      <c r="F22" s="4">
        <v>25.6</v>
      </c>
      <c r="G22" s="4">
        <v>99</v>
      </c>
      <c r="H22" s="4">
        <v>16.7</v>
      </c>
      <c r="I22" s="4">
        <v>15</v>
      </c>
      <c r="J22" s="4">
        <v>45</v>
      </c>
      <c r="K22" s="4" t="s">
        <v>0</v>
      </c>
      <c r="L22" s="4" t="s">
        <v>19</v>
      </c>
    </row>
    <row r="23" spans="3:15" ht="15.75" customHeight="1">
      <c r="C23" s="3">
        <v>21</v>
      </c>
      <c r="D23" s="4">
        <v>450</v>
      </c>
      <c r="E23" s="4">
        <v>2.8</v>
      </c>
      <c r="F23" s="4">
        <v>27.2</v>
      </c>
      <c r="G23" s="4">
        <v>98</v>
      </c>
      <c r="H23" s="4">
        <v>58.2</v>
      </c>
      <c r="I23" s="4">
        <v>20</v>
      </c>
      <c r="J23" s="4">
        <v>40</v>
      </c>
      <c r="K23" s="4" t="s">
        <v>0</v>
      </c>
      <c r="L23" s="4" t="s">
        <v>19</v>
      </c>
    </row>
    <row r="24" spans="3:15" ht="15.75" customHeight="1">
      <c r="C24" s="3">
        <v>22</v>
      </c>
      <c r="D24" s="4">
        <v>1219</v>
      </c>
      <c r="E24" s="4">
        <v>15.2</v>
      </c>
      <c r="F24" s="4">
        <v>43.3</v>
      </c>
      <c r="G24" s="4">
        <v>99</v>
      </c>
      <c r="H24" s="4">
        <v>760.3</v>
      </c>
      <c r="I24" s="4">
        <v>12</v>
      </c>
      <c r="J24" s="4">
        <v>180</v>
      </c>
      <c r="K24" s="4" t="s">
        <v>19</v>
      </c>
      <c r="L24" s="4" t="s">
        <v>74</v>
      </c>
    </row>
    <row r="25" spans="3:15" ht="15.75" customHeight="1">
      <c r="C25" s="3">
        <v>23</v>
      </c>
      <c r="D25" s="4">
        <v>180</v>
      </c>
      <c r="E25" s="4">
        <v>2.2999999999999998</v>
      </c>
      <c r="F25" s="4">
        <v>118.3</v>
      </c>
      <c r="G25" s="4">
        <v>95</v>
      </c>
      <c r="H25" s="4">
        <v>32.6</v>
      </c>
      <c r="I25" s="4">
        <v>70</v>
      </c>
      <c r="J25" s="4">
        <v>100</v>
      </c>
      <c r="K25" s="4" t="s">
        <v>19</v>
      </c>
      <c r="L25" s="4" t="s">
        <v>0</v>
      </c>
    </row>
    <row r="26" spans="3:15" ht="15.75" customHeight="1">
      <c r="C26" s="3">
        <v>24</v>
      </c>
      <c r="D26" s="4">
        <v>2800</v>
      </c>
      <c r="E26" s="4">
        <v>27.4</v>
      </c>
      <c r="F26" s="4">
        <v>100</v>
      </c>
      <c r="G26" s="4">
        <v>57</v>
      </c>
      <c r="H26" s="4">
        <v>627.29999999999995</v>
      </c>
      <c r="I26" s="4" t="s">
        <v>44</v>
      </c>
      <c r="J26" s="4" t="s">
        <v>44</v>
      </c>
      <c r="K26" s="4" t="s">
        <v>44</v>
      </c>
      <c r="L26" s="4" t="s">
        <v>19</v>
      </c>
    </row>
    <row r="27" spans="3:15" ht="15.75" customHeight="1">
      <c r="C27" s="3">
        <v>25</v>
      </c>
      <c r="D27" s="4">
        <v>1234</v>
      </c>
      <c r="E27" s="4">
        <v>6.4</v>
      </c>
      <c r="F27" s="4">
        <v>56</v>
      </c>
      <c r="G27" s="4">
        <v>74.239999999999995</v>
      </c>
      <c r="H27" s="4">
        <v>141</v>
      </c>
      <c r="I27" s="4" t="s">
        <v>44</v>
      </c>
      <c r="J27" s="4" t="s">
        <v>44</v>
      </c>
      <c r="K27" s="4" t="s">
        <v>44</v>
      </c>
      <c r="L27" s="4" t="s">
        <v>19</v>
      </c>
    </row>
    <row r="28" spans="3:15" ht="15.75" customHeight="1">
      <c r="C28" s="3">
        <v>26</v>
      </c>
      <c r="D28" s="4">
        <v>900</v>
      </c>
      <c r="E28" s="4">
        <v>5.8</v>
      </c>
      <c r="F28" s="4">
        <v>56</v>
      </c>
      <c r="G28" s="4">
        <v>60</v>
      </c>
      <c r="H28" s="4">
        <v>122.7</v>
      </c>
      <c r="I28" s="4">
        <v>90</v>
      </c>
      <c r="J28" s="4">
        <v>400</v>
      </c>
      <c r="K28" s="4" t="s">
        <v>0</v>
      </c>
      <c r="L28" s="4" t="s">
        <v>19</v>
      </c>
    </row>
    <row r="29" spans="3:15" ht="15.75" customHeight="1">
      <c r="C29" s="3">
        <v>27</v>
      </c>
      <c r="D29" s="4">
        <v>2400</v>
      </c>
      <c r="E29" s="4">
        <v>36</v>
      </c>
      <c r="F29" s="4">
        <v>100</v>
      </c>
      <c r="G29" s="4">
        <v>97</v>
      </c>
      <c r="H29" s="4">
        <v>723.7</v>
      </c>
      <c r="I29" s="4">
        <v>80</v>
      </c>
      <c r="J29" s="4">
        <v>500</v>
      </c>
      <c r="K29" s="4" t="s">
        <v>19</v>
      </c>
      <c r="L29" s="4" t="s">
        <v>74</v>
      </c>
      <c r="O29" s="15"/>
    </row>
    <row r="30" spans="3:15" ht="15.75" customHeight="1">
      <c r="C30" s="3">
        <v>28</v>
      </c>
      <c r="D30" s="4">
        <v>200</v>
      </c>
      <c r="E30" s="4">
        <v>0.8</v>
      </c>
      <c r="F30" s="4">
        <v>25</v>
      </c>
      <c r="G30" s="4">
        <v>99.5</v>
      </c>
      <c r="H30" s="4">
        <v>14.8</v>
      </c>
      <c r="I30" s="4">
        <v>260</v>
      </c>
      <c r="J30" s="4">
        <v>20</v>
      </c>
      <c r="K30" s="4" t="s">
        <v>44</v>
      </c>
      <c r="L30" s="4" t="s">
        <v>0</v>
      </c>
    </row>
    <row r="31" spans="3:15" ht="15.75" customHeight="1">
      <c r="C31" s="3">
        <v>29</v>
      </c>
      <c r="D31" s="4">
        <v>2300</v>
      </c>
      <c r="E31" s="4">
        <v>20.9</v>
      </c>
      <c r="F31" s="4">
        <v>80</v>
      </c>
      <c r="G31" s="4">
        <v>50</v>
      </c>
      <c r="H31" s="4">
        <v>615.70000000000005</v>
      </c>
      <c r="I31" s="4">
        <v>100</v>
      </c>
      <c r="J31" s="4">
        <v>400</v>
      </c>
      <c r="K31" s="4" t="s">
        <v>19</v>
      </c>
      <c r="L31" s="4" t="s">
        <v>19</v>
      </c>
    </row>
    <row r="32" spans="3:15" ht="15.75" customHeight="1">
      <c r="C32" s="3">
        <v>30</v>
      </c>
      <c r="D32" s="4">
        <v>465</v>
      </c>
      <c r="E32" s="4">
        <v>4.5</v>
      </c>
      <c r="F32" s="4">
        <v>20</v>
      </c>
      <c r="G32" s="4">
        <v>97</v>
      </c>
      <c r="H32" s="4">
        <v>116.9</v>
      </c>
      <c r="I32" s="4">
        <v>300</v>
      </c>
      <c r="J32" s="4">
        <v>250</v>
      </c>
      <c r="K32" s="4" t="s">
        <v>0</v>
      </c>
      <c r="L32" s="4" t="s">
        <v>19</v>
      </c>
    </row>
    <row r="33" spans="3:12" ht="15.75" customHeight="1">
      <c r="C33" s="3">
        <v>31</v>
      </c>
      <c r="D33" s="4">
        <v>1000</v>
      </c>
      <c r="E33" s="4" t="s">
        <v>44</v>
      </c>
      <c r="F33" s="4">
        <v>200</v>
      </c>
      <c r="G33" s="4">
        <v>98</v>
      </c>
      <c r="H33" s="4">
        <v>121.9</v>
      </c>
      <c r="I33" s="4" t="s">
        <v>44</v>
      </c>
      <c r="J33" s="4" t="s">
        <v>44</v>
      </c>
      <c r="K33" s="4" t="s">
        <v>19</v>
      </c>
      <c r="L33" s="4" t="s">
        <v>0</v>
      </c>
    </row>
    <row r="34" spans="3:12" ht="15.75" customHeight="1">
      <c r="C34" s="3">
        <v>32</v>
      </c>
      <c r="D34" s="4">
        <v>2715</v>
      </c>
      <c r="E34" s="4">
        <v>27.1</v>
      </c>
      <c r="F34" s="4">
        <v>100.4</v>
      </c>
      <c r="G34" s="4">
        <v>98.85</v>
      </c>
      <c r="H34" s="4">
        <v>621.20000000000005</v>
      </c>
      <c r="I34" s="4">
        <v>1432</v>
      </c>
      <c r="J34" s="4">
        <v>600</v>
      </c>
      <c r="K34" s="4" t="s">
        <v>0</v>
      </c>
      <c r="L34" s="4" t="s">
        <v>19</v>
      </c>
    </row>
    <row r="35" spans="3:12" ht="15.75" customHeight="1">
      <c r="C35" s="3">
        <v>33</v>
      </c>
      <c r="D35" s="4">
        <v>2600</v>
      </c>
      <c r="E35" s="4">
        <v>34.5</v>
      </c>
      <c r="F35" s="4">
        <v>142.1</v>
      </c>
      <c r="G35" s="4">
        <v>90</v>
      </c>
      <c r="H35" s="4">
        <v>571.29999999999995</v>
      </c>
      <c r="I35" s="4">
        <v>280</v>
      </c>
      <c r="J35" s="4">
        <v>300</v>
      </c>
      <c r="K35" s="4" t="s">
        <v>0</v>
      </c>
      <c r="L35" s="4" t="s">
        <v>74</v>
      </c>
    </row>
    <row r="36" spans="3:12" ht="15.75" customHeight="1">
      <c r="C36" s="3">
        <v>34</v>
      </c>
      <c r="D36" s="4">
        <v>694</v>
      </c>
      <c r="E36" s="4">
        <v>6.3</v>
      </c>
      <c r="F36" s="4">
        <v>55.5</v>
      </c>
      <c r="G36" s="4">
        <v>97</v>
      </c>
      <c r="H36" s="4">
        <v>138.4</v>
      </c>
      <c r="I36" s="4">
        <v>100</v>
      </c>
      <c r="J36" s="4">
        <v>300</v>
      </c>
      <c r="K36" s="4" t="s">
        <v>0</v>
      </c>
      <c r="L36" s="4" t="s">
        <v>19</v>
      </c>
    </row>
    <row r="37" spans="3:12" ht="15.75" customHeight="1">
      <c r="C37" s="3">
        <v>35</v>
      </c>
      <c r="D37" s="4">
        <v>4262</v>
      </c>
      <c r="E37" s="4">
        <v>61.8</v>
      </c>
      <c r="F37" s="4">
        <v>81</v>
      </c>
      <c r="G37" s="4">
        <v>97</v>
      </c>
      <c r="H37" s="4">
        <v>919.3</v>
      </c>
      <c r="I37" s="4">
        <v>192</v>
      </c>
      <c r="J37" s="4" t="s">
        <v>44</v>
      </c>
      <c r="K37" s="4" t="s">
        <v>0</v>
      </c>
      <c r="L37" s="4" t="s">
        <v>19</v>
      </c>
    </row>
    <row r="38" spans="3:12" ht="15.75" customHeight="1">
      <c r="C38" s="3">
        <v>36</v>
      </c>
      <c r="D38" s="4">
        <v>3600</v>
      </c>
      <c r="E38" s="4">
        <v>62</v>
      </c>
      <c r="F38" s="4">
        <v>117.2</v>
      </c>
      <c r="G38" s="4">
        <v>92.2</v>
      </c>
      <c r="H38" s="4">
        <v>830.4</v>
      </c>
      <c r="I38" s="4">
        <v>240</v>
      </c>
      <c r="J38" s="4">
        <v>300</v>
      </c>
      <c r="K38" s="4" t="s">
        <v>19</v>
      </c>
      <c r="L38" s="4" t="s">
        <v>0</v>
      </c>
    </row>
    <row r="39" spans="3:12" ht="15.75" customHeight="1">
      <c r="C39" s="3">
        <v>37</v>
      </c>
      <c r="D39" s="4">
        <v>1163</v>
      </c>
      <c r="E39" s="4">
        <v>11.7</v>
      </c>
      <c r="F39" s="4">
        <v>123</v>
      </c>
      <c r="G39" s="4">
        <v>99.7</v>
      </c>
      <c r="H39" s="4">
        <v>199.7</v>
      </c>
      <c r="I39" s="4">
        <v>427</v>
      </c>
      <c r="J39" s="4">
        <v>150</v>
      </c>
      <c r="K39" s="4" t="s">
        <v>19</v>
      </c>
      <c r="L39" s="4" t="s">
        <v>0</v>
      </c>
    </row>
    <row r="40" spans="3:12" ht="15.75" customHeight="1">
      <c r="C40" s="3">
        <v>38</v>
      </c>
      <c r="D40" s="4">
        <v>2700</v>
      </c>
      <c r="E40" s="7">
        <v>27</v>
      </c>
      <c r="F40" s="4">
        <v>115</v>
      </c>
      <c r="G40" s="4">
        <v>91</v>
      </c>
      <c r="H40" s="4">
        <v>559.70000000000005</v>
      </c>
      <c r="I40" s="4">
        <v>65</v>
      </c>
      <c r="J40" s="4" t="s">
        <v>44</v>
      </c>
      <c r="K40" s="4" t="s">
        <v>19</v>
      </c>
      <c r="L40" s="4" t="s">
        <v>19</v>
      </c>
    </row>
    <row r="41" spans="3:12" ht="15.75" customHeight="1">
      <c r="C41" s="3">
        <v>39</v>
      </c>
      <c r="D41" s="4">
        <v>3200</v>
      </c>
      <c r="E41" s="4">
        <v>29.5</v>
      </c>
      <c r="F41" s="4">
        <v>164</v>
      </c>
      <c r="G41" s="4">
        <v>81</v>
      </c>
      <c r="H41" s="4">
        <v>451.6</v>
      </c>
      <c r="I41" s="4">
        <v>100</v>
      </c>
      <c r="J41" s="4" t="s">
        <v>44</v>
      </c>
      <c r="K41" s="4" t="s">
        <v>44</v>
      </c>
      <c r="L41" s="4" t="s">
        <v>19</v>
      </c>
    </row>
    <row r="42" spans="3:12" ht="15.75" customHeight="1">
      <c r="C42" s="3">
        <v>40</v>
      </c>
      <c r="D42" s="4">
        <v>1460</v>
      </c>
      <c r="E42" s="4" t="s">
        <v>44</v>
      </c>
      <c r="F42" s="4" t="s">
        <v>44</v>
      </c>
      <c r="G42" s="4">
        <v>90</v>
      </c>
      <c r="H42" s="4">
        <v>450.8</v>
      </c>
      <c r="I42" s="4">
        <v>250</v>
      </c>
      <c r="J42" s="4">
        <v>300</v>
      </c>
      <c r="K42" s="4" t="s">
        <v>19</v>
      </c>
      <c r="L42" s="4" t="s">
        <v>19</v>
      </c>
    </row>
    <row r="43" spans="3:12" ht="15.75" customHeight="1">
      <c r="C43" s="3">
        <v>41</v>
      </c>
      <c r="D43" s="4">
        <v>1600</v>
      </c>
      <c r="E43" s="7">
        <v>16</v>
      </c>
      <c r="F43" s="4">
        <v>77</v>
      </c>
      <c r="G43" s="4">
        <v>99</v>
      </c>
      <c r="H43" s="4">
        <v>624.29999999999995</v>
      </c>
      <c r="I43" s="4">
        <v>50</v>
      </c>
      <c r="J43" s="4">
        <v>200</v>
      </c>
      <c r="K43" s="4" t="s">
        <v>19</v>
      </c>
      <c r="L43" s="4" t="s">
        <v>19</v>
      </c>
    </row>
    <row r="44" spans="3:12" ht="15.75" customHeight="1">
      <c r="C44" s="3">
        <v>42</v>
      </c>
      <c r="D44" s="4">
        <v>2044</v>
      </c>
      <c r="E44" s="7">
        <v>22.4</v>
      </c>
      <c r="F44" s="4">
        <v>93</v>
      </c>
      <c r="G44" s="4">
        <v>88</v>
      </c>
      <c r="H44" s="4">
        <v>612.4</v>
      </c>
      <c r="I44" s="4" t="s">
        <v>44</v>
      </c>
      <c r="J44" s="4" t="s">
        <v>44</v>
      </c>
      <c r="K44" s="4" t="s">
        <v>19</v>
      </c>
      <c r="L44" s="4" t="s">
        <v>19</v>
      </c>
    </row>
    <row r="45" spans="3:12" ht="15.75" customHeight="1">
      <c r="C45" s="3">
        <v>43</v>
      </c>
      <c r="D45" s="4">
        <v>2442</v>
      </c>
      <c r="E45" s="7">
        <v>24.42</v>
      </c>
      <c r="F45" s="4">
        <v>100</v>
      </c>
      <c r="G45" s="4">
        <v>95.09</v>
      </c>
      <c r="H45" s="4">
        <v>143.5</v>
      </c>
      <c r="I45" s="4">
        <v>20</v>
      </c>
      <c r="J45" s="4">
        <v>100</v>
      </c>
      <c r="K45" s="4" t="s">
        <v>19</v>
      </c>
      <c r="L45" s="4" t="s">
        <v>19</v>
      </c>
    </row>
    <row r="46" spans="3:12" ht="15.75" customHeight="1">
      <c r="C46" s="3">
        <v>44</v>
      </c>
      <c r="D46" s="4">
        <v>811</v>
      </c>
      <c r="E46" s="7">
        <v>8.11</v>
      </c>
      <c r="F46" s="4">
        <v>45</v>
      </c>
      <c r="G46" s="4">
        <v>94</v>
      </c>
      <c r="H46" s="4">
        <v>733.2</v>
      </c>
      <c r="I46" s="4">
        <v>10</v>
      </c>
      <c r="J46" s="4" t="s">
        <v>44</v>
      </c>
      <c r="K46" s="4" t="s">
        <v>19</v>
      </c>
      <c r="L46" s="4" t="s">
        <v>19</v>
      </c>
    </row>
    <row r="47" spans="3:12" ht="15.75" customHeight="1">
      <c r="C47" s="3">
        <v>45</v>
      </c>
      <c r="D47" s="4">
        <v>1450</v>
      </c>
      <c r="E47" s="7">
        <v>14.5</v>
      </c>
      <c r="F47" s="4">
        <v>70</v>
      </c>
      <c r="G47" s="4">
        <v>68</v>
      </c>
      <c r="H47" s="4">
        <v>769</v>
      </c>
      <c r="I47" s="4">
        <v>100</v>
      </c>
      <c r="J47" s="4">
        <v>250</v>
      </c>
      <c r="K47" s="4" t="s">
        <v>0</v>
      </c>
      <c r="L47" s="4" t="s">
        <v>19</v>
      </c>
    </row>
    <row r="48" spans="3:12" ht="15.75" customHeight="1">
      <c r="C48" s="3">
        <v>46</v>
      </c>
      <c r="D48" s="4">
        <v>2793</v>
      </c>
      <c r="E48" s="7">
        <v>2.9</v>
      </c>
      <c r="F48" s="4">
        <v>110</v>
      </c>
      <c r="G48" s="4">
        <v>96.5</v>
      </c>
      <c r="H48" s="4">
        <v>563.1</v>
      </c>
      <c r="I48" s="4">
        <v>50</v>
      </c>
      <c r="J48" s="4">
        <v>800</v>
      </c>
      <c r="K48" s="4" t="s">
        <v>19</v>
      </c>
      <c r="L48" s="4" t="s">
        <v>19</v>
      </c>
    </row>
    <row r="49" spans="3:12" ht="15.75" customHeight="1">
      <c r="C49" s="3">
        <v>47</v>
      </c>
      <c r="D49" s="4">
        <v>2600</v>
      </c>
      <c r="E49" s="7">
        <v>26</v>
      </c>
      <c r="F49" s="7">
        <v>98.2</v>
      </c>
      <c r="G49" s="4">
        <v>97</v>
      </c>
      <c r="H49" s="4">
        <v>485.9</v>
      </c>
      <c r="I49" s="4">
        <v>360</v>
      </c>
      <c r="J49" s="4">
        <v>150</v>
      </c>
      <c r="K49" s="4" t="s">
        <v>19</v>
      </c>
      <c r="L49" s="4" t="s">
        <v>19</v>
      </c>
    </row>
    <row r="50" spans="3:12" ht="15.75" customHeight="1">
      <c r="C50" s="3">
        <v>48</v>
      </c>
      <c r="D50" s="4">
        <v>1980</v>
      </c>
      <c r="E50" s="7">
        <v>19.8</v>
      </c>
      <c r="F50" s="4">
        <v>85</v>
      </c>
      <c r="G50" s="4">
        <v>74</v>
      </c>
      <c r="H50" s="4">
        <v>554.1</v>
      </c>
      <c r="I50" s="4">
        <v>110</v>
      </c>
      <c r="J50" s="4">
        <v>100</v>
      </c>
      <c r="K50" s="4" t="s">
        <v>19</v>
      </c>
      <c r="L50" s="4" t="s">
        <v>19</v>
      </c>
    </row>
    <row r="51" spans="3:12" ht="15.75" customHeight="1">
      <c r="C51" s="3">
        <v>49</v>
      </c>
      <c r="D51" s="4">
        <v>1960</v>
      </c>
      <c r="E51" s="7">
        <v>19.600000000000001</v>
      </c>
      <c r="F51" s="4">
        <v>90</v>
      </c>
      <c r="G51" s="4">
        <v>90</v>
      </c>
      <c r="H51" s="4">
        <v>513.70000000000005</v>
      </c>
      <c r="I51" s="4">
        <v>25</v>
      </c>
      <c r="J51" s="4">
        <v>100</v>
      </c>
      <c r="K51" s="4" t="s">
        <v>19</v>
      </c>
      <c r="L51" s="4" t="s">
        <v>19</v>
      </c>
    </row>
    <row r="52" spans="3:12" ht="15.75" customHeight="1">
      <c r="C52" s="3">
        <v>50</v>
      </c>
      <c r="D52" s="4">
        <v>1700</v>
      </c>
      <c r="E52" s="4">
        <v>16</v>
      </c>
      <c r="F52" s="7">
        <v>57.5</v>
      </c>
      <c r="G52" s="4">
        <v>93</v>
      </c>
      <c r="H52" s="4">
        <v>661</v>
      </c>
      <c r="I52" s="4">
        <v>200</v>
      </c>
      <c r="J52" s="4">
        <v>800</v>
      </c>
      <c r="K52" s="4" t="s">
        <v>19</v>
      </c>
      <c r="L52" s="4" t="s">
        <v>19</v>
      </c>
    </row>
    <row r="53" spans="3:12" ht="15.75" customHeight="1">
      <c r="C53" s="3">
        <v>51</v>
      </c>
      <c r="D53" s="4">
        <v>3350</v>
      </c>
      <c r="E53" s="7">
        <v>33.5</v>
      </c>
      <c r="F53" s="4">
        <v>100</v>
      </c>
      <c r="G53" s="4">
        <v>97.2</v>
      </c>
      <c r="H53" s="4">
        <v>700.3</v>
      </c>
      <c r="I53" s="4" t="s">
        <v>44</v>
      </c>
      <c r="J53" s="4">
        <v>250</v>
      </c>
      <c r="K53" s="4" t="s">
        <v>19</v>
      </c>
      <c r="L53" s="4" t="s">
        <v>19</v>
      </c>
    </row>
    <row r="54" spans="3:12" ht="15.75" customHeight="1">
      <c r="C54" s="3">
        <v>52</v>
      </c>
      <c r="D54" s="4">
        <v>774</v>
      </c>
      <c r="E54" s="7">
        <v>7.7</v>
      </c>
      <c r="F54" s="4">
        <v>45</v>
      </c>
      <c r="G54" s="4">
        <v>90</v>
      </c>
      <c r="H54" s="4">
        <v>223.9</v>
      </c>
      <c r="I54" s="4">
        <v>50</v>
      </c>
      <c r="J54" s="4">
        <v>100</v>
      </c>
      <c r="K54" s="4" t="s">
        <v>19</v>
      </c>
      <c r="L54" s="4" t="s">
        <v>19</v>
      </c>
    </row>
    <row r="55" spans="3:12" ht="15.75" customHeight="1">
      <c r="C55" s="3">
        <v>53</v>
      </c>
      <c r="D55" s="4">
        <v>2063</v>
      </c>
      <c r="E55" s="7">
        <v>20.6</v>
      </c>
      <c r="F55" s="4">
        <v>100</v>
      </c>
      <c r="G55" s="4">
        <v>80</v>
      </c>
      <c r="H55" s="4">
        <v>498.3</v>
      </c>
      <c r="I55" s="4">
        <v>30</v>
      </c>
      <c r="J55" s="4">
        <v>150</v>
      </c>
      <c r="K55" s="4" t="s">
        <v>19</v>
      </c>
      <c r="L55" s="4" t="s">
        <v>19</v>
      </c>
    </row>
    <row r="56" spans="3:12" ht="15.75" customHeight="1">
      <c r="C56" s="3">
        <v>54</v>
      </c>
      <c r="D56" s="4">
        <v>2755</v>
      </c>
      <c r="E56" s="7">
        <v>2.75</v>
      </c>
      <c r="F56" s="4">
        <v>130</v>
      </c>
      <c r="G56" s="4">
        <v>84</v>
      </c>
      <c r="H56" s="4">
        <v>515.20000000000005</v>
      </c>
      <c r="I56" s="4">
        <v>300</v>
      </c>
      <c r="J56" s="4">
        <v>500</v>
      </c>
      <c r="K56" s="4" t="s">
        <v>0</v>
      </c>
      <c r="L56" s="4" t="s">
        <v>19</v>
      </c>
    </row>
    <row r="57" spans="3:12" ht="15.75" customHeight="1">
      <c r="C57" s="3">
        <v>55</v>
      </c>
      <c r="D57" s="4">
        <v>3300</v>
      </c>
      <c r="E57" s="7">
        <v>33</v>
      </c>
      <c r="F57" s="4">
        <v>160</v>
      </c>
      <c r="G57" s="4">
        <v>90</v>
      </c>
      <c r="H57" s="4">
        <v>506.2</v>
      </c>
      <c r="I57" s="4" t="s">
        <v>44</v>
      </c>
      <c r="J57" s="4" t="s">
        <v>44</v>
      </c>
      <c r="K57" s="4" t="s">
        <v>19</v>
      </c>
      <c r="L57" s="4" t="s">
        <v>19</v>
      </c>
    </row>
    <row r="58" spans="3:12" ht="15.75" customHeight="1">
      <c r="C58" s="3">
        <v>56</v>
      </c>
      <c r="D58" s="4">
        <v>1280</v>
      </c>
      <c r="E58" s="7">
        <v>12.8</v>
      </c>
      <c r="F58" s="4">
        <v>70</v>
      </c>
      <c r="G58" s="4">
        <v>51</v>
      </c>
      <c r="H58" s="4">
        <v>392.9</v>
      </c>
      <c r="I58" s="4" t="s">
        <v>44</v>
      </c>
      <c r="J58" s="4" t="s">
        <v>44</v>
      </c>
      <c r="K58" s="4" t="s">
        <v>44</v>
      </c>
      <c r="L58" s="4" t="s">
        <v>19</v>
      </c>
    </row>
    <row r="59" spans="3:12" ht="15.75" customHeight="1">
      <c r="C59" s="3">
        <v>57</v>
      </c>
      <c r="D59" s="4">
        <v>1655</v>
      </c>
      <c r="E59" s="7">
        <v>16.5</v>
      </c>
      <c r="F59" s="7">
        <v>69.5</v>
      </c>
      <c r="G59" s="4">
        <v>88.1</v>
      </c>
      <c r="H59" s="4">
        <v>573.70000000000005</v>
      </c>
      <c r="I59" s="4" t="s">
        <v>44</v>
      </c>
      <c r="J59" s="4" t="s">
        <v>44</v>
      </c>
      <c r="K59" s="4" t="s">
        <v>44</v>
      </c>
      <c r="L59" s="4" t="s">
        <v>19</v>
      </c>
    </row>
    <row r="60" spans="3:12" ht="15.75" customHeight="1">
      <c r="C60" s="3">
        <v>58</v>
      </c>
      <c r="D60" s="4">
        <v>1428</v>
      </c>
      <c r="E60" s="7">
        <v>14.23</v>
      </c>
      <c r="F60" s="7">
        <v>60.7</v>
      </c>
      <c r="G60" s="4">
        <v>63</v>
      </c>
      <c r="H60" s="4">
        <v>569</v>
      </c>
      <c r="I60" s="4" t="s">
        <v>44</v>
      </c>
      <c r="J60" s="4" t="s">
        <v>44</v>
      </c>
      <c r="K60" s="4" t="s">
        <v>44</v>
      </c>
      <c r="L60" s="4" t="s">
        <v>19</v>
      </c>
    </row>
    <row r="61" spans="3:12" ht="15.75" customHeight="1">
      <c r="C61" s="3">
        <v>59</v>
      </c>
      <c r="D61" s="4">
        <v>3000</v>
      </c>
      <c r="E61" s="4">
        <v>41</v>
      </c>
      <c r="F61" s="4" t="s">
        <v>44</v>
      </c>
      <c r="G61" s="4">
        <v>72</v>
      </c>
      <c r="H61" s="4">
        <v>795.8</v>
      </c>
      <c r="I61" s="4">
        <v>1500</v>
      </c>
      <c r="J61" s="4">
        <v>3000</v>
      </c>
      <c r="K61" s="4" t="s">
        <v>0</v>
      </c>
      <c r="L61" s="4" t="s">
        <v>19</v>
      </c>
    </row>
    <row r="62" spans="3:12" ht="15.75" customHeight="1">
      <c r="C62" s="3">
        <v>60</v>
      </c>
      <c r="D62" s="4">
        <v>2474</v>
      </c>
      <c r="E62" s="4">
        <v>24.9</v>
      </c>
      <c r="F62" s="4">
        <v>105</v>
      </c>
      <c r="G62" s="4">
        <v>57</v>
      </c>
      <c r="H62" s="4">
        <v>565.1</v>
      </c>
      <c r="I62" s="4" t="s">
        <v>44</v>
      </c>
      <c r="J62" s="4" t="s">
        <v>44</v>
      </c>
      <c r="K62" s="4" t="s">
        <v>19</v>
      </c>
      <c r="L62" s="4" t="s">
        <v>19</v>
      </c>
    </row>
    <row r="63" spans="3:12" ht="15.75" customHeight="1">
      <c r="C63" s="3">
        <v>61</v>
      </c>
      <c r="D63" s="4">
        <v>2791</v>
      </c>
      <c r="E63" s="4">
        <v>25.6</v>
      </c>
      <c r="F63" s="4">
        <v>86</v>
      </c>
      <c r="G63" s="4">
        <v>98.6</v>
      </c>
      <c r="H63" s="4">
        <v>665.5</v>
      </c>
      <c r="I63" s="4">
        <v>80</v>
      </c>
      <c r="J63" s="4">
        <v>200</v>
      </c>
      <c r="K63" s="4" t="s">
        <v>0</v>
      </c>
      <c r="L63" s="4" t="s">
        <v>19</v>
      </c>
    </row>
    <row r="64" spans="3:12" ht="15.75" customHeight="1">
      <c r="C64" s="3">
        <v>62</v>
      </c>
      <c r="D64" s="4">
        <v>2500</v>
      </c>
      <c r="E64" s="4">
        <v>25</v>
      </c>
      <c r="F64" s="4">
        <v>115</v>
      </c>
      <c r="G64" s="4">
        <v>60</v>
      </c>
      <c r="H64" s="4">
        <v>525.6</v>
      </c>
      <c r="I64" s="4">
        <v>160</v>
      </c>
      <c r="J64" s="4">
        <v>280</v>
      </c>
      <c r="K64" s="4" t="s">
        <v>19</v>
      </c>
      <c r="L64" s="4" t="s">
        <v>19</v>
      </c>
    </row>
    <row r="65" spans="3:12" ht="15.75" customHeight="1">
      <c r="C65" s="3">
        <v>63</v>
      </c>
      <c r="D65" s="4">
        <v>3400</v>
      </c>
      <c r="E65" s="4">
        <v>45.5</v>
      </c>
      <c r="F65" s="4">
        <v>102</v>
      </c>
      <c r="G65" s="4">
        <v>39</v>
      </c>
      <c r="H65" s="4">
        <v>786.6</v>
      </c>
      <c r="I65" s="4" t="s">
        <v>44</v>
      </c>
      <c r="J65" s="4" t="s">
        <v>44</v>
      </c>
      <c r="K65" s="4" t="s">
        <v>0</v>
      </c>
      <c r="L65" s="4" t="s">
        <v>19</v>
      </c>
    </row>
    <row r="66" spans="3:12" ht="15.75" customHeight="1">
      <c r="C66" s="3">
        <v>64</v>
      </c>
      <c r="D66" s="4">
        <v>375</v>
      </c>
      <c r="E66" s="7">
        <v>3.7</v>
      </c>
      <c r="F66" s="7">
        <v>32.4</v>
      </c>
      <c r="G66" s="4">
        <v>50</v>
      </c>
      <c r="H66" s="4">
        <v>81.099999999999994</v>
      </c>
      <c r="I66" s="4" t="s">
        <v>44</v>
      </c>
      <c r="J66" s="4">
        <v>150</v>
      </c>
      <c r="K66" s="4" t="s">
        <v>44</v>
      </c>
      <c r="L66" s="4" t="s">
        <v>74</v>
      </c>
    </row>
    <row r="67" spans="3:12" ht="15.75" customHeight="1">
      <c r="C67" s="3">
        <v>65</v>
      </c>
      <c r="D67" s="4">
        <v>1362.5</v>
      </c>
      <c r="E67" s="4">
        <v>16.2</v>
      </c>
      <c r="F67" s="4">
        <v>75</v>
      </c>
      <c r="G67" s="4">
        <v>96.7</v>
      </c>
      <c r="H67" s="4">
        <v>516.29999999999995</v>
      </c>
      <c r="I67" s="4">
        <v>25</v>
      </c>
      <c r="J67" s="4">
        <v>200</v>
      </c>
      <c r="K67" s="4" t="s">
        <v>19</v>
      </c>
      <c r="L67" s="4" t="s">
        <v>19</v>
      </c>
    </row>
    <row r="68" spans="3:12" ht="15.75" customHeight="1">
      <c r="C68" s="3">
        <v>66</v>
      </c>
      <c r="D68" s="4">
        <v>2051.3000000000002</v>
      </c>
      <c r="E68" s="7">
        <v>20.5</v>
      </c>
      <c r="F68" s="4" t="s">
        <v>44</v>
      </c>
      <c r="G68" s="4">
        <v>96.25</v>
      </c>
      <c r="H68" s="4">
        <v>723</v>
      </c>
      <c r="I68" s="4" t="s">
        <v>44</v>
      </c>
      <c r="J68" s="4" t="s">
        <v>44</v>
      </c>
      <c r="K68" s="4" t="s">
        <v>44</v>
      </c>
      <c r="L68" s="4" t="s">
        <v>19</v>
      </c>
    </row>
    <row r="69" spans="3:12" ht="15.75" customHeight="1">
      <c r="C69" s="3">
        <v>67</v>
      </c>
      <c r="D69" s="4">
        <v>1662</v>
      </c>
      <c r="E69" s="4">
        <v>18.399999999999999</v>
      </c>
      <c r="F69" s="4">
        <v>68.3</v>
      </c>
      <c r="G69" s="4">
        <v>86.1</v>
      </c>
      <c r="H69" s="4">
        <v>636.6</v>
      </c>
      <c r="I69" s="4">
        <v>83.5</v>
      </c>
      <c r="J69" s="4">
        <v>150</v>
      </c>
      <c r="K69" s="4" t="s">
        <v>19</v>
      </c>
      <c r="L69" s="4" t="s">
        <v>19</v>
      </c>
    </row>
    <row r="70" spans="3:12" ht="15.75" customHeight="1">
      <c r="C70" s="3">
        <v>68</v>
      </c>
      <c r="D70" s="4">
        <v>1188</v>
      </c>
      <c r="E70" s="7">
        <v>11.8</v>
      </c>
      <c r="F70" s="4">
        <v>44</v>
      </c>
      <c r="G70" s="4">
        <v>97</v>
      </c>
      <c r="H70" s="4">
        <v>667.3</v>
      </c>
      <c r="I70" s="4" t="s">
        <v>44</v>
      </c>
      <c r="J70" s="4" t="s">
        <v>44</v>
      </c>
      <c r="K70" s="4" t="s">
        <v>19</v>
      </c>
      <c r="L70" s="4" t="s">
        <v>19</v>
      </c>
    </row>
    <row r="71" spans="3:12" ht="15.75" customHeight="1">
      <c r="C71" s="3">
        <v>69</v>
      </c>
      <c r="D71" s="4">
        <v>1574</v>
      </c>
      <c r="E71" s="4">
        <v>16.5</v>
      </c>
      <c r="F71" s="4">
        <v>55</v>
      </c>
      <c r="G71" s="4">
        <v>82</v>
      </c>
      <c r="H71" s="4">
        <v>694.2</v>
      </c>
      <c r="I71" s="4">
        <v>180</v>
      </c>
      <c r="J71" s="4">
        <v>200</v>
      </c>
      <c r="K71" s="4" t="s">
        <v>0</v>
      </c>
      <c r="L71" s="4" t="s">
        <v>19</v>
      </c>
    </row>
    <row r="72" spans="3:12" ht="15.75" customHeight="1">
      <c r="C72" s="3">
        <v>70</v>
      </c>
      <c r="D72" s="4">
        <v>2804</v>
      </c>
      <c r="E72" s="7">
        <v>28</v>
      </c>
      <c r="F72" s="4">
        <v>90</v>
      </c>
      <c r="G72" s="4">
        <v>42.9</v>
      </c>
      <c r="H72" s="4">
        <v>679.9</v>
      </c>
      <c r="I72" s="4" t="s">
        <v>44</v>
      </c>
      <c r="J72" s="4" t="s">
        <v>44</v>
      </c>
      <c r="K72" s="4" t="s">
        <v>0</v>
      </c>
      <c r="L72" s="4" t="s">
        <v>19</v>
      </c>
    </row>
    <row r="73" spans="3:12" ht="15.75" customHeight="1">
      <c r="C73" s="3">
        <v>71</v>
      </c>
      <c r="D73" s="4">
        <v>2500</v>
      </c>
      <c r="E73" s="7">
        <v>25</v>
      </c>
      <c r="F73" s="4" t="s">
        <v>44</v>
      </c>
      <c r="G73" s="4">
        <v>80</v>
      </c>
      <c r="H73" s="4">
        <v>712</v>
      </c>
      <c r="I73" s="4" t="s">
        <v>44</v>
      </c>
      <c r="J73" s="4" t="s">
        <v>44</v>
      </c>
      <c r="K73" s="4" t="s">
        <v>19</v>
      </c>
      <c r="L73" s="4" t="s">
        <v>19</v>
      </c>
    </row>
    <row r="74" spans="3:12" ht="15.75" customHeight="1">
      <c r="C74" s="3">
        <v>72</v>
      </c>
      <c r="D74" s="4">
        <v>618</v>
      </c>
      <c r="E74" s="4">
        <v>7.58</v>
      </c>
      <c r="F74" s="4">
        <v>32</v>
      </c>
      <c r="G74" s="4">
        <v>70</v>
      </c>
      <c r="H74" s="4">
        <v>544</v>
      </c>
      <c r="I74" s="4">
        <v>73</v>
      </c>
      <c r="J74" s="4" t="s">
        <v>44</v>
      </c>
      <c r="K74" s="4" t="s">
        <v>0</v>
      </c>
      <c r="L74" s="4" t="s">
        <v>19</v>
      </c>
    </row>
    <row r="75" spans="3:12" ht="15.75" customHeight="1">
      <c r="C75" s="3">
        <v>73</v>
      </c>
      <c r="D75" s="4">
        <v>1716</v>
      </c>
      <c r="E75" s="7">
        <v>17.100000000000001</v>
      </c>
      <c r="F75" s="4">
        <v>94</v>
      </c>
      <c r="G75" s="4">
        <v>91</v>
      </c>
      <c r="H75" s="4">
        <v>429.2</v>
      </c>
      <c r="I75" s="4">
        <v>200</v>
      </c>
      <c r="J75" s="4">
        <v>300</v>
      </c>
      <c r="K75" s="4" t="s">
        <v>0</v>
      </c>
      <c r="L75" s="4" t="s">
        <v>19</v>
      </c>
    </row>
    <row r="76" spans="3:12" ht="15.75" customHeight="1">
      <c r="C76" s="3">
        <v>74</v>
      </c>
      <c r="D76" s="4">
        <v>3799.9</v>
      </c>
      <c r="E76" s="7">
        <v>38</v>
      </c>
      <c r="F76" s="4">
        <v>136</v>
      </c>
      <c r="G76" s="4">
        <v>65</v>
      </c>
      <c r="H76" s="4">
        <v>625.9</v>
      </c>
      <c r="I76" s="4">
        <v>90</v>
      </c>
      <c r="J76" s="4">
        <v>500</v>
      </c>
      <c r="K76" s="4" t="s">
        <v>44</v>
      </c>
      <c r="L76" s="4" t="s">
        <v>19</v>
      </c>
    </row>
    <row r="77" spans="3:12" ht="15.75" customHeight="1">
      <c r="C77" s="3">
        <v>75</v>
      </c>
      <c r="D77" s="4">
        <v>1832</v>
      </c>
      <c r="E77" s="7">
        <v>18.3</v>
      </c>
      <c r="F77" s="4">
        <v>92</v>
      </c>
      <c r="G77" s="4">
        <v>70.349999999999994</v>
      </c>
      <c r="H77" s="4">
        <v>476.5</v>
      </c>
      <c r="I77" s="4">
        <v>80</v>
      </c>
      <c r="J77" s="4">
        <v>300</v>
      </c>
      <c r="K77" s="4" t="s">
        <v>19</v>
      </c>
      <c r="L77" s="4" t="s">
        <v>19</v>
      </c>
    </row>
    <row r="78" spans="3:12" ht="15.75" customHeight="1">
      <c r="C78" s="3">
        <v>76</v>
      </c>
      <c r="D78" s="4">
        <v>1486</v>
      </c>
      <c r="E78" s="7">
        <v>14.8</v>
      </c>
      <c r="F78" s="4">
        <v>78</v>
      </c>
      <c r="G78" s="4">
        <v>80.42</v>
      </c>
      <c r="H78" s="4">
        <v>437.3</v>
      </c>
      <c r="I78" s="4" t="s">
        <v>44</v>
      </c>
      <c r="J78" s="4">
        <v>300</v>
      </c>
      <c r="K78" s="4" t="s">
        <v>19</v>
      </c>
      <c r="L78" s="4" t="s">
        <v>19</v>
      </c>
    </row>
    <row r="79" spans="3:12" ht="15.75" customHeight="1"/>
    <row r="80" spans="3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C2:L78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1000"/>
  <sheetViews>
    <sheetView zoomScale="131" workbookViewId="0">
      <selection activeCell="K4" sqref="K4"/>
    </sheetView>
  </sheetViews>
  <sheetFormatPr defaultColWidth="14.42578125" defaultRowHeight="15" customHeight="1"/>
  <cols>
    <col min="1" max="26" width="8.7109375" customWidth="1"/>
  </cols>
  <sheetData>
    <row r="1" spans="2:14" ht="15" customHeight="1">
      <c r="H1" s="23" t="s">
        <v>281</v>
      </c>
      <c r="I1" s="23">
        <v>800</v>
      </c>
      <c r="J1" s="23">
        <v>100</v>
      </c>
      <c r="K1" s="24" t="s">
        <v>282</v>
      </c>
    </row>
    <row r="2" spans="2:14">
      <c r="B2" s="9" t="s">
        <v>283</v>
      </c>
      <c r="H2" s="23" t="s">
        <v>284</v>
      </c>
      <c r="I2" s="23">
        <v>2500</v>
      </c>
      <c r="J2" s="23"/>
      <c r="K2" s="23"/>
    </row>
    <row r="3" spans="2:14" ht="36">
      <c r="B3" s="10" t="s">
        <v>0</v>
      </c>
      <c r="C3" s="10" t="s">
        <v>3</v>
      </c>
      <c r="D3" s="10" t="s">
        <v>280</v>
      </c>
      <c r="E3" s="10" t="s">
        <v>11</v>
      </c>
      <c r="F3" s="10" t="s">
        <v>8</v>
      </c>
      <c r="H3" s="10" t="s">
        <v>0</v>
      </c>
      <c r="I3" s="10" t="s">
        <v>3</v>
      </c>
      <c r="J3" s="10" t="s">
        <v>280</v>
      </c>
      <c r="K3" s="10" t="s">
        <v>11</v>
      </c>
      <c r="L3" s="10" t="s">
        <v>8</v>
      </c>
    </row>
    <row r="4" spans="2:14">
      <c r="B4" s="10">
        <v>54</v>
      </c>
      <c r="C4" s="11">
        <v>3400</v>
      </c>
      <c r="D4" s="11" t="s">
        <v>44</v>
      </c>
      <c r="E4" s="11" t="s">
        <v>0</v>
      </c>
      <c r="F4" s="11" t="s">
        <v>19</v>
      </c>
      <c r="H4" s="10">
        <v>54</v>
      </c>
      <c r="I4" s="11">
        <f t="shared" ref="I4:I54" si="0">IF(AND(C4&gt;800, C4&lt;2500),1,0)</f>
        <v>0</v>
      </c>
      <c r="J4" s="12" t="str">
        <f>IF(D4="NA", "NA", IF(D4&gt;100,1,0))</f>
        <v>NA</v>
      </c>
      <c r="K4" s="13">
        <f>IF(E4="NA", "NA", IF(E4="No",1,0))</f>
        <v>1</v>
      </c>
      <c r="L4" s="13">
        <f t="shared" ref="L4:L54" si="1">IF(F4="Yes", 1, 0)</f>
        <v>1</v>
      </c>
      <c r="N4" s="9"/>
    </row>
    <row r="5" spans="2:14">
      <c r="B5" s="10">
        <v>55</v>
      </c>
      <c r="C5" s="11">
        <v>1362.5</v>
      </c>
      <c r="D5" s="11">
        <v>200</v>
      </c>
      <c r="E5" s="11" t="s">
        <v>19</v>
      </c>
      <c r="F5" s="11" t="s">
        <v>19</v>
      </c>
      <c r="H5" s="10">
        <v>55</v>
      </c>
      <c r="I5" s="11">
        <f t="shared" si="0"/>
        <v>1</v>
      </c>
      <c r="J5" s="12">
        <f t="shared" ref="J5:J54" si="2">IF(D5="NA", "NA", IF(D5&gt;100,1,0))</f>
        <v>1</v>
      </c>
      <c r="K5" s="13">
        <f t="shared" ref="K5:K54" si="3">IF(E5="NA", "NA", IF(E5="No",1,0))</f>
        <v>0</v>
      </c>
      <c r="L5" s="13">
        <f t="shared" si="1"/>
        <v>1</v>
      </c>
    </row>
    <row r="6" spans="2:14">
      <c r="B6" s="10">
        <v>1</v>
      </c>
      <c r="C6" s="11">
        <v>2438</v>
      </c>
      <c r="D6" s="11">
        <v>400</v>
      </c>
      <c r="E6" s="11" t="s">
        <v>0</v>
      </c>
      <c r="F6" s="11" t="s">
        <v>19</v>
      </c>
      <c r="H6" s="10">
        <v>1</v>
      </c>
      <c r="I6" s="11">
        <f t="shared" si="0"/>
        <v>1</v>
      </c>
      <c r="J6" s="12">
        <f t="shared" si="2"/>
        <v>1</v>
      </c>
      <c r="K6" s="13">
        <f t="shared" si="3"/>
        <v>1</v>
      </c>
      <c r="L6" s="13">
        <f t="shared" si="1"/>
        <v>1</v>
      </c>
    </row>
    <row r="7" spans="2:14">
      <c r="B7" s="10">
        <v>14</v>
      </c>
      <c r="C7" s="11">
        <v>1097</v>
      </c>
      <c r="D7" s="11">
        <v>210</v>
      </c>
      <c r="E7" s="11" t="s">
        <v>0</v>
      </c>
      <c r="F7" s="11" t="s">
        <v>19</v>
      </c>
      <c r="H7" s="10">
        <v>14</v>
      </c>
      <c r="I7" s="11">
        <f t="shared" si="0"/>
        <v>1</v>
      </c>
      <c r="J7" s="12">
        <f t="shared" si="2"/>
        <v>1</v>
      </c>
      <c r="K7" s="13">
        <f t="shared" si="3"/>
        <v>1</v>
      </c>
      <c r="L7" s="13">
        <f t="shared" si="1"/>
        <v>1</v>
      </c>
    </row>
    <row r="8" spans="2:14">
      <c r="B8" s="10">
        <v>58</v>
      </c>
      <c r="C8" s="11">
        <v>1188</v>
      </c>
      <c r="D8" s="11" t="s">
        <v>44</v>
      </c>
      <c r="E8" s="11" t="s">
        <v>19</v>
      </c>
      <c r="F8" s="11" t="s">
        <v>19</v>
      </c>
      <c r="H8" s="10">
        <v>58</v>
      </c>
      <c r="I8" s="11">
        <f t="shared" si="0"/>
        <v>1</v>
      </c>
      <c r="J8" s="12" t="str">
        <f t="shared" si="2"/>
        <v>NA</v>
      </c>
      <c r="K8" s="13">
        <f t="shared" si="3"/>
        <v>0</v>
      </c>
      <c r="L8" s="13">
        <f t="shared" si="1"/>
        <v>1</v>
      </c>
    </row>
    <row r="9" spans="2:14">
      <c r="B9" s="10">
        <v>10</v>
      </c>
      <c r="C9" s="11">
        <v>5533</v>
      </c>
      <c r="D9" s="11">
        <v>200</v>
      </c>
      <c r="E9" s="11" t="s">
        <v>0</v>
      </c>
      <c r="F9" s="11" t="s">
        <v>19</v>
      </c>
      <c r="H9" s="10">
        <v>10</v>
      </c>
      <c r="I9" s="11">
        <f t="shared" si="0"/>
        <v>0</v>
      </c>
      <c r="J9" s="12">
        <f t="shared" si="2"/>
        <v>1</v>
      </c>
      <c r="K9" s="13">
        <f t="shared" si="3"/>
        <v>1</v>
      </c>
      <c r="L9" s="13">
        <f t="shared" si="1"/>
        <v>1</v>
      </c>
    </row>
    <row r="10" spans="2:14">
      <c r="B10" s="10">
        <v>51</v>
      </c>
      <c r="C10" s="11">
        <v>2474</v>
      </c>
      <c r="D10" s="11" t="s">
        <v>44</v>
      </c>
      <c r="E10" s="11" t="s">
        <v>19</v>
      </c>
      <c r="F10" s="11" t="s">
        <v>19</v>
      </c>
      <c r="H10" s="10">
        <v>51</v>
      </c>
      <c r="I10" s="11">
        <f t="shared" si="0"/>
        <v>1</v>
      </c>
      <c r="J10" s="12" t="str">
        <f t="shared" si="2"/>
        <v>NA</v>
      </c>
      <c r="K10" s="13">
        <f t="shared" si="3"/>
        <v>0</v>
      </c>
      <c r="L10" s="13">
        <f t="shared" si="1"/>
        <v>1</v>
      </c>
    </row>
    <row r="11" spans="2:14">
      <c r="B11" s="10">
        <v>57</v>
      </c>
      <c r="C11" s="11">
        <v>1662</v>
      </c>
      <c r="D11" s="11">
        <v>150</v>
      </c>
      <c r="E11" s="11" t="s">
        <v>19</v>
      </c>
      <c r="F11" s="11" t="s">
        <v>19</v>
      </c>
      <c r="H11" s="10">
        <v>57</v>
      </c>
      <c r="I11" s="11">
        <f t="shared" si="0"/>
        <v>1</v>
      </c>
      <c r="J11" s="12">
        <f t="shared" si="2"/>
        <v>1</v>
      </c>
      <c r="K11" s="13">
        <f t="shared" si="3"/>
        <v>0</v>
      </c>
      <c r="L11" s="13">
        <f t="shared" si="1"/>
        <v>1</v>
      </c>
    </row>
    <row r="12" spans="2:14">
      <c r="B12" s="10">
        <v>5</v>
      </c>
      <c r="C12" s="11">
        <v>1829</v>
      </c>
      <c r="D12" s="11">
        <v>300</v>
      </c>
      <c r="E12" s="11" t="s">
        <v>19</v>
      </c>
      <c r="F12" s="11" t="s">
        <v>19</v>
      </c>
      <c r="H12" s="10">
        <v>5</v>
      </c>
      <c r="I12" s="11">
        <f t="shared" si="0"/>
        <v>1</v>
      </c>
      <c r="J12" s="12">
        <f t="shared" si="2"/>
        <v>1</v>
      </c>
      <c r="K12" s="13">
        <f t="shared" si="3"/>
        <v>0</v>
      </c>
      <c r="L12" s="13">
        <f t="shared" si="1"/>
        <v>1</v>
      </c>
    </row>
    <row r="13" spans="2:14">
      <c r="B13" s="10">
        <v>59</v>
      </c>
      <c r="C13" s="11">
        <v>1574</v>
      </c>
      <c r="D13" s="11">
        <v>200</v>
      </c>
      <c r="E13" s="11" t="s">
        <v>0</v>
      </c>
      <c r="F13" s="11" t="s">
        <v>19</v>
      </c>
      <c r="H13" s="10">
        <v>59</v>
      </c>
      <c r="I13" s="11">
        <f t="shared" si="0"/>
        <v>1</v>
      </c>
      <c r="J13" s="12">
        <f t="shared" si="2"/>
        <v>1</v>
      </c>
      <c r="K13" s="13">
        <f t="shared" si="3"/>
        <v>1</v>
      </c>
      <c r="L13" s="13">
        <f t="shared" si="1"/>
        <v>1</v>
      </c>
    </row>
    <row r="14" spans="2:14">
      <c r="B14" s="10">
        <v>60</v>
      </c>
      <c r="C14" s="11">
        <v>2804</v>
      </c>
      <c r="D14" s="11" t="s">
        <v>44</v>
      </c>
      <c r="E14" s="11" t="s">
        <v>0</v>
      </c>
      <c r="F14" s="11" t="s">
        <v>19</v>
      </c>
      <c r="H14" s="10">
        <v>60</v>
      </c>
      <c r="I14" s="11">
        <f t="shared" si="0"/>
        <v>0</v>
      </c>
      <c r="J14" s="12" t="str">
        <f t="shared" si="2"/>
        <v>NA</v>
      </c>
      <c r="K14" s="13">
        <f t="shared" si="3"/>
        <v>1</v>
      </c>
      <c r="L14" s="13">
        <f t="shared" si="1"/>
        <v>1</v>
      </c>
    </row>
    <row r="15" spans="2:14">
      <c r="B15" s="10">
        <v>4</v>
      </c>
      <c r="C15" s="11">
        <v>4133</v>
      </c>
      <c r="D15" s="11" t="s">
        <v>44</v>
      </c>
      <c r="E15" s="11" t="s">
        <v>19</v>
      </c>
      <c r="F15" s="11" t="s">
        <v>19</v>
      </c>
      <c r="H15" s="10">
        <v>4</v>
      </c>
      <c r="I15" s="11">
        <f t="shared" si="0"/>
        <v>0</v>
      </c>
      <c r="J15" s="12" t="str">
        <f t="shared" si="2"/>
        <v>NA</v>
      </c>
      <c r="K15" s="13">
        <f t="shared" si="3"/>
        <v>0</v>
      </c>
      <c r="L15" s="13">
        <f t="shared" si="1"/>
        <v>1</v>
      </c>
    </row>
    <row r="16" spans="2:14">
      <c r="B16" s="10">
        <v>12</v>
      </c>
      <c r="C16" s="11">
        <v>4724</v>
      </c>
      <c r="D16" s="11">
        <v>180</v>
      </c>
      <c r="E16" s="11" t="s">
        <v>0</v>
      </c>
      <c r="F16" s="11" t="s">
        <v>19</v>
      </c>
      <c r="H16" s="10">
        <v>12</v>
      </c>
      <c r="I16" s="11">
        <f t="shared" si="0"/>
        <v>0</v>
      </c>
      <c r="J16" s="12">
        <f t="shared" si="2"/>
        <v>1</v>
      </c>
      <c r="K16" s="13">
        <f t="shared" si="3"/>
        <v>1</v>
      </c>
      <c r="L16" s="13">
        <f t="shared" si="1"/>
        <v>1</v>
      </c>
    </row>
    <row r="17" spans="2:12">
      <c r="B17" s="10">
        <v>27</v>
      </c>
      <c r="C17" s="11">
        <v>694</v>
      </c>
      <c r="D17" s="11">
        <v>300</v>
      </c>
      <c r="E17" s="11" t="s">
        <v>0</v>
      </c>
      <c r="F17" s="11" t="s">
        <v>19</v>
      </c>
      <c r="H17" s="10">
        <v>27</v>
      </c>
      <c r="I17" s="11">
        <f t="shared" si="0"/>
        <v>0</v>
      </c>
      <c r="J17" s="12">
        <f t="shared" si="2"/>
        <v>1</v>
      </c>
      <c r="K17" s="13">
        <f t="shared" si="3"/>
        <v>1</v>
      </c>
      <c r="L17" s="13">
        <f t="shared" si="1"/>
        <v>1</v>
      </c>
    </row>
    <row r="18" spans="2:12">
      <c r="B18" s="10">
        <v>33</v>
      </c>
      <c r="C18" s="11">
        <v>2044</v>
      </c>
      <c r="D18" s="11" t="s">
        <v>44</v>
      </c>
      <c r="E18" s="11" t="s">
        <v>19</v>
      </c>
      <c r="F18" s="11" t="s">
        <v>19</v>
      </c>
      <c r="H18" s="10">
        <v>33</v>
      </c>
      <c r="I18" s="11">
        <f t="shared" si="0"/>
        <v>1</v>
      </c>
      <c r="J18" s="12" t="str">
        <f t="shared" si="2"/>
        <v>NA</v>
      </c>
      <c r="K18" s="13">
        <f t="shared" si="3"/>
        <v>0</v>
      </c>
      <c r="L18" s="13">
        <f t="shared" si="1"/>
        <v>1</v>
      </c>
    </row>
    <row r="19" spans="2:12">
      <c r="B19" s="10">
        <v>7</v>
      </c>
      <c r="C19" s="11">
        <v>2926</v>
      </c>
      <c r="D19" s="11" t="s">
        <v>44</v>
      </c>
      <c r="E19" s="11" t="s">
        <v>44</v>
      </c>
      <c r="F19" s="11" t="s">
        <v>19</v>
      </c>
      <c r="H19" s="10">
        <v>7</v>
      </c>
      <c r="I19" s="11">
        <f t="shared" si="0"/>
        <v>0</v>
      </c>
      <c r="J19" s="12" t="str">
        <f t="shared" si="2"/>
        <v>NA</v>
      </c>
      <c r="K19" s="13" t="str">
        <f t="shared" si="3"/>
        <v>NA</v>
      </c>
      <c r="L19" s="13">
        <f t="shared" si="1"/>
        <v>1</v>
      </c>
    </row>
    <row r="20" spans="2:12">
      <c r="B20" s="10">
        <v>37</v>
      </c>
      <c r="C20" s="11">
        <v>2793</v>
      </c>
      <c r="D20" s="11">
        <v>800</v>
      </c>
      <c r="E20" s="11" t="s">
        <v>19</v>
      </c>
      <c r="F20" s="11" t="s">
        <v>19</v>
      </c>
      <c r="H20" s="10">
        <v>37</v>
      </c>
      <c r="I20" s="11">
        <f t="shared" si="0"/>
        <v>0</v>
      </c>
      <c r="J20" s="12">
        <f t="shared" si="2"/>
        <v>1</v>
      </c>
      <c r="K20" s="13">
        <f t="shared" si="3"/>
        <v>0</v>
      </c>
      <c r="L20" s="13">
        <f t="shared" si="1"/>
        <v>1</v>
      </c>
    </row>
    <row r="21" spans="2:12" ht="15.75" customHeight="1">
      <c r="B21" s="10">
        <v>61</v>
      </c>
      <c r="C21" s="11">
        <v>2500</v>
      </c>
      <c r="D21" s="11" t="s">
        <v>44</v>
      </c>
      <c r="E21" s="11" t="s">
        <v>19</v>
      </c>
      <c r="F21" s="11" t="s">
        <v>19</v>
      </c>
      <c r="H21" s="10">
        <v>61</v>
      </c>
      <c r="I21" s="11">
        <f t="shared" si="0"/>
        <v>0</v>
      </c>
      <c r="J21" s="12" t="str">
        <f t="shared" si="2"/>
        <v>NA</v>
      </c>
      <c r="K21" s="13">
        <f t="shared" si="3"/>
        <v>0</v>
      </c>
      <c r="L21" s="13">
        <f t="shared" si="1"/>
        <v>1</v>
      </c>
    </row>
    <row r="22" spans="2:12" ht="15.75" customHeight="1">
      <c r="B22" s="10">
        <v>62</v>
      </c>
      <c r="C22" s="11">
        <v>618</v>
      </c>
      <c r="D22" s="11" t="s">
        <v>44</v>
      </c>
      <c r="E22" s="11" t="s">
        <v>0</v>
      </c>
      <c r="F22" s="11" t="s">
        <v>19</v>
      </c>
      <c r="H22" s="10">
        <v>62</v>
      </c>
      <c r="I22" s="11">
        <f t="shared" si="0"/>
        <v>0</v>
      </c>
      <c r="J22" s="12" t="str">
        <f t="shared" si="2"/>
        <v>NA</v>
      </c>
      <c r="K22" s="13">
        <f t="shared" si="3"/>
        <v>1</v>
      </c>
      <c r="L22" s="13">
        <f t="shared" si="1"/>
        <v>1</v>
      </c>
    </row>
    <row r="23" spans="2:12" ht="15.75" customHeight="1">
      <c r="B23" s="10">
        <v>26</v>
      </c>
      <c r="C23" s="11">
        <v>2715</v>
      </c>
      <c r="D23" s="11">
        <v>600</v>
      </c>
      <c r="E23" s="11" t="s">
        <v>0</v>
      </c>
      <c r="F23" s="11" t="s">
        <v>19</v>
      </c>
      <c r="H23" s="10">
        <v>26</v>
      </c>
      <c r="I23" s="11">
        <f t="shared" si="0"/>
        <v>0</v>
      </c>
      <c r="J23" s="12">
        <f t="shared" si="2"/>
        <v>1</v>
      </c>
      <c r="K23" s="13">
        <f t="shared" si="3"/>
        <v>1</v>
      </c>
      <c r="L23" s="13">
        <f t="shared" si="1"/>
        <v>1</v>
      </c>
    </row>
    <row r="24" spans="2:12" ht="15.75" customHeight="1">
      <c r="B24" s="10">
        <v>53</v>
      </c>
      <c r="C24" s="11">
        <v>2500</v>
      </c>
      <c r="D24" s="11">
        <v>280</v>
      </c>
      <c r="E24" s="11" t="s">
        <v>19</v>
      </c>
      <c r="F24" s="11" t="s">
        <v>19</v>
      </c>
      <c r="H24" s="10">
        <v>53</v>
      </c>
      <c r="I24" s="11">
        <f t="shared" si="0"/>
        <v>0</v>
      </c>
      <c r="J24" s="12">
        <f t="shared" si="2"/>
        <v>1</v>
      </c>
      <c r="K24" s="13">
        <f t="shared" si="3"/>
        <v>0</v>
      </c>
      <c r="L24" s="13">
        <f t="shared" si="1"/>
        <v>1</v>
      </c>
    </row>
    <row r="25" spans="2:12" ht="15.75" customHeight="1">
      <c r="B25" s="10">
        <v>44</v>
      </c>
      <c r="C25" s="11">
        <v>2063</v>
      </c>
      <c r="D25" s="11">
        <v>150</v>
      </c>
      <c r="E25" s="11" t="s">
        <v>19</v>
      </c>
      <c r="F25" s="11" t="s">
        <v>19</v>
      </c>
      <c r="H25" s="10">
        <v>44</v>
      </c>
      <c r="I25" s="11">
        <f t="shared" si="0"/>
        <v>1</v>
      </c>
      <c r="J25" s="12">
        <f t="shared" si="2"/>
        <v>1</v>
      </c>
      <c r="K25" s="13">
        <f t="shared" si="3"/>
        <v>0</v>
      </c>
      <c r="L25" s="13">
        <f t="shared" si="1"/>
        <v>1</v>
      </c>
    </row>
    <row r="26" spans="2:12" ht="15.75" customHeight="1">
      <c r="B26" s="10">
        <v>50</v>
      </c>
      <c r="C26" s="11">
        <v>3000</v>
      </c>
      <c r="D26" s="11">
        <v>3000</v>
      </c>
      <c r="E26" s="11" t="s">
        <v>0</v>
      </c>
      <c r="F26" s="11" t="s">
        <v>19</v>
      </c>
      <c r="H26" s="10">
        <v>50</v>
      </c>
      <c r="I26" s="11">
        <f t="shared" si="0"/>
        <v>0</v>
      </c>
      <c r="J26" s="12">
        <f t="shared" si="2"/>
        <v>1</v>
      </c>
      <c r="K26" s="13">
        <f t="shared" si="3"/>
        <v>1</v>
      </c>
      <c r="L26" s="13">
        <f t="shared" si="1"/>
        <v>1</v>
      </c>
    </row>
    <row r="27" spans="2:12" ht="15.75" customHeight="1">
      <c r="B27" s="10">
        <v>63</v>
      </c>
      <c r="C27" s="11">
        <v>1716</v>
      </c>
      <c r="D27" s="11">
        <v>300</v>
      </c>
      <c r="E27" s="11" t="s">
        <v>0</v>
      </c>
      <c r="F27" s="11" t="s">
        <v>19</v>
      </c>
      <c r="H27" s="10">
        <v>63</v>
      </c>
      <c r="I27" s="11">
        <f t="shared" si="0"/>
        <v>1</v>
      </c>
      <c r="J27" s="12">
        <f t="shared" si="2"/>
        <v>1</v>
      </c>
      <c r="K27" s="13">
        <f t="shared" si="3"/>
        <v>1</v>
      </c>
      <c r="L27" s="13">
        <f t="shared" si="1"/>
        <v>1</v>
      </c>
    </row>
    <row r="28" spans="2:12" ht="15.75" customHeight="1">
      <c r="B28" s="10">
        <v>64</v>
      </c>
      <c r="C28" s="11">
        <v>3799.9</v>
      </c>
      <c r="D28" s="11">
        <v>500</v>
      </c>
      <c r="E28" s="11" t="s">
        <v>44</v>
      </c>
      <c r="F28" s="11" t="s">
        <v>19</v>
      </c>
      <c r="H28" s="10">
        <v>64</v>
      </c>
      <c r="I28" s="11">
        <f t="shared" si="0"/>
        <v>0</v>
      </c>
      <c r="J28" s="12">
        <f t="shared" si="2"/>
        <v>1</v>
      </c>
      <c r="K28" s="13" t="str">
        <f t="shared" si="3"/>
        <v>NA</v>
      </c>
      <c r="L28" s="13">
        <f t="shared" si="1"/>
        <v>1</v>
      </c>
    </row>
    <row r="29" spans="2:12" ht="15.75" customHeight="1">
      <c r="B29" s="10">
        <v>2</v>
      </c>
      <c r="C29" s="11">
        <v>777</v>
      </c>
      <c r="D29" s="11">
        <v>45</v>
      </c>
      <c r="E29" s="11" t="s">
        <v>19</v>
      </c>
      <c r="F29" s="11" t="s">
        <v>19</v>
      </c>
      <c r="H29" s="10">
        <v>2</v>
      </c>
      <c r="I29" s="11">
        <f t="shared" si="0"/>
        <v>0</v>
      </c>
      <c r="J29" s="12">
        <f t="shared" si="2"/>
        <v>0</v>
      </c>
      <c r="K29" s="13">
        <f t="shared" si="3"/>
        <v>0</v>
      </c>
      <c r="L29" s="13">
        <f t="shared" si="1"/>
        <v>1</v>
      </c>
    </row>
    <row r="30" spans="2:12" ht="15.75" customHeight="1">
      <c r="B30" s="10">
        <v>65</v>
      </c>
      <c r="C30" s="11">
        <v>1832</v>
      </c>
      <c r="D30" s="11">
        <v>300</v>
      </c>
      <c r="E30" s="11" t="s">
        <v>19</v>
      </c>
      <c r="F30" s="11" t="s">
        <v>19</v>
      </c>
      <c r="H30" s="10">
        <v>65</v>
      </c>
      <c r="I30" s="11">
        <f t="shared" si="0"/>
        <v>1</v>
      </c>
      <c r="J30" s="12">
        <f t="shared" si="2"/>
        <v>1</v>
      </c>
      <c r="K30" s="13">
        <f t="shared" si="3"/>
        <v>0</v>
      </c>
      <c r="L30" s="13">
        <f t="shared" si="1"/>
        <v>1</v>
      </c>
    </row>
    <row r="31" spans="2:12" ht="15.75" customHeight="1">
      <c r="B31" s="10">
        <v>38</v>
      </c>
      <c r="C31" s="11">
        <v>2600</v>
      </c>
      <c r="D31" s="11">
        <v>150</v>
      </c>
      <c r="E31" s="11" t="s">
        <v>19</v>
      </c>
      <c r="F31" s="11" t="s">
        <v>19</v>
      </c>
      <c r="H31" s="10">
        <v>38</v>
      </c>
      <c r="I31" s="11">
        <f t="shared" si="0"/>
        <v>0</v>
      </c>
      <c r="J31" s="12">
        <f t="shared" si="2"/>
        <v>1</v>
      </c>
      <c r="K31" s="13">
        <f t="shared" si="3"/>
        <v>0</v>
      </c>
      <c r="L31" s="13">
        <f t="shared" si="1"/>
        <v>1</v>
      </c>
    </row>
    <row r="32" spans="2:12" ht="15.75" customHeight="1">
      <c r="B32" s="10">
        <v>66</v>
      </c>
      <c r="C32" s="11">
        <v>1486</v>
      </c>
      <c r="D32" s="11">
        <v>300</v>
      </c>
      <c r="E32" s="11" t="s">
        <v>19</v>
      </c>
      <c r="F32" s="11" t="s">
        <v>19</v>
      </c>
      <c r="H32" s="10">
        <v>66</v>
      </c>
      <c r="I32" s="11">
        <f t="shared" si="0"/>
        <v>1</v>
      </c>
      <c r="J32" s="12">
        <f t="shared" si="2"/>
        <v>1</v>
      </c>
      <c r="K32" s="13">
        <f t="shared" si="3"/>
        <v>0</v>
      </c>
      <c r="L32" s="13">
        <f t="shared" si="1"/>
        <v>1</v>
      </c>
    </row>
    <row r="33" spans="2:12" ht="15.75" customHeight="1">
      <c r="B33" s="10">
        <v>8</v>
      </c>
      <c r="C33" s="11">
        <v>4779</v>
      </c>
      <c r="D33" s="11">
        <v>200</v>
      </c>
      <c r="E33" s="11" t="s">
        <v>0</v>
      </c>
      <c r="F33" s="11" t="s">
        <v>19</v>
      </c>
      <c r="H33" s="10">
        <v>8</v>
      </c>
      <c r="I33" s="11">
        <f t="shared" si="0"/>
        <v>0</v>
      </c>
      <c r="J33" s="12">
        <f t="shared" si="2"/>
        <v>1</v>
      </c>
      <c r="K33" s="13">
        <f t="shared" si="3"/>
        <v>1</v>
      </c>
      <c r="L33" s="13">
        <f t="shared" si="1"/>
        <v>1</v>
      </c>
    </row>
    <row r="34" spans="2:12" ht="15.75" customHeight="1">
      <c r="B34" s="10">
        <v>35</v>
      </c>
      <c r="C34" s="11">
        <v>811</v>
      </c>
      <c r="D34" s="11" t="s">
        <v>44</v>
      </c>
      <c r="E34" s="11" t="s">
        <v>19</v>
      </c>
      <c r="F34" s="11" t="s">
        <v>19</v>
      </c>
      <c r="H34" s="10">
        <v>35</v>
      </c>
      <c r="I34" s="11">
        <f t="shared" si="0"/>
        <v>1</v>
      </c>
      <c r="J34" s="12" t="str">
        <f t="shared" si="2"/>
        <v>NA</v>
      </c>
      <c r="K34" s="13">
        <f t="shared" si="3"/>
        <v>0</v>
      </c>
      <c r="L34" s="13">
        <f t="shared" si="1"/>
        <v>1</v>
      </c>
    </row>
    <row r="35" spans="2:12" ht="15.75" customHeight="1">
      <c r="B35" s="10">
        <v>30</v>
      </c>
      <c r="C35" s="11">
        <v>3200</v>
      </c>
      <c r="D35" s="11" t="s">
        <v>44</v>
      </c>
      <c r="E35" s="11" t="s">
        <v>44</v>
      </c>
      <c r="F35" s="11" t="s">
        <v>19</v>
      </c>
      <c r="H35" s="10">
        <v>30</v>
      </c>
      <c r="I35" s="11">
        <f t="shared" si="0"/>
        <v>0</v>
      </c>
      <c r="J35" s="12" t="str">
        <f t="shared" si="2"/>
        <v>NA</v>
      </c>
      <c r="K35" s="13" t="str">
        <f t="shared" si="3"/>
        <v>NA</v>
      </c>
      <c r="L35" s="13">
        <f t="shared" si="1"/>
        <v>1</v>
      </c>
    </row>
    <row r="36" spans="2:12" ht="15.75" customHeight="1">
      <c r="B36" s="10">
        <v>34</v>
      </c>
      <c r="C36" s="11">
        <v>2442</v>
      </c>
      <c r="D36" s="11">
        <v>100</v>
      </c>
      <c r="E36" s="11" t="s">
        <v>19</v>
      </c>
      <c r="F36" s="11" t="s">
        <v>19</v>
      </c>
      <c r="H36" s="10">
        <v>34</v>
      </c>
      <c r="I36" s="11">
        <f t="shared" si="0"/>
        <v>1</v>
      </c>
      <c r="J36" s="12">
        <f t="shared" si="2"/>
        <v>0</v>
      </c>
      <c r="K36" s="13">
        <f t="shared" si="3"/>
        <v>0</v>
      </c>
      <c r="L36" s="13">
        <f t="shared" si="1"/>
        <v>1</v>
      </c>
    </row>
    <row r="37" spans="2:12" ht="15.75" customHeight="1">
      <c r="B37" s="10">
        <v>23</v>
      </c>
      <c r="C37" s="11">
        <v>900</v>
      </c>
      <c r="D37" s="11">
        <v>400</v>
      </c>
      <c r="E37" s="11" t="s">
        <v>0</v>
      </c>
      <c r="F37" s="11" t="s">
        <v>19</v>
      </c>
      <c r="H37" s="10">
        <v>23</v>
      </c>
      <c r="I37" s="11">
        <f t="shared" si="0"/>
        <v>1</v>
      </c>
      <c r="J37" s="12">
        <f t="shared" si="2"/>
        <v>1</v>
      </c>
      <c r="K37" s="13">
        <f t="shared" si="3"/>
        <v>1</v>
      </c>
      <c r="L37" s="13">
        <f t="shared" si="1"/>
        <v>1</v>
      </c>
    </row>
    <row r="38" spans="2:12" ht="15.75" customHeight="1">
      <c r="B38" s="10">
        <v>6</v>
      </c>
      <c r="C38" s="11">
        <v>1524</v>
      </c>
      <c r="D38" s="11">
        <v>300</v>
      </c>
      <c r="E38" s="11" t="s">
        <v>19</v>
      </c>
      <c r="F38" s="11" t="s">
        <v>19</v>
      </c>
      <c r="H38" s="10">
        <v>6</v>
      </c>
      <c r="I38" s="11">
        <f t="shared" si="0"/>
        <v>1</v>
      </c>
      <c r="J38" s="12">
        <f t="shared" si="2"/>
        <v>1</v>
      </c>
      <c r="K38" s="13">
        <f t="shared" si="3"/>
        <v>0</v>
      </c>
      <c r="L38" s="13">
        <f t="shared" si="1"/>
        <v>1</v>
      </c>
    </row>
    <row r="39" spans="2:12" ht="15.75" customHeight="1">
      <c r="B39" s="10">
        <v>9</v>
      </c>
      <c r="C39" s="11">
        <v>4985</v>
      </c>
      <c r="D39" s="11">
        <v>200</v>
      </c>
      <c r="E39" s="11" t="s">
        <v>0</v>
      </c>
      <c r="F39" s="11" t="s">
        <v>19</v>
      </c>
      <c r="H39" s="10">
        <v>9</v>
      </c>
      <c r="I39" s="11">
        <f t="shared" si="0"/>
        <v>0</v>
      </c>
      <c r="J39" s="12">
        <f t="shared" si="2"/>
        <v>1</v>
      </c>
      <c r="K39" s="13">
        <f t="shared" si="3"/>
        <v>1</v>
      </c>
      <c r="L39" s="13">
        <f t="shared" si="1"/>
        <v>1</v>
      </c>
    </row>
    <row r="40" spans="2:12" ht="15.75" customHeight="1">
      <c r="B40" s="10">
        <v>36</v>
      </c>
      <c r="C40" s="11">
        <v>1450</v>
      </c>
      <c r="D40" s="11">
        <v>250</v>
      </c>
      <c r="E40" s="11" t="s">
        <v>0</v>
      </c>
      <c r="F40" s="11" t="s">
        <v>19</v>
      </c>
      <c r="H40" s="10">
        <v>36</v>
      </c>
      <c r="I40" s="11">
        <f t="shared" si="0"/>
        <v>1</v>
      </c>
      <c r="J40" s="12">
        <f t="shared" si="2"/>
        <v>1</v>
      </c>
      <c r="K40" s="13">
        <f t="shared" si="3"/>
        <v>1</v>
      </c>
      <c r="L40" s="13">
        <f t="shared" si="1"/>
        <v>1</v>
      </c>
    </row>
    <row r="41" spans="2:12" ht="15.75" customHeight="1">
      <c r="B41" s="10">
        <v>16</v>
      </c>
      <c r="C41" s="11">
        <v>3834</v>
      </c>
      <c r="D41" s="11">
        <v>280</v>
      </c>
      <c r="E41" s="11" t="s">
        <v>19</v>
      </c>
      <c r="F41" s="11" t="s">
        <v>19</v>
      </c>
      <c r="H41" s="10">
        <v>16</v>
      </c>
      <c r="I41" s="11">
        <f t="shared" si="0"/>
        <v>0</v>
      </c>
      <c r="J41" s="12">
        <f t="shared" si="2"/>
        <v>1</v>
      </c>
      <c r="K41" s="13">
        <f t="shared" si="3"/>
        <v>0</v>
      </c>
      <c r="L41" s="13">
        <f t="shared" si="1"/>
        <v>1</v>
      </c>
    </row>
    <row r="42" spans="2:12" ht="15.75" customHeight="1">
      <c r="B42" s="10">
        <v>20</v>
      </c>
      <c r="C42" s="11">
        <v>450</v>
      </c>
      <c r="D42" s="11">
        <v>40</v>
      </c>
      <c r="E42" s="11" t="s">
        <v>0</v>
      </c>
      <c r="F42" s="11" t="s">
        <v>19</v>
      </c>
      <c r="H42" s="10">
        <v>20</v>
      </c>
      <c r="I42" s="11">
        <f t="shared" si="0"/>
        <v>0</v>
      </c>
      <c r="J42" s="12">
        <f t="shared" si="2"/>
        <v>0</v>
      </c>
      <c r="K42" s="13">
        <f t="shared" si="3"/>
        <v>1</v>
      </c>
      <c r="L42" s="13">
        <f t="shared" si="1"/>
        <v>1</v>
      </c>
    </row>
    <row r="43" spans="2:12" ht="15.75" customHeight="1">
      <c r="B43" s="10">
        <v>31</v>
      </c>
      <c r="C43" s="11">
        <v>1460</v>
      </c>
      <c r="D43" s="11">
        <v>300</v>
      </c>
      <c r="E43" s="11" t="s">
        <v>19</v>
      </c>
      <c r="F43" s="11" t="s">
        <v>19</v>
      </c>
      <c r="H43" s="10">
        <v>31</v>
      </c>
      <c r="I43" s="11">
        <f t="shared" si="0"/>
        <v>1</v>
      </c>
      <c r="J43" s="12">
        <f t="shared" si="2"/>
        <v>1</v>
      </c>
      <c r="K43" s="13">
        <f t="shared" si="3"/>
        <v>0</v>
      </c>
      <c r="L43" s="13">
        <f t="shared" si="1"/>
        <v>1</v>
      </c>
    </row>
    <row r="44" spans="2:12" ht="15.75" customHeight="1">
      <c r="B44" s="10">
        <v>39</v>
      </c>
      <c r="C44" s="11">
        <v>1980</v>
      </c>
      <c r="D44" s="11">
        <v>100</v>
      </c>
      <c r="E44" s="11" t="s">
        <v>19</v>
      </c>
      <c r="F44" s="11" t="s">
        <v>19</v>
      </c>
      <c r="H44" s="10">
        <v>39</v>
      </c>
      <c r="I44" s="11">
        <f t="shared" si="0"/>
        <v>1</v>
      </c>
      <c r="J44" s="12">
        <f t="shared" si="2"/>
        <v>0</v>
      </c>
      <c r="K44" s="13">
        <f t="shared" si="3"/>
        <v>0</v>
      </c>
      <c r="L44" s="13">
        <f t="shared" si="1"/>
        <v>1</v>
      </c>
    </row>
    <row r="45" spans="2:12" ht="15.75" customHeight="1">
      <c r="B45" s="10">
        <v>40</v>
      </c>
      <c r="C45" s="11">
        <v>1960</v>
      </c>
      <c r="D45" s="11">
        <v>100</v>
      </c>
      <c r="E45" s="11" t="s">
        <v>19</v>
      </c>
      <c r="F45" s="11" t="s">
        <v>19</v>
      </c>
      <c r="H45" s="10">
        <v>40</v>
      </c>
      <c r="I45" s="11">
        <f t="shared" si="0"/>
        <v>1</v>
      </c>
      <c r="J45" s="12">
        <f t="shared" si="2"/>
        <v>0</v>
      </c>
      <c r="K45" s="13">
        <f t="shared" si="3"/>
        <v>0</v>
      </c>
      <c r="L45" s="13">
        <f t="shared" si="1"/>
        <v>1</v>
      </c>
    </row>
    <row r="46" spans="2:12" ht="15.75" customHeight="1">
      <c r="B46" s="10">
        <v>41</v>
      </c>
      <c r="C46" s="11">
        <v>1700</v>
      </c>
      <c r="D46" s="11">
        <v>800</v>
      </c>
      <c r="E46" s="11" t="s">
        <v>19</v>
      </c>
      <c r="F46" s="11" t="s">
        <v>19</v>
      </c>
      <c r="H46" s="10">
        <v>41</v>
      </c>
      <c r="I46" s="11">
        <f t="shared" si="0"/>
        <v>1</v>
      </c>
      <c r="J46" s="12">
        <f t="shared" si="2"/>
        <v>1</v>
      </c>
      <c r="K46" s="13">
        <f t="shared" si="3"/>
        <v>0</v>
      </c>
      <c r="L46" s="13">
        <f t="shared" si="1"/>
        <v>1</v>
      </c>
    </row>
    <row r="47" spans="2:12" ht="15.75" customHeight="1">
      <c r="B47" s="10">
        <v>45</v>
      </c>
      <c r="C47" s="11">
        <v>2755</v>
      </c>
      <c r="D47" s="11">
        <v>500</v>
      </c>
      <c r="E47" s="11" t="s">
        <v>0</v>
      </c>
      <c r="F47" s="11" t="s">
        <v>19</v>
      </c>
      <c r="H47" s="10">
        <v>45</v>
      </c>
      <c r="I47" s="11">
        <f t="shared" si="0"/>
        <v>0</v>
      </c>
      <c r="J47" s="12">
        <f t="shared" si="2"/>
        <v>1</v>
      </c>
      <c r="K47" s="13">
        <f t="shared" si="3"/>
        <v>1</v>
      </c>
      <c r="L47" s="13">
        <f t="shared" si="1"/>
        <v>1</v>
      </c>
    </row>
    <row r="48" spans="2:12" ht="15.75" customHeight="1">
      <c r="B48" s="10">
        <v>75</v>
      </c>
      <c r="C48" s="11">
        <v>2600</v>
      </c>
      <c r="D48" s="11">
        <v>300</v>
      </c>
      <c r="E48" s="11" t="s">
        <v>0</v>
      </c>
      <c r="F48" s="11" t="s">
        <v>74</v>
      </c>
      <c r="H48" s="10">
        <v>75</v>
      </c>
      <c r="I48" s="11">
        <f t="shared" si="0"/>
        <v>0</v>
      </c>
      <c r="J48" s="12">
        <f t="shared" si="2"/>
        <v>1</v>
      </c>
      <c r="K48" s="13">
        <f t="shared" si="3"/>
        <v>1</v>
      </c>
      <c r="L48" s="13">
        <f t="shared" si="1"/>
        <v>0</v>
      </c>
    </row>
    <row r="49" spans="2:12" ht="15.75" customHeight="1">
      <c r="B49" s="10">
        <v>71</v>
      </c>
      <c r="C49" s="11">
        <v>3600</v>
      </c>
      <c r="D49" s="11">
        <v>300</v>
      </c>
      <c r="E49" s="11" t="s">
        <v>19</v>
      </c>
      <c r="F49" s="11" t="s">
        <v>0</v>
      </c>
      <c r="H49" s="10">
        <v>71</v>
      </c>
      <c r="I49" s="11">
        <f t="shared" si="0"/>
        <v>0</v>
      </c>
      <c r="J49" s="12">
        <f t="shared" si="2"/>
        <v>1</v>
      </c>
      <c r="K49" s="13">
        <f t="shared" si="3"/>
        <v>0</v>
      </c>
      <c r="L49" s="13">
        <f t="shared" si="1"/>
        <v>0</v>
      </c>
    </row>
    <row r="50" spans="2:12" ht="15.75" customHeight="1">
      <c r="B50" s="10">
        <v>72</v>
      </c>
      <c r="C50" s="11">
        <v>1163</v>
      </c>
      <c r="D50" s="11">
        <v>150</v>
      </c>
      <c r="E50" s="11" t="s">
        <v>19</v>
      </c>
      <c r="F50" s="11" t="s">
        <v>0</v>
      </c>
      <c r="H50" s="10">
        <v>72</v>
      </c>
      <c r="I50" s="11">
        <f t="shared" si="0"/>
        <v>1</v>
      </c>
      <c r="J50" s="12">
        <f t="shared" si="2"/>
        <v>1</v>
      </c>
      <c r="K50" s="13">
        <f t="shared" si="3"/>
        <v>0</v>
      </c>
      <c r="L50" s="13">
        <f t="shared" si="1"/>
        <v>0</v>
      </c>
    </row>
    <row r="51" spans="2:12" ht="15.75" customHeight="1">
      <c r="B51" s="10">
        <v>74</v>
      </c>
      <c r="C51" s="11">
        <v>2400</v>
      </c>
      <c r="D51" s="11">
        <v>500</v>
      </c>
      <c r="E51" s="11" t="s">
        <v>19</v>
      </c>
      <c r="F51" s="11" t="s">
        <v>74</v>
      </c>
      <c r="H51" s="10">
        <v>74</v>
      </c>
      <c r="I51" s="11">
        <f t="shared" si="0"/>
        <v>1</v>
      </c>
      <c r="J51" s="12">
        <f t="shared" si="2"/>
        <v>1</v>
      </c>
      <c r="K51" s="13">
        <f t="shared" si="3"/>
        <v>0</v>
      </c>
      <c r="L51" s="13">
        <f t="shared" si="1"/>
        <v>0</v>
      </c>
    </row>
    <row r="52" spans="2:12" ht="15.75" customHeight="1">
      <c r="B52" s="10">
        <v>76</v>
      </c>
      <c r="C52" s="11">
        <v>375</v>
      </c>
      <c r="D52" s="11">
        <v>150</v>
      </c>
      <c r="E52" s="11" t="s">
        <v>44</v>
      </c>
      <c r="F52" s="11" t="s">
        <v>74</v>
      </c>
      <c r="H52" s="10">
        <v>76</v>
      </c>
      <c r="I52" s="11">
        <f t="shared" si="0"/>
        <v>0</v>
      </c>
      <c r="J52" s="12">
        <f t="shared" si="2"/>
        <v>1</v>
      </c>
      <c r="K52" s="13" t="str">
        <f t="shared" si="3"/>
        <v>NA</v>
      </c>
      <c r="L52" s="13">
        <f t="shared" si="1"/>
        <v>0</v>
      </c>
    </row>
    <row r="53" spans="2:12" ht="15.75" customHeight="1">
      <c r="B53" s="10">
        <v>67</v>
      </c>
      <c r="C53" s="11">
        <v>465</v>
      </c>
      <c r="D53" s="11">
        <v>220</v>
      </c>
      <c r="E53" s="11" t="s">
        <v>19</v>
      </c>
      <c r="F53" s="11" t="s">
        <v>0</v>
      </c>
      <c r="H53" s="10">
        <v>67</v>
      </c>
      <c r="I53" s="11">
        <f t="shared" si="0"/>
        <v>0</v>
      </c>
      <c r="J53" s="12">
        <f t="shared" si="2"/>
        <v>1</v>
      </c>
      <c r="K53" s="13">
        <f t="shared" si="3"/>
        <v>0</v>
      </c>
      <c r="L53" s="13">
        <f t="shared" si="1"/>
        <v>0</v>
      </c>
    </row>
    <row r="54" spans="2:12" ht="15.75" customHeight="1">
      <c r="B54" s="10">
        <v>68</v>
      </c>
      <c r="C54" s="11">
        <v>180</v>
      </c>
      <c r="D54" s="11">
        <v>100</v>
      </c>
      <c r="E54" s="11" t="s">
        <v>19</v>
      </c>
      <c r="F54" s="11" t="s">
        <v>0</v>
      </c>
      <c r="H54" s="10">
        <v>68</v>
      </c>
      <c r="I54" s="11">
        <f t="shared" si="0"/>
        <v>0</v>
      </c>
      <c r="J54" s="12">
        <f t="shared" si="2"/>
        <v>0</v>
      </c>
      <c r="K54" s="13">
        <f t="shared" si="3"/>
        <v>0</v>
      </c>
      <c r="L54" s="13">
        <f t="shared" si="1"/>
        <v>0</v>
      </c>
    </row>
    <row r="55" spans="2:12" ht="15.75" customHeight="1">
      <c r="B55" s="14"/>
      <c r="C55" s="15"/>
      <c r="D55" s="15"/>
      <c r="E55" s="15"/>
      <c r="F55" s="15"/>
      <c r="H55" s="14"/>
      <c r="I55" s="15"/>
      <c r="J55" s="16"/>
      <c r="K55" s="17"/>
      <c r="L55" s="17"/>
    </row>
    <row r="56" spans="2:12" ht="15.75" customHeight="1">
      <c r="B56" s="9" t="s">
        <v>285</v>
      </c>
      <c r="H56" s="18"/>
      <c r="I56" s="15"/>
      <c r="J56" s="16"/>
      <c r="K56" s="17"/>
      <c r="L56" s="17"/>
    </row>
    <row r="57" spans="2:12" ht="15.75" customHeight="1">
      <c r="B57" s="10" t="s">
        <v>0</v>
      </c>
      <c r="C57" s="10" t="s">
        <v>3</v>
      </c>
      <c r="D57" s="10" t="s">
        <v>280</v>
      </c>
      <c r="E57" s="10" t="s">
        <v>11</v>
      </c>
      <c r="F57" s="10" t="s">
        <v>8</v>
      </c>
      <c r="H57" s="10" t="s">
        <v>0</v>
      </c>
      <c r="I57" s="10" t="s">
        <v>3</v>
      </c>
      <c r="J57" s="10" t="s">
        <v>280</v>
      </c>
      <c r="K57" s="10" t="s">
        <v>11</v>
      </c>
      <c r="L57" s="10" t="s">
        <v>8</v>
      </c>
    </row>
    <row r="58" spans="2:12" ht="15.75" customHeight="1">
      <c r="B58" s="10">
        <v>49</v>
      </c>
      <c r="C58" s="11">
        <v>1428</v>
      </c>
      <c r="D58" s="11" t="s">
        <v>44</v>
      </c>
      <c r="E58" s="11" t="s">
        <v>44</v>
      </c>
      <c r="F58" s="11" t="s">
        <v>19</v>
      </c>
      <c r="H58" s="10">
        <v>49</v>
      </c>
      <c r="I58" s="11">
        <f t="shared" ref="I58:I82" si="4">IF(AND(C58&gt;800, C58&lt;2500),1,0)</f>
        <v>1</v>
      </c>
      <c r="J58" s="12" t="str">
        <f t="shared" ref="J58:J82" si="5">IF(D58="NA", "NA", IF(D58&gt;100,1,0))</f>
        <v>NA</v>
      </c>
      <c r="K58" s="13" t="str">
        <f>IF(E58="NA", "NA", IF(E58="No",1,0))</f>
        <v>NA</v>
      </c>
      <c r="L58" s="13">
        <f t="shared" ref="L58:L82" si="6">IF(F58="Yes", 1, 0)</f>
        <v>1</v>
      </c>
    </row>
    <row r="59" spans="2:12" ht="15.75" customHeight="1">
      <c r="B59" s="10">
        <v>13</v>
      </c>
      <c r="C59" s="11">
        <v>693</v>
      </c>
      <c r="D59" s="11">
        <v>200</v>
      </c>
      <c r="E59" s="11" t="s">
        <v>44</v>
      </c>
      <c r="F59" s="11" t="s">
        <v>19</v>
      </c>
      <c r="H59" s="10">
        <v>13</v>
      </c>
      <c r="I59" s="11">
        <f t="shared" si="4"/>
        <v>0</v>
      </c>
      <c r="J59" s="12">
        <f t="shared" si="5"/>
        <v>1</v>
      </c>
      <c r="K59" s="13" t="str">
        <f t="shared" ref="K59:K82" si="7">IF(E59="NA", "NA", IF(E59="No",1,0))</f>
        <v>NA</v>
      </c>
      <c r="L59" s="13">
        <f t="shared" si="6"/>
        <v>1</v>
      </c>
    </row>
    <row r="60" spans="2:12" ht="15.75" customHeight="1">
      <c r="B60" s="10">
        <v>56</v>
      </c>
      <c r="C60" s="11">
        <v>2051.3000000000002</v>
      </c>
      <c r="D60" s="11" t="s">
        <v>44</v>
      </c>
      <c r="E60" s="11" t="s">
        <v>44</v>
      </c>
      <c r="F60" s="11" t="s">
        <v>19</v>
      </c>
      <c r="H60" s="10">
        <v>56</v>
      </c>
      <c r="I60" s="11">
        <f t="shared" si="4"/>
        <v>1</v>
      </c>
      <c r="J60" s="12" t="str">
        <f t="shared" si="5"/>
        <v>NA</v>
      </c>
      <c r="K60" s="13" t="str">
        <f t="shared" si="7"/>
        <v>NA</v>
      </c>
      <c r="L60" s="13">
        <f t="shared" si="6"/>
        <v>1</v>
      </c>
    </row>
    <row r="61" spans="2:12" ht="15.75" customHeight="1">
      <c r="B61" s="10">
        <v>19</v>
      </c>
      <c r="C61" s="11">
        <v>710</v>
      </c>
      <c r="D61" s="11">
        <v>45</v>
      </c>
      <c r="E61" s="11" t="s">
        <v>0</v>
      </c>
      <c r="F61" s="11" t="s">
        <v>19</v>
      </c>
      <c r="H61" s="10">
        <v>19</v>
      </c>
      <c r="I61" s="11">
        <f t="shared" si="4"/>
        <v>0</v>
      </c>
      <c r="J61" s="12">
        <f t="shared" si="5"/>
        <v>0</v>
      </c>
      <c r="K61" s="13">
        <f t="shared" si="7"/>
        <v>1</v>
      </c>
      <c r="L61" s="13">
        <f t="shared" si="6"/>
        <v>1</v>
      </c>
    </row>
    <row r="62" spans="2:12" ht="15.75" customHeight="1">
      <c r="B62" s="10">
        <v>15</v>
      </c>
      <c r="C62" s="11">
        <v>1676</v>
      </c>
      <c r="D62" s="11">
        <v>600</v>
      </c>
      <c r="E62" s="11" t="s">
        <v>19</v>
      </c>
      <c r="F62" s="11" t="s">
        <v>19</v>
      </c>
      <c r="H62" s="10">
        <v>15</v>
      </c>
      <c r="I62" s="11">
        <f t="shared" si="4"/>
        <v>1</v>
      </c>
      <c r="J62" s="12">
        <f t="shared" si="5"/>
        <v>1</v>
      </c>
      <c r="K62" s="13">
        <f t="shared" si="7"/>
        <v>0</v>
      </c>
      <c r="L62" s="13">
        <f t="shared" si="6"/>
        <v>1</v>
      </c>
    </row>
    <row r="63" spans="2:12" ht="15.75" customHeight="1">
      <c r="B63" s="10">
        <v>21</v>
      </c>
      <c r="C63" s="11">
        <v>2800</v>
      </c>
      <c r="D63" s="11" t="s">
        <v>44</v>
      </c>
      <c r="E63" s="11" t="s">
        <v>44</v>
      </c>
      <c r="F63" s="11" t="s">
        <v>19</v>
      </c>
      <c r="H63" s="10">
        <v>21</v>
      </c>
      <c r="I63" s="11">
        <f t="shared" si="4"/>
        <v>0</v>
      </c>
      <c r="J63" s="12" t="str">
        <f t="shared" si="5"/>
        <v>NA</v>
      </c>
      <c r="K63" s="13" t="str">
        <f t="shared" si="7"/>
        <v>NA</v>
      </c>
      <c r="L63" s="13">
        <f t="shared" si="6"/>
        <v>1</v>
      </c>
    </row>
    <row r="64" spans="2:12" ht="15.75" customHeight="1">
      <c r="B64" s="10">
        <v>52</v>
      </c>
      <c r="C64" s="11">
        <v>2791</v>
      </c>
      <c r="D64" s="11">
        <v>200</v>
      </c>
      <c r="E64" s="11" t="s">
        <v>0</v>
      </c>
      <c r="F64" s="11" t="s">
        <v>19</v>
      </c>
      <c r="H64" s="10">
        <v>52</v>
      </c>
      <c r="I64" s="11">
        <f t="shared" si="4"/>
        <v>0</v>
      </c>
      <c r="J64" s="12">
        <f t="shared" si="5"/>
        <v>1</v>
      </c>
      <c r="K64" s="13">
        <f t="shared" si="7"/>
        <v>1</v>
      </c>
      <c r="L64" s="13">
        <f t="shared" si="6"/>
        <v>1</v>
      </c>
    </row>
    <row r="65" spans="2:12" ht="15.75" customHeight="1">
      <c r="B65" s="10">
        <v>42</v>
      </c>
      <c r="C65" s="11">
        <v>3350</v>
      </c>
      <c r="D65" s="11">
        <v>250</v>
      </c>
      <c r="E65" s="11" t="s">
        <v>19</v>
      </c>
      <c r="F65" s="11" t="s">
        <v>19</v>
      </c>
      <c r="H65" s="10">
        <v>42</v>
      </c>
      <c r="I65" s="11">
        <f t="shared" si="4"/>
        <v>0</v>
      </c>
      <c r="J65" s="12">
        <f t="shared" si="5"/>
        <v>1</v>
      </c>
      <c r="K65" s="13">
        <f t="shared" si="7"/>
        <v>0</v>
      </c>
      <c r="L65" s="13">
        <f t="shared" si="6"/>
        <v>1</v>
      </c>
    </row>
    <row r="66" spans="2:12" ht="15.75" customHeight="1">
      <c r="B66" s="10">
        <v>24</v>
      </c>
      <c r="C66" s="11">
        <v>2300</v>
      </c>
      <c r="D66" s="11">
        <v>400</v>
      </c>
      <c r="E66" s="11" t="s">
        <v>19</v>
      </c>
      <c r="F66" s="11" t="s">
        <v>19</v>
      </c>
      <c r="H66" s="10">
        <v>24</v>
      </c>
      <c r="I66" s="11">
        <f t="shared" si="4"/>
        <v>1</v>
      </c>
      <c r="J66" s="12">
        <f t="shared" si="5"/>
        <v>1</v>
      </c>
      <c r="K66" s="13">
        <f t="shared" si="7"/>
        <v>0</v>
      </c>
      <c r="L66" s="13">
        <f t="shared" si="6"/>
        <v>1</v>
      </c>
    </row>
    <row r="67" spans="2:12" ht="15.75" customHeight="1">
      <c r="B67" s="10">
        <v>25</v>
      </c>
      <c r="C67" s="11">
        <v>465</v>
      </c>
      <c r="D67" s="11">
        <v>250</v>
      </c>
      <c r="E67" s="11" t="s">
        <v>0</v>
      </c>
      <c r="F67" s="11" t="s">
        <v>19</v>
      </c>
      <c r="H67" s="10">
        <v>25</v>
      </c>
      <c r="I67" s="11">
        <f t="shared" si="4"/>
        <v>0</v>
      </c>
      <c r="J67" s="12">
        <f t="shared" si="5"/>
        <v>1</v>
      </c>
      <c r="K67" s="13">
        <f t="shared" si="7"/>
        <v>1</v>
      </c>
      <c r="L67" s="13">
        <f t="shared" si="6"/>
        <v>1</v>
      </c>
    </row>
    <row r="68" spans="2:12" ht="15.75" customHeight="1">
      <c r="B68" s="10">
        <v>3</v>
      </c>
      <c r="C68" s="11">
        <v>2743</v>
      </c>
      <c r="D68" s="11">
        <v>400</v>
      </c>
      <c r="E68" s="11" t="s">
        <v>0</v>
      </c>
      <c r="F68" s="11" t="s">
        <v>19</v>
      </c>
      <c r="H68" s="10">
        <v>3</v>
      </c>
      <c r="I68" s="11">
        <f t="shared" si="4"/>
        <v>0</v>
      </c>
      <c r="J68" s="12">
        <f t="shared" si="5"/>
        <v>1</v>
      </c>
      <c r="K68" s="13">
        <f t="shared" si="7"/>
        <v>1</v>
      </c>
      <c r="L68" s="13">
        <f t="shared" si="6"/>
        <v>1</v>
      </c>
    </row>
    <row r="69" spans="2:12" ht="15.75" customHeight="1">
      <c r="B69" s="10">
        <v>17</v>
      </c>
      <c r="C69" s="11">
        <v>2034</v>
      </c>
      <c r="D69" s="11">
        <v>160</v>
      </c>
      <c r="E69" s="11" t="s">
        <v>0</v>
      </c>
      <c r="F69" s="11" t="s">
        <v>19</v>
      </c>
      <c r="H69" s="10">
        <v>17</v>
      </c>
      <c r="I69" s="11">
        <f t="shared" si="4"/>
        <v>1</v>
      </c>
      <c r="J69" s="12">
        <f t="shared" si="5"/>
        <v>1</v>
      </c>
      <c r="K69" s="13">
        <f t="shared" si="7"/>
        <v>1</v>
      </c>
      <c r="L69" s="13">
        <f t="shared" si="6"/>
        <v>1</v>
      </c>
    </row>
    <row r="70" spans="2:12" ht="15.75" customHeight="1">
      <c r="B70" s="10">
        <v>18</v>
      </c>
      <c r="C70" s="11">
        <v>1067</v>
      </c>
      <c r="D70" s="11">
        <v>85</v>
      </c>
      <c r="E70" s="11" t="s">
        <v>0</v>
      </c>
      <c r="F70" s="11" t="s">
        <v>19</v>
      </c>
      <c r="H70" s="10">
        <v>18</v>
      </c>
      <c r="I70" s="11">
        <f t="shared" si="4"/>
        <v>1</v>
      </c>
      <c r="J70" s="12">
        <f t="shared" si="5"/>
        <v>0</v>
      </c>
      <c r="K70" s="13">
        <f t="shared" si="7"/>
        <v>1</v>
      </c>
      <c r="L70" s="13">
        <f t="shared" si="6"/>
        <v>1</v>
      </c>
    </row>
    <row r="71" spans="2:12" ht="15.75" customHeight="1">
      <c r="B71" s="10">
        <v>28</v>
      </c>
      <c r="C71" s="11">
        <v>4262</v>
      </c>
      <c r="D71" s="11" t="s">
        <v>44</v>
      </c>
      <c r="E71" s="11" t="s">
        <v>0</v>
      </c>
      <c r="F71" s="11" t="s">
        <v>19</v>
      </c>
      <c r="H71" s="10">
        <v>28</v>
      </c>
      <c r="I71" s="11">
        <f t="shared" si="4"/>
        <v>0</v>
      </c>
      <c r="J71" s="12" t="str">
        <f t="shared" si="5"/>
        <v>NA</v>
      </c>
      <c r="K71" s="13">
        <f t="shared" si="7"/>
        <v>1</v>
      </c>
      <c r="L71" s="13">
        <f t="shared" si="6"/>
        <v>1</v>
      </c>
    </row>
    <row r="72" spans="2:12" ht="15.75" customHeight="1">
      <c r="B72" s="10">
        <v>29</v>
      </c>
      <c r="C72" s="11">
        <v>2700</v>
      </c>
      <c r="D72" s="11" t="s">
        <v>44</v>
      </c>
      <c r="E72" s="11" t="s">
        <v>19</v>
      </c>
      <c r="F72" s="11" t="s">
        <v>19</v>
      </c>
      <c r="H72" s="10">
        <v>29</v>
      </c>
      <c r="I72" s="11">
        <f t="shared" si="4"/>
        <v>0</v>
      </c>
      <c r="J72" s="12" t="str">
        <f t="shared" si="5"/>
        <v>NA</v>
      </c>
      <c r="K72" s="13">
        <f t="shared" si="7"/>
        <v>0</v>
      </c>
      <c r="L72" s="13">
        <f t="shared" si="6"/>
        <v>1</v>
      </c>
    </row>
    <row r="73" spans="2:12" ht="15.75" customHeight="1">
      <c r="B73" s="10">
        <v>22</v>
      </c>
      <c r="C73" s="11">
        <v>1234</v>
      </c>
      <c r="D73" s="11" t="s">
        <v>44</v>
      </c>
      <c r="E73" s="11" t="s">
        <v>44</v>
      </c>
      <c r="F73" s="11" t="s">
        <v>19</v>
      </c>
      <c r="H73" s="10">
        <v>22</v>
      </c>
      <c r="I73" s="11">
        <f t="shared" si="4"/>
        <v>1</v>
      </c>
      <c r="J73" s="12" t="str">
        <f t="shared" si="5"/>
        <v>NA</v>
      </c>
      <c r="K73" s="13" t="str">
        <f t="shared" si="7"/>
        <v>NA</v>
      </c>
      <c r="L73" s="13">
        <f t="shared" si="6"/>
        <v>1</v>
      </c>
    </row>
    <row r="74" spans="2:12" ht="15.75" customHeight="1">
      <c r="B74" s="10">
        <v>11</v>
      </c>
      <c r="C74" s="11">
        <v>7224</v>
      </c>
      <c r="D74" s="11">
        <v>780</v>
      </c>
      <c r="E74" s="11" t="s">
        <v>0</v>
      </c>
      <c r="F74" s="11" t="s">
        <v>19</v>
      </c>
      <c r="H74" s="10">
        <v>11</v>
      </c>
      <c r="I74" s="11">
        <f t="shared" si="4"/>
        <v>0</v>
      </c>
      <c r="J74" s="12">
        <f t="shared" si="5"/>
        <v>1</v>
      </c>
      <c r="K74" s="13">
        <f t="shared" si="7"/>
        <v>1</v>
      </c>
      <c r="L74" s="13">
        <f t="shared" si="6"/>
        <v>1</v>
      </c>
    </row>
    <row r="75" spans="2:12" ht="15.75" customHeight="1">
      <c r="B75" s="10">
        <v>43</v>
      </c>
      <c r="C75" s="11">
        <v>774</v>
      </c>
      <c r="D75" s="11">
        <v>100</v>
      </c>
      <c r="E75" s="11" t="s">
        <v>19</v>
      </c>
      <c r="F75" s="11" t="s">
        <v>19</v>
      </c>
      <c r="H75" s="10">
        <v>43</v>
      </c>
      <c r="I75" s="11">
        <f t="shared" si="4"/>
        <v>0</v>
      </c>
      <c r="J75" s="12">
        <f t="shared" si="5"/>
        <v>0</v>
      </c>
      <c r="K75" s="13">
        <f t="shared" si="7"/>
        <v>0</v>
      </c>
      <c r="L75" s="13">
        <f t="shared" si="6"/>
        <v>1</v>
      </c>
    </row>
    <row r="76" spans="2:12" ht="15.75" customHeight="1">
      <c r="B76" s="10">
        <v>46</v>
      </c>
      <c r="C76" s="11">
        <v>3300</v>
      </c>
      <c r="D76" s="11" t="s">
        <v>44</v>
      </c>
      <c r="E76" s="11" t="s">
        <v>19</v>
      </c>
      <c r="F76" s="11" t="s">
        <v>19</v>
      </c>
      <c r="H76" s="10">
        <v>46</v>
      </c>
      <c r="I76" s="11">
        <f t="shared" si="4"/>
        <v>0</v>
      </c>
      <c r="J76" s="12" t="str">
        <f t="shared" si="5"/>
        <v>NA</v>
      </c>
      <c r="K76" s="13">
        <f t="shared" si="7"/>
        <v>0</v>
      </c>
      <c r="L76" s="13">
        <f t="shared" si="6"/>
        <v>1</v>
      </c>
    </row>
    <row r="77" spans="2:12" ht="15.75" customHeight="1">
      <c r="B77" s="10">
        <v>32</v>
      </c>
      <c r="C77" s="11">
        <v>1600</v>
      </c>
      <c r="D77" s="11">
        <v>200</v>
      </c>
      <c r="E77" s="11" t="s">
        <v>19</v>
      </c>
      <c r="F77" s="11" t="s">
        <v>19</v>
      </c>
      <c r="H77" s="10">
        <v>32</v>
      </c>
      <c r="I77" s="11">
        <f t="shared" si="4"/>
        <v>1</v>
      </c>
      <c r="J77" s="12">
        <f t="shared" si="5"/>
        <v>1</v>
      </c>
      <c r="K77" s="13">
        <f t="shared" si="7"/>
        <v>0</v>
      </c>
      <c r="L77" s="13">
        <f t="shared" si="6"/>
        <v>1</v>
      </c>
    </row>
    <row r="78" spans="2:12" ht="15.75" customHeight="1">
      <c r="B78" s="10">
        <v>47</v>
      </c>
      <c r="C78" s="11">
        <v>1280</v>
      </c>
      <c r="D78" s="11" t="s">
        <v>44</v>
      </c>
      <c r="E78" s="11" t="s">
        <v>44</v>
      </c>
      <c r="F78" s="11" t="s">
        <v>19</v>
      </c>
      <c r="H78" s="10">
        <v>47</v>
      </c>
      <c r="I78" s="11">
        <f t="shared" si="4"/>
        <v>1</v>
      </c>
      <c r="J78" s="12" t="str">
        <f t="shared" si="5"/>
        <v>NA</v>
      </c>
      <c r="K78" s="13" t="str">
        <f t="shared" si="7"/>
        <v>NA</v>
      </c>
      <c r="L78" s="13">
        <f t="shared" si="6"/>
        <v>1</v>
      </c>
    </row>
    <row r="79" spans="2:12" ht="15.75" customHeight="1">
      <c r="B79" s="10">
        <v>48</v>
      </c>
      <c r="C79" s="11">
        <v>1655</v>
      </c>
      <c r="D79" s="11" t="s">
        <v>44</v>
      </c>
      <c r="E79" s="11" t="s">
        <v>44</v>
      </c>
      <c r="F79" s="11" t="s">
        <v>19</v>
      </c>
      <c r="H79" s="10">
        <v>48</v>
      </c>
      <c r="I79" s="11">
        <f t="shared" si="4"/>
        <v>1</v>
      </c>
      <c r="J79" s="12" t="str">
        <f t="shared" si="5"/>
        <v>NA</v>
      </c>
      <c r="K79" s="13" t="str">
        <f t="shared" si="7"/>
        <v>NA</v>
      </c>
      <c r="L79" s="13">
        <f t="shared" si="6"/>
        <v>1</v>
      </c>
    </row>
    <row r="80" spans="2:12" ht="15.75" customHeight="1">
      <c r="B80" s="10">
        <v>69</v>
      </c>
      <c r="C80" s="11">
        <v>200</v>
      </c>
      <c r="D80" s="11">
        <v>20</v>
      </c>
      <c r="E80" s="11" t="s">
        <v>44</v>
      </c>
      <c r="F80" s="11" t="s">
        <v>0</v>
      </c>
      <c r="H80" s="10">
        <v>69</v>
      </c>
      <c r="I80" s="11">
        <f t="shared" si="4"/>
        <v>0</v>
      </c>
      <c r="J80" s="12">
        <f t="shared" si="5"/>
        <v>0</v>
      </c>
      <c r="K80" s="13" t="str">
        <f t="shared" si="7"/>
        <v>NA</v>
      </c>
      <c r="L80" s="13">
        <f t="shared" si="6"/>
        <v>0</v>
      </c>
    </row>
    <row r="81" spans="2:12" ht="15.75" customHeight="1">
      <c r="B81" s="10">
        <v>70</v>
      </c>
      <c r="C81" s="11">
        <v>1000</v>
      </c>
      <c r="D81" s="11" t="s">
        <v>44</v>
      </c>
      <c r="E81" s="11" t="s">
        <v>19</v>
      </c>
      <c r="F81" s="11" t="s">
        <v>0</v>
      </c>
      <c r="H81" s="10">
        <v>70</v>
      </c>
      <c r="I81" s="11">
        <f t="shared" si="4"/>
        <v>1</v>
      </c>
      <c r="J81" s="12" t="str">
        <f t="shared" si="5"/>
        <v>NA</v>
      </c>
      <c r="K81" s="13">
        <f t="shared" si="7"/>
        <v>0</v>
      </c>
      <c r="L81" s="13">
        <f t="shared" si="6"/>
        <v>0</v>
      </c>
    </row>
    <row r="82" spans="2:12" ht="15.75" customHeight="1">
      <c r="B82" s="10">
        <v>73</v>
      </c>
      <c r="C82" s="11">
        <v>1219</v>
      </c>
      <c r="D82" s="11">
        <v>180</v>
      </c>
      <c r="E82" s="11" t="s">
        <v>19</v>
      </c>
      <c r="F82" s="11" t="s">
        <v>74</v>
      </c>
      <c r="H82" s="10">
        <v>73</v>
      </c>
      <c r="I82" s="11">
        <f t="shared" si="4"/>
        <v>1</v>
      </c>
      <c r="J82" s="12">
        <f t="shared" si="5"/>
        <v>1</v>
      </c>
      <c r="K82" s="13">
        <f t="shared" si="7"/>
        <v>0</v>
      </c>
      <c r="L82" s="13">
        <f t="shared" si="6"/>
        <v>0</v>
      </c>
    </row>
    <row r="83" spans="2:12" ht="15.75" customHeight="1"/>
    <row r="84" spans="2:12" ht="15.75" customHeight="1"/>
    <row r="85" spans="2:12" ht="15.75" customHeight="1"/>
    <row r="86" spans="2:12" ht="15.75" customHeight="1"/>
    <row r="87" spans="2:12" ht="15.75" customHeight="1"/>
    <row r="88" spans="2:12" ht="15.75" customHeight="1"/>
    <row r="89" spans="2:12" ht="15.75" customHeight="1"/>
    <row r="90" spans="2:12" ht="15.75" customHeight="1"/>
    <row r="91" spans="2:12" ht="15.75" customHeight="1"/>
    <row r="92" spans="2:12" ht="15.75" customHeight="1"/>
    <row r="93" spans="2:12" ht="15.75" customHeight="1"/>
    <row r="94" spans="2:12" ht="15.75" customHeight="1"/>
    <row r="95" spans="2:12" ht="15.75" customHeight="1"/>
    <row r="96" spans="2:12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1000"/>
  <sheetViews>
    <sheetView workbookViewId="0">
      <selection activeCell="I6" sqref="I6"/>
    </sheetView>
  </sheetViews>
  <sheetFormatPr defaultColWidth="14.42578125" defaultRowHeight="15" customHeight="1"/>
  <cols>
    <col min="1" max="1" width="8.7109375" customWidth="1"/>
    <col min="2" max="2" width="13.140625" customWidth="1"/>
    <col min="3" max="3" width="15.140625" customWidth="1"/>
    <col min="4" max="4" width="8.140625" customWidth="1"/>
    <col min="5" max="5" width="11.28515625" customWidth="1"/>
    <col min="6" max="6" width="8.7109375" customWidth="1"/>
    <col min="7" max="7" width="15.140625" customWidth="1"/>
    <col min="8" max="8" width="16.28515625" customWidth="1"/>
    <col min="9" max="9" width="8.140625" customWidth="1"/>
    <col min="10" max="10" width="11.28515625" customWidth="1"/>
    <col min="11" max="11" width="8.7109375" customWidth="1"/>
    <col min="12" max="12" width="15.140625" customWidth="1"/>
    <col min="13" max="13" width="16.28515625" customWidth="1"/>
    <col min="14" max="14" width="8.140625" customWidth="1"/>
    <col min="15" max="15" width="11.28515625" customWidth="1"/>
    <col min="16" max="26" width="8.7109375" customWidth="1"/>
  </cols>
  <sheetData>
    <row r="2" spans="2:15">
      <c r="B2" s="9" t="s">
        <v>286</v>
      </c>
      <c r="G2" s="9" t="s">
        <v>287</v>
      </c>
      <c r="L2" s="9" t="s">
        <v>11</v>
      </c>
    </row>
    <row r="3" spans="2:15">
      <c r="B3" s="25" t="s">
        <v>288</v>
      </c>
      <c r="C3" s="25" t="s">
        <v>8</v>
      </c>
      <c r="D3" s="26"/>
      <c r="E3" s="27"/>
      <c r="G3" s="25" t="s">
        <v>288</v>
      </c>
      <c r="H3" s="25" t="s">
        <v>8</v>
      </c>
      <c r="I3" s="26"/>
      <c r="J3" s="27"/>
      <c r="L3" s="25" t="s">
        <v>288</v>
      </c>
      <c r="M3" s="25" t="s">
        <v>8</v>
      </c>
      <c r="N3" s="26"/>
      <c r="O3" s="27"/>
    </row>
    <row r="4" spans="2:15">
      <c r="B4" s="25" t="s">
        <v>3</v>
      </c>
      <c r="C4" s="28">
        <v>0</v>
      </c>
      <c r="D4" s="29">
        <v>1</v>
      </c>
      <c r="E4" s="30" t="s">
        <v>289</v>
      </c>
      <c r="G4" s="25" t="s">
        <v>280</v>
      </c>
      <c r="H4" s="28">
        <v>0</v>
      </c>
      <c r="I4" s="29">
        <v>1</v>
      </c>
      <c r="J4" s="30" t="s">
        <v>289</v>
      </c>
      <c r="L4" s="25" t="s">
        <v>11</v>
      </c>
      <c r="M4" s="28">
        <v>0</v>
      </c>
      <c r="N4" s="29">
        <v>1</v>
      </c>
      <c r="O4" s="30" t="s">
        <v>289</v>
      </c>
    </row>
    <row r="5" spans="2:15">
      <c r="B5" s="28">
        <v>0</v>
      </c>
      <c r="C5" s="31">
        <v>0.7142857142857143</v>
      </c>
      <c r="D5" s="32">
        <v>0.5</v>
      </c>
      <c r="E5" s="33">
        <v>0.52941176470588236</v>
      </c>
      <c r="G5" s="28">
        <v>0</v>
      </c>
      <c r="H5" s="31">
        <v>0.14285714285714285</v>
      </c>
      <c r="I5" s="32">
        <v>0.15151515151515152</v>
      </c>
      <c r="J5" s="33">
        <v>0.15</v>
      </c>
      <c r="L5" s="28">
        <v>0</v>
      </c>
      <c r="M5" s="31">
        <v>0.83333333333333337</v>
      </c>
      <c r="N5" s="32">
        <v>0.56097560975609762</v>
      </c>
      <c r="O5" s="33">
        <v>0.5957446808510638</v>
      </c>
    </row>
    <row r="6" spans="2:15">
      <c r="B6" s="34">
        <v>1</v>
      </c>
      <c r="C6" s="35">
        <v>0.2857142857142857</v>
      </c>
      <c r="D6" s="22">
        <v>0.5</v>
      </c>
      <c r="E6" s="36">
        <v>0.47058823529411764</v>
      </c>
      <c r="G6" s="34">
        <v>1</v>
      </c>
      <c r="H6" s="35">
        <v>0.8571428571428571</v>
      </c>
      <c r="I6" s="22">
        <v>0.84848484848484851</v>
      </c>
      <c r="J6" s="36">
        <v>0.85</v>
      </c>
      <c r="L6" s="34">
        <v>1</v>
      </c>
      <c r="M6" s="35">
        <v>0.16666666666666666</v>
      </c>
      <c r="N6" s="22">
        <v>0.43902439024390244</v>
      </c>
      <c r="O6" s="36">
        <v>0.40425531914893614</v>
      </c>
    </row>
    <row r="7" spans="2:15">
      <c r="B7" s="37" t="s">
        <v>289</v>
      </c>
      <c r="C7" s="38">
        <v>1</v>
      </c>
      <c r="D7" s="39">
        <v>1</v>
      </c>
      <c r="E7" s="40">
        <v>1</v>
      </c>
      <c r="G7" s="37" t="s">
        <v>289</v>
      </c>
      <c r="H7" s="38">
        <v>1</v>
      </c>
      <c r="I7" s="39">
        <v>1</v>
      </c>
      <c r="J7" s="40">
        <v>1</v>
      </c>
      <c r="L7" s="37" t="s">
        <v>289</v>
      </c>
      <c r="M7" s="38">
        <v>1</v>
      </c>
      <c r="N7" s="39">
        <v>1</v>
      </c>
      <c r="O7" s="40">
        <v>1</v>
      </c>
    </row>
    <row r="10" spans="2:15">
      <c r="B10" s="9" t="s">
        <v>8</v>
      </c>
    </row>
    <row r="11" spans="2:15">
      <c r="B11" s="25" t="s">
        <v>8</v>
      </c>
      <c r="C11" s="30" t="s">
        <v>288</v>
      </c>
    </row>
    <row r="12" spans="2:15">
      <c r="B12" s="28">
        <v>0</v>
      </c>
      <c r="C12" s="33">
        <v>0.13725490196078433</v>
      </c>
    </row>
    <row r="13" spans="2:15">
      <c r="B13" s="34">
        <v>1</v>
      </c>
      <c r="C13" s="36">
        <v>0.86274509803921573</v>
      </c>
    </row>
    <row r="14" spans="2:15">
      <c r="B14" s="37" t="s">
        <v>289</v>
      </c>
      <c r="C14" s="40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U1000"/>
  <sheetViews>
    <sheetView tabSelected="1" workbookViewId="0">
      <selection activeCell="W18" sqref="W18"/>
    </sheetView>
  </sheetViews>
  <sheetFormatPr defaultColWidth="14.42578125" defaultRowHeight="15" customHeight="1"/>
  <cols>
    <col min="1" max="26" width="8.7109375" customWidth="1"/>
  </cols>
  <sheetData>
    <row r="2" spans="2:21" ht="36">
      <c r="B2" s="10" t="s">
        <v>0</v>
      </c>
      <c r="C2" s="10" t="s">
        <v>3</v>
      </c>
      <c r="D2" s="10" t="s">
        <v>280</v>
      </c>
      <c r="E2" s="10" t="s">
        <v>11</v>
      </c>
      <c r="F2" s="10" t="s">
        <v>8</v>
      </c>
      <c r="H2" s="10" t="s">
        <v>290</v>
      </c>
      <c r="I2" s="10" t="s">
        <v>291</v>
      </c>
      <c r="J2" s="10" t="s">
        <v>292</v>
      </c>
      <c r="K2" s="10" t="s">
        <v>293</v>
      </c>
      <c r="L2" s="10" t="s">
        <v>294</v>
      </c>
      <c r="M2" s="10" t="s">
        <v>295</v>
      </c>
      <c r="O2" s="10" t="s">
        <v>296</v>
      </c>
      <c r="P2" s="10" t="s">
        <v>297</v>
      </c>
      <c r="R2" s="10" t="s">
        <v>298</v>
      </c>
      <c r="S2" s="10" t="s">
        <v>299</v>
      </c>
      <c r="T2" s="10" t="s">
        <v>300</v>
      </c>
      <c r="U2" s="19" t="s">
        <v>285</v>
      </c>
    </row>
    <row r="3" spans="2:21">
      <c r="B3" s="10">
        <v>54</v>
      </c>
      <c r="C3" s="11">
        <v>0</v>
      </c>
      <c r="D3" s="12" t="s">
        <v>44</v>
      </c>
      <c r="E3" s="13">
        <v>1</v>
      </c>
      <c r="F3" s="13">
        <v>1</v>
      </c>
      <c r="H3" s="20">
        <f>VLOOKUP(C3,'CASSEM Pivot'!$B$3:$E$7,2,FALSE)</f>
        <v>0.7142857142857143</v>
      </c>
      <c r="I3" s="12">
        <f>IF(D3="NA", 1, VLOOKUP(D3,'CASSEM Pivot'!$G$3:$J$7,2,FALSE))</f>
        <v>1</v>
      </c>
      <c r="J3" s="20">
        <f>IF(E3="NA", 1, VLOOKUP(E3,'CASSEM Pivot'!$L$3:$O$7,2,FALSE))</f>
        <v>0.16666666666666666</v>
      </c>
      <c r="K3" s="20">
        <f>VLOOKUP(C3,'CASSEM Pivot'!$B$3:$E$7,3,FALSE)</f>
        <v>0.5</v>
      </c>
      <c r="L3" s="12">
        <f>IF(D3="NA", 1, VLOOKUP(D3,'CASSEM Pivot'!$G$3:$J$7,3,FALSE))</f>
        <v>1</v>
      </c>
      <c r="M3" s="20">
        <f>IF(E3="NA", 1, VLOOKUP(E3,'CASSEM Pivot'!$L$3:$O$7,3,FALSE))</f>
        <v>0.43902439024390244</v>
      </c>
      <c r="O3" s="21">
        <f>PRODUCT(H3:J3)*GETPIVOTDATA("Secure",'CASSEM Pivot'!$B$11,"Secure",0)</f>
        <v>1.6339869281045753E-2</v>
      </c>
      <c r="P3" s="21">
        <f>PRODUCT(K3:M3)*GETPIVOTDATA("Secure",'CASSEM Pivot'!$B$11,"Secure",1)</f>
        <v>0.18938307030129126</v>
      </c>
      <c r="R3" s="21">
        <f t="shared" ref="R3:R53" si="0">O3/(O3+P3)</f>
        <v>7.9426578845408755E-2</v>
      </c>
      <c r="S3" s="21">
        <f t="shared" ref="S3:S53" si="1">P3/(P3+O3)</f>
        <v>0.92057342115459129</v>
      </c>
      <c r="T3" s="12">
        <f t="shared" ref="T3:T53" si="2">IF(S3&gt;R3,1,0)</f>
        <v>1</v>
      </c>
      <c r="U3" s="12" t="str">
        <f t="shared" ref="U3:U53" si="3">IF(T3=F3,"TRUE","FALSE")</f>
        <v>TRUE</v>
      </c>
    </row>
    <row r="4" spans="2:21">
      <c r="B4" s="10">
        <v>55</v>
      </c>
      <c r="C4" s="11">
        <v>1</v>
      </c>
      <c r="D4" s="12">
        <v>1</v>
      </c>
      <c r="E4" s="13">
        <v>0</v>
      </c>
      <c r="F4" s="13">
        <v>1</v>
      </c>
      <c r="H4" s="20">
        <f>VLOOKUP(C4,'CASSEM Pivot'!$B$3:$E$7,2,FALSE)</f>
        <v>0.2857142857142857</v>
      </c>
      <c r="I4" s="20">
        <f>IF(D4="NA", 1, VLOOKUP(D4,'CASSEM Pivot'!$G$3:$J$7,2,FALSE))</f>
        <v>0.8571428571428571</v>
      </c>
      <c r="J4" s="20">
        <f>IF(E4="NA", 1, VLOOKUP(E4,'CASSEM Pivot'!$L$3:$O$7,2,FALSE))</f>
        <v>0.83333333333333337</v>
      </c>
      <c r="K4" s="20">
        <f>VLOOKUP(C4,'CASSEM Pivot'!$B$3:$E$7,3,FALSE)</f>
        <v>0.5</v>
      </c>
      <c r="L4" s="20">
        <f>IF(D4="NA", 1, VLOOKUP(D4,'CASSEM Pivot'!$G$3:$J$7,3,FALSE))</f>
        <v>0.84848484848484851</v>
      </c>
      <c r="M4" s="20">
        <f>IF(E4="NA", 1, VLOOKUP(E4,'CASSEM Pivot'!$L$3:$O$7,3,FALSE))</f>
        <v>0.56097560975609762</v>
      </c>
      <c r="O4" s="21">
        <f>PRODUCT(H4:J4)*GETPIVOTDATA("Secure",'CASSEM Pivot'!$B$11,"Secure",0)</f>
        <v>2.8011204481792715E-2</v>
      </c>
      <c r="P4" s="21">
        <f>PRODUCT(K4:M4)*GETPIVOTDATA("Secure",'CASSEM Pivot'!$B$11,"Secure",1)</f>
        <v>0.20532440618523837</v>
      </c>
      <c r="R4" s="21">
        <f t="shared" si="0"/>
        <v>0.1200468475502635</v>
      </c>
      <c r="S4" s="21">
        <f t="shared" si="1"/>
        <v>0.8799531524497366</v>
      </c>
      <c r="T4" s="12">
        <f t="shared" si="2"/>
        <v>1</v>
      </c>
      <c r="U4" s="12" t="str">
        <f t="shared" si="3"/>
        <v>TRUE</v>
      </c>
    </row>
    <row r="5" spans="2:21">
      <c r="B5" s="10">
        <v>1</v>
      </c>
      <c r="C5" s="11">
        <v>1</v>
      </c>
      <c r="D5" s="12">
        <v>1</v>
      </c>
      <c r="E5" s="13">
        <v>1</v>
      </c>
      <c r="F5" s="13">
        <v>1</v>
      </c>
      <c r="H5" s="20">
        <f>VLOOKUP(C5,'CASSEM Pivot'!$B$3:$E$7,2,FALSE)</f>
        <v>0.2857142857142857</v>
      </c>
      <c r="I5" s="20">
        <f>IF(D5="NA", 1, VLOOKUP(D5,'CASSEM Pivot'!$G$3:$J$7,2,FALSE))</f>
        <v>0.8571428571428571</v>
      </c>
      <c r="J5" s="20">
        <f>IF(E5="NA", 1, VLOOKUP(E5,'CASSEM Pivot'!$L$3:$O$7,2,FALSE))</f>
        <v>0.16666666666666666</v>
      </c>
      <c r="K5" s="20">
        <f>VLOOKUP(C5,'CASSEM Pivot'!$B$3:$E$7,3,FALSE)</f>
        <v>0.5</v>
      </c>
      <c r="L5" s="20">
        <f>IF(D5="NA", 1, VLOOKUP(D5,'CASSEM Pivot'!$G$3:$J$7,3,FALSE))</f>
        <v>0.84848484848484851</v>
      </c>
      <c r="M5" s="20">
        <f>IF(E5="NA", 1, VLOOKUP(E5,'CASSEM Pivot'!$L$3:$O$7,3,FALSE))</f>
        <v>0.43902439024390244</v>
      </c>
      <c r="O5" s="21">
        <f>PRODUCT(H5:J5)*GETPIVOTDATA("Secure",'CASSEM Pivot'!$B$11,"Secure",0)</f>
        <v>5.6022408963585426E-3</v>
      </c>
      <c r="P5" s="21">
        <f>PRODUCT(K5:M5)*GETPIVOTDATA("Secure",'CASSEM Pivot'!$B$11,"Secure",1)</f>
        <v>0.16068866571018653</v>
      </c>
      <c r="R5" s="21">
        <f t="shared" si="0"/>
        <v>3.368940016433853E-2</v>
      </c>
      <c r="S5" s="21">
        <f t="shared" si="1"/>
        <v>0.96631059983566137</v>
      </c>
      <c r="T5" s="12">
        <f t="shared" si="2"/>
        <v>1</v>
      </c>
      <c r="U5" s="12" t="str">
        <f t="shared" si="3"/>
        <v>TRUE</v>
      </c>
    </row>
    <row r="6" spans="2:21">
      <c r="B6" s="10">
        <v>14</v>
      </c>
      <c r="C6" s="11">
        <v>1</v>
      </c>
      <c r="D6" s="12">
        <v>1</v>
      </c>
      <c r="E6" s="13">
        <v>1</v>
      </c>
      <c r="F6" s="13">
        <v>1</v>
      </c>
      <c r="H6" s="20">
        <f>VLOOKUP(C6,'CASSEM Pivot'!$B$3:$E$7,2,FALSE)</f>
        <v>0.2857142857142857</v>
      </c>
      <c r="I6" s="20">
        <f>IF(D6="NA", 1, VLOOKUP(D6,'CASSEM Pivot'!$G$3:$J$7,2,FALSE))</f>
        <v>0.8571428571428571</v>
      </c>
      <c r="J6" s="20">
        <f>IF(E6="NA", 1, VLOOKUP(E6,'CASSEM Pivot'!$L$3:$O$7,2,FALSE))</f>
        <v>0.16666666666666666</v>
      </c>
      <c r="K6" s="20">
        <f>VLOOKUP(C6,'CASSEM Pivot'!$B$3:$E$7,3,FALSE)</f>
        <v>0.5</v>
      </c>
      <c r="L6" s="20">
        <f>IF(D6="NA", 1, VLOOKUP(D6,'CASSEM Pivot'!$G$3:$J$7,3,FALSE))</f>
        <v>0.84848484848484851</v>
      </c>
      <c r="M6" s="20">
        <f>IF(E6="NA", 1, VLOOKUP(E6,'CASSEM Pivot'!$L$3:$O$7,3,FALSE))</f>
        <v>0.43902439024390244</v>
      </c>
      <c r="O6" s="21">
        <f>PRODUCT(H6:J6)*GETPIVOTDATA("Secure",'CASSEM Pivot'!$B$11,"Secure",0)</f>
        <v>5.6022408963585426E-3</v>
      </c>
      <c r="P6" s="21">
        <f>PRODUCT(K6:M6)*GETPIVOTDATA("Secure",'CASSEM Pivot'!$B$11,"Secure",1)</f>
        <v>0.16068866571018653</v>
      </c>
      <c r="R6" s="21">
        <f t="shared" si="0"/>
        <v>3.368940016433853E-2</v>
      </c>
      <c r="S6" s="21">
        <f t="shared" si="1"/>
        <v>0.96631059983566137</v>
      </c>
      <c r="T6" s="12">
        <f t="shared" si="2"/>
        <v>1</v>
      </c>
      <c r="U6" s="12" t="str">
        <f t="shared" si="3"/>
        <v>TRUE</v>
      </c>
    </row>
    <row r="7" spans="2:21">
      <c r="B7" s="10">
        <v>58</v>
      </c>
      <c r="C7" s="11">
        <v>1</v>
      </c>
      <c r="D7" s="12" t="s">
        <v>44</v>
      </c>
      <c r="E7" s="13">
        <v>0</v>
      </c>
      <c r="F7" s="13">
        <v>1</v>
      </c>
      <c r="H7" s="20">
        <f>VLOOKUP(C7,'CASSEM Pivot'!$B$3:$E$7,2,FALSE)</f>
        <v>0.2857142857142857</v>
      </c>
      <c r="I7" s="12">
        <f>IF(D7="NA", 1, VLOOKUP(D7,'CASSEM Pivot'!$G$3:$J$7,2,FALSE))</f>
        <v>1</v>
      </c>
      <c r="J7" s="20">
        <f>IF(E7="NA", 1, VLOOKUP(E7,'CASSEM Pivot'!$L$3:$O$7,2,FALSE))</f>
        <v>0.83333333333333337</v>
      </c>
      <c r="K7" s="20">
        <f>VLOOKUP(C7,'CASSEM Pivot'!$B$3:$E$7,3,FALSE)</f>
        <v>0.5</v>
      </c>
      <c r="L7" s="12">
        <f>IF(D7="NA", 1, VLOOKUP(D7,'CASSEM Pivot'!$G$3:$J$7,3,FALSE))</f>
        <v>1</v>
      </c>
      <c r="M7" s="20">
        <f>IF(E7="NA", 1, VLOOKUP(E7,'CASSEM Pivot'!$L$3:$O$7,3,FALSE))</f>
        <v>0.56097560975609762</v>
      </c>
      <c r="O7" s="21">
        <f>PRODUCT(H7:J7)*GETPIVOTDATA("Secure",'CASSEM Pivot'!$B$11,"Secure",0)</f>
        <v>3.2679738562091505E-2</v>
      </c>
      <c r="P7" s="21">
        <f>PRODUCT(K7:M7)*GETPIVOTDATA("Secure",'CASSEM Pivot'!$B$11,"Secure",1)</f>
        <v>0.24198947871831664</v>
      </c>
      <c r="R7" s="21">
        <f t="shared" si="0"/>
        <v>0.11897852582704584</v>
      </c>
      <c r="S7" s="21">
        <f t="shared" si="1"/>
        <v>0.88102147417295407</v>
      </c>
      <c r="T7" s="12">
        <f t="shared" si="2"/>
        <v>1</v>
      </c>
      <c r="U7" s="12" t="str">
        <f t="shared" si="3"/>
        <v>TRUE</v>
      </c>
    </row>
    <row r="8" spans="2:21">
      <c r="B8" s="10">
        <v>10</v>
      </c>
      <c r="C8" s="11">
        <v>0</v>
      </c>
      <c r="D8" s="12">
        <v>1</v>
      </c>
      <c r="E8" s="13">
        <v>1</v>
      </c>
      <c r="F8" s="13">
        <v>1</v>
      </c>
      <c r="H8" s="20">
        <f>VLOOKUP(C8,'CASSEM Pivot'!$B$3:$E$7,2,FALSE)</f>
        <v>0.7142857142857143</v>
      </c>
      <c r="I8" s="20">
        <f>IF(D8="NA", 1, VLOOKUP(D8,'CASSEM Pivot'!$G$3:$J$7,2,FALSE))</f>
        <v>0.8571428571428571</v>
      </c>
      <c r="J8" s="20">
        <f>IF(E8="NA", 1, VLOOKUP(E8,'CASSEM Pivot'!$L$3:$O$7,2,FALSE))</f>
        <v>0.16666666666666666</v>
      </c>
      <c r="K8" s="20">
        <f>VLOOKUP(C8,'CASSEM Pivot'!$B$3:$E$7,3,FALSE)</f>
        <v>0.5</v>
      </c>
      <c r="L8" s="20">
        <f>IF(D8="NA", 1, VLOOKUP(D8,'CASSEM Pivot'!$G$3:$J$7,3,FALSE))</f>
        <v>0.84848484848484851</v>
      </c>
      <c r="M8" s="20">
        <f>IF(E8="NA", 1, VLOOKUP(E8,'CASSEM Pivot'!$L$3:$O$7,3,FALSE))</f>
        <v>0.43902439024390244</v>
      </c>
      <c r="O8" s="21">
        <f>PRODUCT(H8:J8)*GETPIVOTDATA("Secure",'CASSEM Pivot'!$B$11,"Secure",0)</f>
        <v>1.4005602240896361E-2</v>
      </c>
      <c r="P8" s="21">
        <f>PRODUCT(K8:M8)*GETPIVOTDATA("Secure",'CASSEM Pivot'!$B$11,"Secure",1)</f>
        <v>0.16068866571018653</v>
      </c>
      <c r="R8" s="21">
        <f t="shared" si="0"/>
        <v>8.0172076652326951E-2</v>
      </c>
      <c r="S8" s="21">
        <f t="shared" si="1"/>
        <v>0.91982792334767305</v>
      </c>
      <c r="T8" s="12">
        <f t="shared" si="2"/>
        <v>1</v>
      </c>
      <c r="U8" s="12" t="str">
        <f t="shared" si="3"/>
        <v>TRUE</v>
      </c>
    </row>
    <row r="9" spans="2:21">
      <c r="B9" s="10">
        <v>51</v>
      </c>
      <c r="C9" s="11">
        <v>1</v>
      </c>
      <c r="D9" s="12" t="s">
        <v>44</v>
      </c>
      <c r="E9" s="13">
        <v>0</v>
      </c>
      <c r="F9" s="13">
        <v>1</v>
      </c>
      <c r="H9" s="20">
        <f>VLOOKUP(C9,'CASSEM Pivot'!$B$3:$E$7,2,FALSE)</f>
        <v>0.2857142857142857</v>
      </c>
      <c r="I9" s="12">
        <f>IF(D9="NA", 1, VLOOKUP(D9,'CASSEM Pivot'!$G$3:$J$7,2,FALSE))</f>
        <v>1</v>
      </c>
      <c r="J9" s="20">
        <f>IF(E9="NA", 1, VLOOKUP(E9,'CASSEM Pivot'!$L$3:$O$7,2,FALSE))</f>
        <v>0.83333333333333337</v>
      </c>
      <c r="K9" s="20">
        <f>VLOOKUP(C9,'CASSEM Pivot'!$B$3:$E$7,3,FALSE)</f>
        <v>0.5</v>
      </c>
      <c r="L9" s="12">
        <f>IF(D9="NA", 1, VLOOKUP(D9,'CASSEM Pivot'!$G$3:$J$7,3,FALSE))</f>
        <v>1</v>
      </c>
      <c r="M9" s="20">
        <f>IF(E9="NA", 1, VLOOKUP(E9,'CASSEM Pivot'!$L$3:$O$7,3,FALSE))</f>
        <v>0.56097560975609762</v>
      </c>
      <c r="O9" s="21">
        <f>PRODUCT(H9:J9)*GETPIVOTDATA("Secure",'CASSEM Pivot'!$B$11,"Secure",0)</f>
        <v>3.2679738562091505E-2</v>
      </c>
      <c r="P9" s="21">
        <f>PRODUCT(K9:M9)*GETPIVOTDATA("Secure",'CASSEM Pivot'!$B$11,"Secure",1)</f>
        <v>0.24198947871831664</v>
      </c>
      <c r="R9" s="21">
        <f t="shared" si="0"/>
        <v>0.11897852582704584</v>
      </c>
      <c r="S9" s="21">
        <f t="shared" si="1"/>
        <v>0.88102147417295407</v>
      </c>
      <c r="T9" s="12">
        <f t="shared" si="2"/>
        <v>1</v>
      </c>
      <c r="U9" s="12" t="str">
        <f t="shared" si="3"/>
        <v>TRUE</v>
      </c>
    </row>
    <row r="10" spans="2:21">
      <c r="B10" s="10">
        <v>57</v>
      </c>
      <c r="C10" s="11">
        <v>1</v>
      </c>
      <c r="D10" s="12">
        <v>1</v>
      </c>
      <c r="E10" s="13">
        <v>0</v>
      </c>
      <c r="F10" s="13">
        <v>1</v>
      </c>
      <c r="H10" s="20">
        <f>VLOOKUP(C10,'CASSEM Pivot'!$B$3:$E$7,2,FALSE)</f>
        <v>0.2857142857142857</v>
      </c>
      <c r="I10" s="20">
        <f>IF(D10="NA", 1, VLOOKUP(D10,'CASSEM Pivot'!$G$3:$J$7,2,FALSE))</f>
        <v>0.8571428571428571</v>
      </c>
      <c r="J10" s="20">
        <f>IF(E10="NA", 1, VLOOKUP(E10,'CASSEM Pivot'!$L$3:$O$7,2,FALSE))</f>
        <v>0.83333333333333337</v>
      </c>
      <c r="K10" s="20">
        <f>VLOOKUP(C10,'CASSEM Pivot'!$B$3:$E$7,3,FALSE)</f>
        <v>0.5</v>
      </c>
      <c r="L10" s="20">
        <f>IF(D10="NA", 1, VLOOKUP(D10,'CASSEM Pivot'!$G$3:$J$7,3,FALSE))</f>
        <v>0.84848484848484851</v>
      </c>
      <c r="M10" s="20">
        <f>IF(E10="NA", 1, VLOOKUP(E10,'CASSEM Pivot'!$L$3:$O$7,3,FALSE))</f>
        <v>0.56097560975609762</v>
      </c>
      <c r="O10" s="21">
        <f>PRODUCT(H10:J10)*GETPIVOTDATA("Secure",'CASSEM Pivot'!$B$11,"Secure",0)</f>
        <v>2.8011204481792715E-2</v>
      </c>
      <c r="P10" s="21">
        <f>PRODUCT(K10:M10)*GETPIVOTDATA("Secure",'CASSEM Pivot'!$B$11,"Secure",1)</f>
        <v>0.20532440618523837</v>
      </c>
      <c r="R10" s="21">
        <f t="shared" si="0"/>
        <v>0.1200468475502635</v>
      </c>
      <c r="S10" s="21">
        <f t="shared" si="1"/>
        <v>0.8799531524497366</v>
      </c>
      <c r="T10" s="12">
        <f t="shared" si="2"/>
        <v>1</v>
      </c>
      <c r="U10" s="12" t="str">
        <f t="shared" si="3"/>
        <v>TRUE</v>
      </c>
    </row>
    <row r="11" spans="2:21">
      <c r="B11" s="10">
        <v>5</v>
      </c>
      <c r="C11" s="11">
        <v>1</v>
      </c>
      <c r="D11" s="12">
        <v>1</v>
      </c>
      <c r="E11" s="13">
        <v>0</v>
      </c>
      <c r="F11" s="13">
        <v>1</v>
      </c>
      <c r="H11" s="20">
        <f>VLOOKUP(C11,'CASSEM Pivot'!$B$3:$E$7,2,FALSE)</f>
        <v>0.2857142857142857</v>
      </c>
      <c r="I11" s="20">
        <f>IF(D11="NA", 1, VLOOKUP(D11,'CASSEM Pivot'!$G$3:$J$7,2,FALSE))</f>
        <v>0.8571428571428571</v>
      </c>
      <c r="J11" s="20">
        <f>IF(E11="NA", 1, VLOOKUP(E11,'CASSEM Pivot'!$L$3:$O$7,2,FALSE))</f>
        <v>0.83333333333333337</v>
      </c>
      <c r="K11" s="20">
        <f>VLOOKUP(C11,'CASSEM Pivot'!$B$3:$E$7,3,FALSE)</f>
        <v>0.5</v>
      </c>
      <c r="L11" s="20">
        <f>IF(D11="NA", 1, VLOOKUP(D11,'CASSEM Pivot'!$G$3:$J$7,3,FALSE))</f>
        <v>0.84848484848484851</v>
      </c>
      <c r="M11" s="20">
        <f>IF(E11="NA", 1, VLOOKUP(E11,'CASSEM Pivot'!$L$3:$O$7,3,FALSE))</f>
        <v>0.56097560975609762</v>
      </c>
      <c r="O11" s="21">
        <f>PRODUCT(H11:J11)*GETPIVOTDATA("Secure",'CASSEM Pivot'!$B$11,"Secure",0)</f>
        <v>2.8011204481792715E-2</v>
      </c>
      <c r="P11" s="21">
        <f>PRODUCT(K11:M11)*GETPIVOTDATA("Secure",'CASSEM Pivot'!$B$11,"Secure",1)</f>
        <v>0.20532440618523837</v>
      </c>
      <c r="R11" s="21">
        <f t="shared" si="0"/>
        <v>0.1200468475502635</v>
      </c>
      <c r="S11" s="21">
        <f t="shared" si="1"/>
        <v>0.8799531524497366</v>
      </c>
      <c r="T11" s="12">
        <f t="shared" si="2"/>
        <v>1</v>
      </c>
      <c r="U11" s="12" t="str">
        <f t="shared" si="3"/>
        <v>TRUE</v>
      </c>
    </row>
    <row r="12" spans="2:21">
      <c r="B12" s="10">
        <v>59</v>
      </c>
      <c r="C12" s="11">
        <v>1</v>
      </c>
      <c r="D12" s="12">
        <v>1</v>
      </c>
      <c r="E12" s="13">
        <v>1</v>
      </c>
      <c r="F12" s="13">
        <v>1</v>
      </c>
      <c r="H12" s="20">
        <f>VLOOKUP(C12,'CASSEM Pivot'!$B$3:$E$7,2,FALSE)</f>
        <v>0.2857142857142857</v>
      </c>
      <c r="I12" s="20">
        <f>IF(D12="NA", 1, VLOOKUP(D12,'CASSEM Pivot'!$G$3:$J$7,2,FALSE))</f>
        <v>0.8571428571428571</v>
      </c>
      <c r="J12" s="20">
        <f>IF(E12="NA", 1, VLOOKUP(E12,'CASSEM Pivot'!$L$3:$O$7,2,FALSE))</f>
        <v>0.16666666666666666</v>
      </c>
      <c r="K12" s="20">
        <f>VLOOKUP(C12,'CASSEM Pivot'!$B$3:$E$7,3,FALSE)</f>
        <v>0.5</v>
      </c>
      <c r="L12" s="20">
        <f>IF(D12="NA", 1, VLOOKUP(D12,'CASSEM Pivot'!$G$3:$J$7,3,FALSE))</f>
        <v>0.84848484848484851</v>
      </c>
      <c r="M12" s="20">
        <f>IF(E12="NA", 1, VLOOKUP(E12,'CASSEM Pivot'!$L$3:$O$7,3,FALSE))</f>
        <v>0.43902439024390244</v>
      </c>
      <c r="O12" s="21">
        <f>PRODUCT(H12:J12)*GETPIVOTDATA("Secure",'CASSEM Pivot'!$B$11,"Secure",0)</f>
        <v>5.6022408963585426E-3</v>
      </c>
      <c r="P12" s="21">
        <f>PRODUCT(K12:M12)*GETPIVOTDATA("Secure",'CASSEM Pivot'!$B$11,"Secure",1)</f>
        <v>0.16068866571018653</v>
      </c>
      <c r="R12" s="21">
        <f t="shared" si="0"/>
        <v>3.368940016433853E-2</v>
      </c>
      <c r="S12" s="21">
        <f t="shared" si="1"/>
        <v>0.96631059983566137</v>
      </c>
      <c r="T12" s="12">
        <f t="shared" si="2"/>
        <v>1</v>
      </c>
      <c r="U12" s="12" t="str">
        <f t="shared" si="3"/>
        <v>TRUE</v>
      </c>
    </row>
    <row r="13" spans="2:21">
      <c r="B13" s="10">
        <v>60</v>
      </c>
      <c r="C13" s="11">
        <v>0</v>
      </c>
      <c r="D13" s="12" t="s">
        <v>44</v>
      </c>
      <c r="E13" s="13">
        <v>1</v>
      </c>
      <c r="F13" s="13">
        <v>1</v>
      </c>
      <c r="H13" s="20">
        <f>VLOOKUP(C13,'CASSEM Pivot'!$B$3:$E$7,2,FALSE)</f>
        <v>0.7142857142857143</v>
      </c>
      <c r="I13" s="12">
        <f>IF(D13="NA", 1, VLOOKUP(D13,'CASSEM Pivot'!$G$3:$J$7,2,FALSE))</f>
        <v>1</v>
      </c>
      <c r="J13" s="20">
        <f>IF(E13="NA", 1, VLOOKUP(E13,'CASSEM Pivot'!$L$3:$O$7,2,FALSE))</f>
        <v>0.16666666666666666</v>
      </c>
      <c r="K13" s="20">
        <f>VLOOKUP(C13,'CASSEM Pivot'!$B$3:$E$7,3,FALSE)</f>
        <v>0.5</v>
      </c>
      <c r="L13" s="12">
        <f>IF(D13="NA", 1, VLOOKUP(D13,'CASSEM Pivot'!$G$3:$J$7,3,FALSE))</f>
        <v>1</v>
      </c>
      <c r="M13" s="20">
        <f>IF(E13="NA", 1, VLOOKUP(E13,'CASSEM Pivot'!$L$3:$O$7,3,FALSE))</f>
        <v>0.43902439024390244</v>
      </c>
      <c r="O13" s="21">
        <f>PRODUCT(H13:J13)*GETPIVOTDATA("Secure",'CASSEM Pivot'!$B$11,"Secure",0)</f>
        <v>1.6339869281045753E-2</v>
      </c>
      <c r="P13" s="21">
        <f>PRODUCT(K13:M13)*GETPIVOTDATA("Secure",'CASSEM Pivot'!$B$11,"Secure",1)</f>
        <v>0.18938307030129126</v>
      </c>
      <c r="R13" s="21">
        <f t="shared" si="0"/>
        <v>7.9426578845408755E-2</v>
      </c>
      <c r="S13" s="21">
        <f t="shared" si="1"/>
        <v>0.92057342115459129</v>
      </c>
      <c r="T13" s="12">
        <f t="shared" si="2"/>
        <v>1</v>
      </c>
      <c r="U13" s="12" t="str">
        <f t="shared" si="3"/>
        <v>TRUE</v>
      </c>
    </row>
    <row r="14" spans="2:21">
      <c r="B14" s="10">
        <v>4</v>
      </c>
      <c r="C14" s="11">
        <v>0</v>
      </c>
      <c r="D14" s="12" t="s">
        <v>44</v>
      </c>
      <c r="E14" s="13">
        <v>0</v>
      </c>
      <c r="F14" s="13">
        <v>1</v>
      </c>
      <c r="H14" s="20">
        <f>VLOOKUP(C14,'CASSEM Pivot'!$B$3:$E$7,2,FALSE)</f>
        <v>0.7142857142857143</v>
      </c>
      <c r="I14" s="12">
        <f>IF(D14="NA", 1, VLOOKUP(D14,'CASSEM Pivot'!$G$3:$J$7,2,FALSE))</f>
        <v>1</v>
      </c>
      <c r="J14" s="20">
        <f>IF(E14="NA", 1, VLOOKUP(E14,'CASSEM Pivot'!$L$3:$O$7,2,FALSE))</f>
        <v>0.83333333333333337</v>
      </c>
      <c r="K14" s="20">
        <f>VLOOKUP(C14,'CASSEM Pivot'!$B$3:$E$7,3,FALSE)</f>
        <v>0.5</v>
      </c>
      <c r="L14" s="12">
        <f>IF(D14="NA", 1, VLOOKUP(D14,'CASSEM Pivot'!$G$3:$J$7,3,FALSE))</f>
        <v>1</v>
      </c>
      <c r="M14" s="20">
        <f>IF(E14="NA", 1, VLOOKUP(E14,'CASSEM Pivot'!$L$3:$O$7,3,FALSE))</f>
        <v>0.56097560975609762</v>
      </c>
      <c r="O14" s="21">
        <f>PRODUCT(H14:J14)*GETPIVOTDATA("Secure",'CASSEM Pivot'!$B$11,"Secure",0)</f>
        <v>8.1699346405228759E-2</v>
      </c>
      <c r="P14" s="21">
        <f>PRODUCT(K14:M14)*GETPIVOTDATA("Secure",'CASSEM Pivot'!$B$11,"Secure",1)</f>
        <v>0.24198947871831664</v>
      </c>
      <c r="R14" s="21">
        <f t="shared" si="0"/>
        <v>0.25240088648116221</v>
      </c>
      <c r="S14" s="21">
        <f t="shared" si="1"/>
        <v>0.74759911351883768</v>
      </c>
      <c r="T14" s="12">
        <f t="shared" si="2"/>
        <v>1</v>
      </c>
      <c r="U14" s="12" t="str">
        <f t="shared" si="3"/>
        <v>TRUE</v>
      </c>
    </row>
    <row r="15" spans="2:21">
      <c r="B15" s="10">
        <v>12</v>
      </c>
      <c r="C15" s="11">
        <v>0</v>
      </c>
      <c r="D15" s="12">
        <v>1</v>
      </c>
      <c r="E15" s="13">
        <v>1</v>
      </c>
      <c r="F15" s="13">
        <v>1</v>
      </c>
      <c r="H15" s="20">
        <f>VLOOKUP(C15,'CASSEM Pivot'!$B$3:$E$7,2,FALSE)</f>
        <v>0.7142857142857143</v>
      </c>
      <c r="I15" s="20">
        <f>IF(D15="NA", 1, VLOOKUP(D15,'CASSEM Pivot'!$G$3:$J$7,2,FALSE))</f>
        <v>0.8571428571428571</v>
      </c>
      <c r="J15" s="20">
        <f>IF(E15="NA", 1, VLOOKUP(E15,'CASSEM Pivot'!$L$3:$O$7,2,FALSE))</f>
        <v>0.16666666666666666</v>
      </c>
      <c r="K15" s="20">
        <f>VLOOKUP(C15,'CASSEM Pivot'!$B$3:$E$7,3,FALSE)</f>
        <v>0.5</v>
      </c>
      <c r="L15" s="20">
        <f>IF(D15="NA", 1, VLOOKUP(D15,'CASSEM Pivot'!$G$3:$J$7,3,FALSE))</f>
        <v>0.84848484848484851</v>
      </c>
      <c r="M15" s="20">
        <f>IF(E15="NA", 1, VLOOKUP(E15,'CASSEM Pivot'!$L$3:$O$7,3,FALSE))</f>
        <v>0.43902439024390244</v>
      </c>
      <c r="O15" s="21">
        <f>PRODUCT(H15:J15)*GETPIVOTDATA("Secure",'CASSEM Pivot'!$B$11,"Secure",0)</f>
        <v>1.4005602240896361E-2</v>
      </c>
      <c r="P15" s="21">
        <f>PRODUCT(K15:M15)*GETPIVOTDATA("Secure",'CASSEM Pivot'!$B$11,"Secure",1)</f>
        <v>0.16068866571018653</v>
      </c>
      <c r="R15" s="21">
        <f t="shared" si="0"/>
        <v>8.0172076652326951E-2</v>
      </c>
      <c r="S15" s="21">
        <f t="shared" si="1"/>
        <v>0.91982792334767305</v>
      </c>
      <c r="T15" s="12">
        <f t="shared" si="2"/>
        <v>1</v>
      </c>
      <c r="U15" s="12" t="str">
        <f t="shared" si="3"/>
        <v>TRUE</v>
      </c>
    </row>
    <row r="16" spans="2:21">
      <c r="B16" s="10">
        <v>27</v>
      </c>
      <c r="C16" s="11">
        <v>0</v>
      </c>
      <c r="D16" s="12">
        <v>1</v>
      </c>
      <c r="E16" s="13">
        <v>1</v>
      </c>
      <c r="F16" s="13">
        <v>1</v>
      </c>
      <c r="H16" s="20">
        <f>VLOOKUP(C16,'CASSEM Pivot'!$B$3:$E$7,2,FALSE)</f>
        <v>0.7142857142857143</v>
      </c>
      <c r="I16" s="20">
        <f>IF(D16="NA", 1, VLOOKUP(D16,'CASSEM Pivot'!$G$3:$J$7,2,FALSE))</f>
        <v>0.8571428571428571</v>
      </c>
      <c r="J16" s="20">
        <f>IF(E16="NA", 1, VLOOKUP(E16,'CASSEM Pivot'!$L$3:$O$7,2,FALSE))</f>
        <v>0.16666666666666666</v>
      </c>
      <c r="K16" s="20">
        <f>VLOOKUP(C16,'CASSEM Pivot'!$B$3:$E$7,3,FALSE)</f>
        <v>0.5</v>
      </c>
      <c r="L16" s="20">
        <f>IF(D16="NA", 1, VLOOKUP(D16,'CASSEM Pivot'!$G$3:$J$7,3,FALSE))</f>
        <v>0.84848484848484851</v>
      </c>
      <c r="M16" s="20">
        <f>IF(E16="NA", 1, VLOOKUP(E16,'CASSEM Pivot'!$L$3:$O$7,3,FALSE))</f>
        <v>0.43902439024390244</v>
      </c>
      <c r="O16" s="21">
        <f>PRODUCT(H16:J16)*GETPIVOTDATA("Secure",'CASSEM Pivot'!$B$11,"Secure",0)</f>
        <v>1.4005602240896361E-2</v>
      </c>
      <c r="P16" s="21">
        <f>PRODUCT(K16:M16)*GETPIVOTDATA("Secure",'CASSEM Pivot'!$B$11,"Secure",1)</f>
        <v>0.16068866571018653</v>
      </c>
      <c r="R16" s="21">
        <f t="shared" si="0"/>
        <v>8.0172076652326951E-2</v>
      </c>
      <c r="S16" s="21">
        <f t="shared" si="1"/>
        <v>0.91982792334767305</v>
      </c>
      <c r="T16" s="12">
        <f t="shared" si="2"/>
        <v>1</v>
      </c>
      <c r="U16" s="12" t="str">
        <f t="shared" si="3"/>
        <v>TRUE</v>
      </c>
    </row>
    <row r="17" spans="2:21">
      <c r="B17" s="10">
        <v>33</v>
      </c>
      <c r="C17" s="11">
        <v>1</v>
      </c>
      <c r="D17" s="12" t="s">
        <v>44</v>
      </c>
      <c r="E17" s="13">
        <v>0</v>
      </c>
      <c r="F17" s="13">
        <v>1</v>
      </c>
      <c r="H17" s="20">
        <f>VLOOKUP(C17,'CASSEM Pivot'!$B$3:$E$7,2,FALSE)</f>
        <v>0.2857142857142857</v>
      </c>
      <c r="I17" s="12">
        <f>IF(D17="NA", 1, VLOOKUP(D17,'CASSEM Pivot'!$G$3:$J$7,2,FALSE))</f>
        <v>1</v>
      </c>
      <c r="J17" s="20">
        <f>IF(E17="NA", 1, VLOOKUP(E17,'CASSEM Pivot'!$L$3:$O$7,2,FALSE))</f>
        <v>0.83333333333333337</v>
      </c>
      <c r="K17" s="20">
        <f>VLOOKUP(C17,'CASSEM Pivot'!$B$3:$E$7,3,FALSE)</f>
        <v>0.5</v>
      </c>
      <c r="L17" s="12">
        <f>IF(D17="NA", 1, VLOOKUP(D17,'CASSEM Pivot'!$G$3:$J$7,3,FALSE))</f>
        <v>1</v>
      </c>
      <c r="M17" s="20">
        <f>IF(E17="NA", 1, VLOOKUP(E17,'CASSEM Pivot'!$L$3:$O$7,3,FALSE))</f>
        <v>0.56097560975609762</v>
      </c>
      <c r="O17" s="21">
        <f>PRODUCT(H17:J17)*GETPIVOTDATA("Secure",'CASSEM Pivot'!$B$11,"Secure",0)</f>
        <v>3.2679738562091505E-2</v>
      </c>
      <c r="P17" s="21">
        <f>PRODUCT(K17:M17)*GETPIVOTDATA("Secure",'CASSEM Pivot'!$B$11,"Secure",1)</f>
        <v>0.24198947871831664</v>
      </c>
      <c r="R17" s="21">
        <f t="shared" si="0"/>
        <v>0.11897852582704584</v>
      </c>
      <c r="S17" s="21">
        <f t="shared" si="1"/>
        <v>0.88102147417295407</v>
      </c>
      <c r="T17" s="12">
        <f t="shared" si="2"/>
        <v>1</v>
      </c>
      <c r="U17" s="12" t="str">
        <f t="shared" si="3"/>
        <v>TRUE</v>
      </c>
    </row>
    <row r="18" spans="2:21">
      <c r="B18" s="10">
        <v>7</v>
      </c>
      <c r="C18" s="11">
        <v>0</v>
      </c>
      <c r="D18" s="12" t="s">
        <v>44</v>
      </c>
      <c r="E18" s="13" t="s">
        <v>44</v>
      </c>
      <c r="F18" s="13">
        <v>1</v>
      </c>
      <c r="H18" s="20">
        <f>VLOOKUP(C18,'CASSEM Pivot'!$B$3:$E$7,2,FALSE)</f>
        <v>0.7142857142857143</v>
      </c>
      <c r="I18" s="12">
        <f>IF(D18="NA", 1, VLOOKUP(D18,'CASSEM Pivot'!$G$3:$J$7,2,FALSE))</f>
        <v>1</v>
      </c>
      <c r="J18" s="12">
        <f>IF(E18="NA", 1, VLOOKUP(E18,'CASSEM Pivot'!$L$3:$O$7,2,FALSE))</f>
        <v>1</v>
      </c>
      <c r="K18" s="20">
        <f>VLOOKUP(C18,'CASSEM Pivot'!$B$3:$E$7,3,FALSE)</f>
        <v>0.5</v>
      </c>
      <c r="L18" s="12">
        <f>IF(D18="NA", 1, VLOOKUP(D18,'CASSEM Pivot'!$G$3:$J$7,3,FALSE))</f>
        <v>1</v>
      </c>
      <c r="M18" s="12">
        <f>IF(E18="NA", 1, VLOOKUP(E18,'CASSEM Pivot'!$L$3:$O$7,3,FALSE))</f>
        <v>1</v>
      </c>
      <c r="O18" s="21">
        <f>PRODUCT(H18:J18)*GETPIVOTDATA("Secure",'CASSEM Pivot'!$B$11,"Secure",0)</f>
        <v>9.8039215686274522E-2</v>
      </c>
      <c r="P18" s="21">
        <f>PRODUCT(K18:M18)*GETPIVOTDATA("Secure",'CASSEM Pivot'!$B$11,"Secure",1)</f>
        <v>0.43137254901960786</v>
      </c>
      <c r="R18" s="21">
        <f t="shared" si="0"/>
        <v>0.1851851851851852</v>
      </c>
      <c r="S18" s="21">
        <f t="shared" si="1"/>
        <v>0.81481481481481488</v>
      </c>
      <c r="T18" s="12">
        <f t="shared" si="2"/>
        <v>1</v>
      </c>
      <c r="U18" s="12" t="str">
        <f t="shared" si="3"/>
        <v>TRUE</v>
      </c>
    </row>
    <row r="19" spans="2:21">
      <c r="B19" s="10">
        <v>37</v>
      </c>
      <c r="C19" s="11">
        <v>0</v>
      </c>
      <c r="D19" s="12">
        <v>1</v>
      </c>
      <c r="E19" s="13">
        <v>0</v>
      </c>
      <c r="F19" s="13">
        <v>1</v>
      </c>
      <c r="H19" s="20">
        <f>VLOOKUP(C19,'CASSEM Pivot'!$B$3:$E$7,2,FALSE)</f>
        <v>0.7142857142857143</v>
      </c>
      <c r="I19" s="20">
        <f>IF(D19="NA", 1, VLOOKUP(D19,'CASSEM Pivot'!$G$3:$J$7,2,FALSE))</f>
        <v>0.8571428571428571</v>
      </c>
      <c r="J19" s="20">
        <f>IF(E19="NA", 1, VLOOKUP(E19,'CASSEM Pivot'!$L$3:$O$7,2,FALSE))</f>
        <v>0.83333333333333337</v>
      </c>
      <c r="K19" s="20">
        <f>VLOOKUP(C19,'CASSEM Pivot'!$B$3:$E$7,3,FALSE)</f>
        <v>0.5</v>
      </c>
      <c r="L19" s="20">
        <f>IF(D19="NA", 1, VLOOKUP(D19,'CASSEM Pivot'!$G$3:$J$7,3,FALSE))</f>
        <v>0.84848484848484851</v>
      </c>
      <c r="M19" s="20">
        <f>IF(E19="NA", 1, VLOOKUP(E19,'CASSEM Pivot'!$L$3:$O$7,3,FALSE))</f>
        <v>0.56097560975609762</v>
      </c>
      <c r="O19" s="21">
        <f>PRODUCT(H19:J19)*GETPIVOTDATA("Secure",'CASSEM Pivot'!$B$11,"Secure",0)</f>
        <v>7.0028011204481794E-2</v>
      </c>
      <c r="P19" s="21">
        <f>PRODUCT(K19:M19)*GETPIVOTDATA("Secure",'CASSEM Pivot'!$B$11,"Secure",1)</f>
        <v>0.20532440618523837</v>
      </c>
      <c r="R19" s="21">
        <f t="shared" si="0"/>
        <v>0.2543213960797287</v>
      </c>
      <c r="S19" s="21">
        <f t="shared" si="1"/>
        <v>0.7456786039202713</v>
      </c>
      <c r="T19" s="12">
        <f t="shared" si="2"/>
        <v>1</v>
      </c>
      <c r="U19" s="12" t="str">
        <f t="shared" si="3"/>
        <v>TRUE</v>
      </c>
    </row>
    <row r="20" spans="2:21">
      <c r="B20" s="10">
        <v>61</v>
      </c>
      <c r="C20" s="11">
        <v>0</v>
      </c>
      <c r="D20" s="12" t="s">
        <v>44</v>
      </c>
      <c r="E20" s="13">
        <v>0</v>
      </c>
      <c r="F20" s="13">
        <v>1</v>
      </c>
      <c r="H20" s="20">
        <f>VLOOKUP(C20,'CASSEM Pivot'!$B$3:$E$7,2,FALSE)</f>
        <v>0.7142857142857143</v>
      </c>
      <c r="I20" s="12">
        <f>IF(D20="NA", 1, VLOOKUP(D20,'CASSEM Pivot'!$G$3:$J$7,2,FALSE))</f>
        <v>1</v>
      </c>
      <c r="J20" s="20">
        <f>IF(E20="NA", 1, VLOOKUP(E20,'CASSEM Pivot'!$L$3:$O$7,2,FALSE))</f>
        <v>0.83333333333333337</v>
      </c>
      <c r="K20" s="20">
        <f>VLOOKUP(C20,'CASSEM Pivot'!$B$3:$E$7,3,FALSE)</f>
        <v>0.5</v>
      </c>
      <c r="L20" s="12">
        <f>IF(D20="NA", 1, VLOOKUP(D20,'CASSEM Pivot'!$G$3:$J$7,3,FALSE))</f>
        <v>1</v>
      </c>
      <c r="M20" s="20">
        <f>IF(E20="NA", 1, VLOOKUP(E20,'CASSEM Pivot'!$L$3:$O$7,3,FALSE))</f>
        <v>0.56097560975609762</v>
      </c>
      <c r="O20" s="21">
        <f>PRODUCT(H20:J20)*GETPIVOTDATA("Secure",'CASSEM Pivot'!$B$11,"Secure",0)</f>
        <v>8.1699346405228759E-2</v>
      </c>
      <c r="P20" s="21">
        <f>PRODUCT(K20:M20)*GETPIVOTDATA("Secure",'CASSEM Pivot'!$B$11,"Secure",1)</f>
        <v>0.24198947871831664</v>
      </c>
      <c r="R20" s="21">
        <f t="shared" si="0"/>
        <v>0.25240088648116221</v>
      </c>
      <c r="S20" s="21">
        <f t="shared" si="1"/>
        <v>0.74759911351883768</v>
      </c>
      <c r="T20" s="12">
        <f t="shared" si="2"/>
        <v>1</v>
      </c>
      <c r="U20" s="12" t="str">
        <f t="shared" si="3"/>
        <v>TRUE</v>
      </c>
    </row>
    <row r="21" spans="2:21" ht="15.75" customHeight="1">
      <c r="B21" s="10">
        <v>62</v>
      </c>
      <c r="C21" s="11">
        <v>0</v>
      </c>
      <c r="D21" s="12" t="s">
        <v>44</v>
      </c>
      <c r="E21" s="13">
        <v>1</v>
      </c>
      <c r="F21" s="13">
        <v>1</v>
      </c>
      <c r="H21" s="20">
        <f>VLOOKUP(C21,'CASSEM Pivot'!$B$3:$E$7,2,FALSE)</f>
        <v>0.7142857142857143</v>
      </c>
      <c r="I21" s="12">
        <f>IF(D21="NA", 1, VLOOKUP(D21,'CASSEM Pivot'!$G$3:$J$7,2,FALSE))</f>
        <v>1</v>
      </c>
      <c r="J21" s="20">
        <f>IF(E21="NA", 1, VLOOKUP(E21,'CASSEM Pivot'!$L$3:$O$7,2,FALSE))</f>
        <v>0.16666666666666666</v>
      </c>
      <c r="K21" s="20">
        <f>VLOOKUP(C21,'CASSEM Pivot'!$B$3:$E$7,3,FALSE)</f>
        <v>0.5</v>
      </c>
      <c r="L21" s="12">
        <f>IF(D21="NA", 1, VLOOKUP(D21,'CASSEM Pivot'!$G$3:$J$7,3,FALSE))</f>
        <v>1</v>
      </c>
      <c r="M21" s="20">
        <f>IF(E21="NA", 1, VLOOKUP(E21,'CASSEM Pivot'!$L$3:$O$7,3,FALSE))</f>
        <v>0.43902439024390244</v>
      </c>
      <c r="O21" s="21">
        <f>PRODUCT(H21:J21)*GETPIVOTDATA("Secure",'CASSEM Pivot'!$B$11,"Secure",0)</f>
        <v>1.6339869281045753E-2</v>
      </c>
      <c r="P21" s="21">
        <f>PRODUCT(K21:M21)*GETPIVOTDATA("Secure",'CASSEM Pivot'!$B$11,"Secure",1)</f>
        <v>0.18938307030129126</v>
      </c>
      <c r="R21" s="21">
        <f t="shared" si="0"/>
        <v>7.9426578845408755E-2</v>
      </c>
      <c r="S21" s="21">
        <f t="shared" si="1"/>
        <v>0.92057342115459129</v>
      </c>
      <c r="T21" s="12">
        <f t="shared" si="2"/>
        <v>1</v>
      </c>
      <c r="U21" s="12" t="str">
        <f t="shared" si="3"/>
        <v>TRUE</v>
      </c>
    </row>
    <row r="22" spans="2:21" ht="15.75" customHeight="1">
      <c r="B22" s="10">
        <v>26</v>
      </c>
      <c r="C22" s="11">
        <v>0</v>
      </c>
      <c r="D22" s="12">
        <v>1</v>
      </c>
      <c r="E22" s="13">
        <v>1</v>
      </c>
      <c r="F22" s="13">
        <v>1</v>
      </c>
      <c r="H22" s="20">
        <f>VLOOKUP(C22,'CASSEM Pivot'!$B$3:$E$7,2,FALSE)</f>
        <v>0.7142857142857143</v>
      </c>
      <c r="I22" s="20">
        <f>IF(D22="NA", 1, VLOOKUP(D22,'CASSEM Pivot'!$G$3:$J$7,2,FALSE))</f>
        <v>0.8571428571428571</v>
      </c>
      <c r="J22" s="20">
        <f>IF(E22="NA", 1, VLOOKUP(E22,'CASSEM Pivot'!$L$3:$O$7,2,FALSE))</f>
        <v>0.16666666666666666</v>
      </c>
      <c r="K22" s="20">
        <f>VLOOKUP(C22,'CASSEM Pivot'!$B$3:$E$7,3,FALSE)</f>
        <v>0.5</v>
      </c>
      <c r="L22" s="20">
        <f>IF(D22="NA", 1, VLOOKUP(D22,'CASSEM Pivot'!$G$3:$J$7,3,FALSE))</f>
        <v>0.84848484848484851</v>
      </c>
      <c r="M22" s="20">
        <f>IF(E22="NA", 1, VLOOKUP(E22,'CASSEM Pivot'!$L$3:$O$7,3,FALSE))</f>
        <v>0.43902439024390244</v>
      </c>
      <c r="O22" s="21">
        <f>PRODUCT(H22:J22)*GETPIVOTDATA("Secure",'CASSEM Pivot'!$B$11,"Secure",0)</f>
        <v>1.4005602240896361E-2</v>
      </c>
      <c r="P22" s="21">
        <f>PRODUCT(K22:M22)*GETPIVOTDATA("Secure",'CASSEM Pivot'!$B$11,"Secure",1)</f>
        <v>0.16068866571018653</v>
      </c>
      <c r="R22" s="21">
        <f t="shared" si="0"/>
        <v>8.0172076652326951E-2</v>
      </c>
      <c r="S22" s="21">
        <f t="shared" si="1"/>
        <v>0.91982792334767305</v>
      </c>
      <c r="T22" s="12">
        <f t="shared" si="2"/>
        <v>1</v>
      </c>
      <c r="U22" s="12" t="str">
        <f t="shared" si="3"/>
        <v>TRUE</v>
      </c>
    </row>
    <row r="23" spans="2:21" ht="15.75" customHeight="1">
      <c r="B23" s="10">
        <v>53</v>
      </c>
      <c r="C23" s="11">
        <v>0</v>
      </c>
      <c r="D23" s="12">
        <v>1</v>
      </c>
      <c r="E23" s="13">
        <v>0</v>
      </c>
      <c r="F23" s="13">
        <v>1</v>
      </c>
      <c r="H23" s="20">
        <f>VLOOKUP(C23,'CASSEM Pivot'!$B$3:$E$7,2,FALSE)</f>
        <v>0.7142857142857143</v>
      </c>
      <c r="I23" s="20">
        <f>IF(D23="NA", 1, VLOOKUP(D23,'CASSEM Pivot'!$G$3:$J$7,2,FALSE))</f>
        <v>0.8571428571428571</v>
      </c>
      <c r="J23" s="20">
        <f>IF(E23="NA", 1, VLOOKUP(E23,'CASSEM Pivot'!$L$3:$O$7,2,FALSE))</f>
        <v>0.83333333333333337</v>
      </c>
      <c r="K23" s="20">
        <f>VLOOKUP(C23,'CASSEM Pivot'!$B$3:$E$7,3,FALSE)</f>
        <v>0.5</v>
      </c>
      <c r="L23" s="20">
        <f>IF(D23="NA", 1, VLOOKUP(D23,'CASSEM Pivot'!$G$3:$J$7,3,FALSE))</f>
        <v>0.84848484848484851</v>
      </c>
      <c r="M23" s="20">
        <f>IF(E23="NA", 1, VLOOKUP(E23,'CASSEM Pivot'!$L$3:$O$7,3,FALSE))</f>
        <v>0.56097560975609762</v>
      </c>
      <c r="O23" s="21">
        <f>PRODUCT(H23:J23)*GETPIVOTDATA("Secure",'CASSEM Pivot'!$B$11,"Secure",0)</f>
        <v>7.0028011204481794E-2</v>
      </c>
      <c r="P23" s="21">
        <f>PRODUCT(K23:M23)*GETPIVOTDATA("Secure",'CASSEM Pivot'!$B$11,"Secure",1)</f>
        <v>0.20532440618523837</v>
      </c>
      <c r="R23" s="21">
        <f t="shared" si="0"/>
        <v>0.2543213960797287</v>
      </c>
      <c r="S23" s="21">
        <f t="shared" si="1"/>
        <v>0.7456786039202713</v>
      </c>
      <c r="T23" s="12">
        <f t="shared" si="2"/>
        <v>1</v>
      </c>
      <c r="U23" s="12" t="str">
        <f t="shared" si="3"/>
        <v>TRUE</v>
      </c>
    </row>
    <row r="24" spans="2:21" ht="15.75" customHeight="1">
      <c r="B24" s="10">
        <v>44</v>
      </c>
      <c r="C24" s="11">
        <v>1</v>
      </c>
      <c r="D24" s="12">
        <v>1</v>
      </c>
      <c r="E24" s="13">
        <v>0</v>
      </c>
      <c r="F24" s="13">
        <v>1</v>
      </c>
      <c r="H24" s="20">
        <f>VLOOKUP(C24,'CASSEM Pivot'!$B$3:$E$7,2,FALSE)</f>
        <v>0.2857142857142857</v>
      </c>
      <c r="I24" s="20">
        <f>IF(D24="NA", 1, VLOOKUP(D24,'CASSEM Pivot'!$G$3:$J$7,2,FALSE))</f>
        <v>0.8571428571428571</v>
      </c>
      <c r="J24" s="20">
        <f>IF(E24="NA", 1, VLOOKUP(E24,'CASSEM Pivot'!$L$3:$O$7,2,FALSE))</f>
        <v>0.83333333333333337</v>
      </c>
      <c r="K24" s="20">
        <f>VLOOKUP(C24,'CASSEM Pivot'!$B$3:$E$7,3,FALSE)</f>
        <v>0.5</v>
      </c>
      <c r="L24" s="20">
        <f>IF(D24="NA", 1, VLOOKUP(D24,'CASSEM Pivot'!$G$3:$J$7,3,FALSE))</f>
        <v>0.84848484848484851</v>
      </c>
      <c r="M24" s="20">
        <f>IF(E24="NA", 1, VLOOKUP(E24,'CASSEM Pivot'!$L$3:$O$7,3,FALSE))</f>
        <v>0.56097560975609762</v>
      </c>
      <c r="O24" s="21">
        <f>PRODUCT(H24:J24)*GETPIVOTDATA("Secure",'CASSEM Pivot'!$B$11,"Secure",0)</f>
        <v>2.8011204481792715E-2</v>
      </c>
      <c r="P24" s="21">
        <f>PRODUCT(K24:M24)*GETPIVOTDATA("Secure",'CASSEM Pivot'!$B$11,"Secure",1)</f>
        <v>0.20532440618523837</v>
      </c>
      <c r="R24" s="21">
        <f t="shared" si="0"/>
        <v>0.1200468475502635</v>
      </c>
      <c r="S24" s="21">
        <f t="shared" si="1"/>
        <v>0.8799531524497366</v>
      </c>
      <c r="T24" s="12">
        <f t="shared" si="2"/>
        <v>1</v>
      </c>
      <c r="U24" s="12" t="str">
        <f t="shared" si="3"/>
        <v>TRUE</v>
      </c>
    </row>
    <row r="25" spans="2:21" ht="15.75" customHeight="1">
      <c r="B25" s="10">
        <v>50</v>
      </c>
      <c r="C25" s="11">
        <v>0</v>
      </c>
      <c r="D25" s="12">
        <v>1</v>
      </c>
      <c r="E25" s="13">
        <v>1</v>
      </c>
      <c r="F25" s="13">
        <v>1</v>
      </c>
      <c r="H25" s="20">
        <f>VLOOKUP(C25,'CASSEM Pivot'!$B$3:$E$7,2,FALSE)</f>
        <v>0.7142857142857143</v>
      </c>
      <c r="I25" s="20">
        <f>IF(D25="NA", 1, VLOOKUP(D25,'CASSEM Pivot'!$G$3:$J$7,2,FALSE))</f>
        <v>0.8571428571428571</v>
      </c>
      <c r="J25" s="20">
        <f>IF(E25="NA", 1, VLOOKUP(E25,'CASSEM Pivot'!$L$3:$O$7,2,FALSE))</f>
        <v>0.16666666666666666</v>
      </c>
      <c r="K25" s="20">
        <f>VLOOKUP(C25,'CASSEM Pivot'!$B$3:$E$7,3,FALSE)</f>
        <v>0.5</v>
      </c>
      <c r="L25" s="20">
        <f>IF(D25="NA", 1, VLOOKUP(D25,'CASSEM Pivot'!$G$3:$J$7,3,FALSE))</f>
        <v>0.84848484848484851</v>
      </c>
      <c r="M25" s="20">
        <f>IF(E25="NA", 1, VLOOKUP(E25,'CASSEM Pivot'!$L$3:$O$7,3,FALSE))</f>
        <v>0.43902439024390244</v>
      </c>
      <c r="O25" s="21">
        <f>PRODUCT(H25:J25)*GETPIVOTDATA("Secure",'CASSEM Pivot'!$B$11,"Secure",0)</f>
        <v>1.4005602240896361E-2</v>
      </c>
      <c r="P25" s="21">
        <f>PRODUCT(K25:M25)*GETPIVOTDATA("Secure",'CASSEM Pivot'!$B$11,"Secure",1)</f>
        <v>0.16068866571018653</v>
      </c>
      <c r="R25" s="21">
        <f t="shared" si="0"/>
        <v>8.0172076652326951E-2</v>
      </c>
      <c r="S25" s="21">
        <f t="shared" si="1"/>
        <v>0.91982792334767305</v>
      </c>
      <c r="T25" s="12">
        <f t="shared" si="2"/>
        <v>1</v>
      </c>
      <c r="U25" s="12" t="str">
        <f t="shared" si="3"/>
        <v>TRUE</v>
      </c>
    </row>
    <row r="26" spans="2:21" ht="15.75" customHeight="1">
      <c r="B26" s="10">
        <v>63</v>
      </c>
      <c r="C26" s="11">
        <v>1</v>
      </c>
      <c r="D26" s="12">
        <v>1</v>
      </c>
      <c r="E26" s="13">
        <v>1</v>
      </c>
      <c r="F26" s="13">
        <v>1</v>
      </c>
      <c r="H26" s="20">
        <f>VLOOKUP(C26,'CASSEM Pivot'!$B$3:$E$7,2,FALSE)</f>
        <v>0.2857142857142857</v>
      </c>
      <c r="I26" s="20">
        <f>IF(D26="NA", 1, VLOOKUP(D26,'CASSEM Pivot'!$G$3:$J$7,2,FALSE))</f>
        <v>0.8571428571428571</v>
      </c>
      <c r="J26" s="20">
        <f>IF(E26="NA", 1, VLOOKUP(E26,'CASSEM Pivot'!$L$3:$O$7,2,FALSE))</f>
        <v>0.16666666666666666</v>
      </c>
      <c r="K26" s="20">
        <f>VLOOKUP(C26,'CASSEM Pivot'!$B$3:$E$7,3,FALSE)</f>
        <v>0.5</v>
      </c>
      <c r="L26" s="20">
        <f>IF(D26="NA", 1, VLOOKUP(D26,'CASSEM Pivot'!$G$3:$J$7,3,FALSE))</f>
        <v>0.84848484848484851</v>
      </c>
      <c r="M26" s="20">
        <f>IF(E26="NA", 1, VLOOKUP(E26,'CASSEM Pivot'!$L$3:$O$7,3,FALSE))</f>
        <v>0.43902439024390244</v>
      </c>
      <c r="O26" s="21">
        <f>PRODUCT(H26:J26)*GETPIVOTDATA("Secure",'CASSEM Pivot'!$B$11,"Secure",0)</f>
        <v>5.6022408963585426E-3</v>
      </c>
      <c r="P26" s="21">
        <f>PRODUCT(K26:M26)*GETPIVOTDATA("Secure",'CASSEM Pivot'!$B$11,"Secure",1)</f>
        <v>0.16068866571018653</v>
      </c>
      <c r="R26" s="21">
        <f t="shared" si="0"/>
        <v>3.368940016433853E-2</v>
      </c>
      <c r="S26" s="21">
        <f t="shared" si="1"/>
        <v>0.96631059983566137</v>
      </c>
      <c r="T26" s="12">
        <f t="shared" si="2"/>
        <v>1</v>
      </c>
      <c r="U26" s="12" t="str">
        <f t="shared" si="3"/>
        <v>TRUE</v>
      </c>
    </row>
    <row r="27" spans="2:21" ht="15.75" customHeight="1">
      <c r="B27" s="10">
        <v>64</v>
      </c>
      <c r="C27" s="11">
        <v>0</v>
      </c>
      <c r="D27" s="12">
        <v>1</v>
      </c>
      <c r="E27" s="13" t="s">
        <v>44</v>
      </c>
      <c r="F27" s="13">
        <v>1</v>
      </c>
      <c r="H27" s="20">
        <f>VLOOKUP(C27,'CASSEM Pivot'!$B$3:$E$7,2,FALSE)</f>
        <v>0.7142857142857143</v>
      </c>
      <c r="I27" s="20">
        <f>IF(D27="NA", 1, VLOOKUP(D27,'CASSEM Pivot'!$G$3:$J$7,2,FALSE))</f>
        <v>0.8571428571428571</v>
      </c>
      <c r="J27" s="12">
        <f>IF(E27="NA", 1, VLOOKUP(E27,'CASSEM Pivot'!$L$3:$O$7,2,FALSE))</f>
        <v>1</v>
      </c>
      <c r="K27" s="20">
        <f>VLOOKUP(C27,'CASSEM Pivot'!$B$3:$E$7,3,FALSE)</f>
        <v>0.5</v>
      </c>
      <c r="L27" s="20">
        <f>IF(D27="NA", 1, VLOOKUP(D27,'CASSEM Pivot'!$G$3:$J$7,3,FALSE))</f>
        <v>0.84848484848484851</v>
      </c>
      <c r="M27" s="12">
        <f>IF(E27="NA", 1, VLOOKUP(E27,'CASSEM Pivot'!$L$3:$O$7,3,FALSE))</f>
        <v>1</v>
      </c>
      <c r="O27" s="21">
        <f>PRODUCT(H27:J27)*GETPIVOTDATA("Secure",'CASSEM Pivot'!$B$11,"Secure",0)</f>
        <v>8.4033613445378158E-2</v>
      </c>
      <c r="P27" s="21">
        <f>PRODUCT(K27:M27)*GETPIVOTDATA("Secure",'CASSEM Pivot'!$B$11,"Secure",1)</f>
        <v>0.36601307189542487</v>
      </c>
      <c r="R27" s="21">
        <f t="shared" si="0"/>
        <v>0.18672199170124479</v>
      </c>
      <c r="S27" s="21">
        <f t="shared" si="1"/>
        <v>0.81327800829875518</v>
      </c>
      <c r="T27" s="12">
        <f t="shared" si="2"/>
        <v>1</v>
      </c>
      <c r="U27" s="12" t="str">
        <f t="shared" si="3"/>
        <v>TRUE</v>
      </c>
    </row>
    <row r="28" spans="2:21" ht="15.75" customHeight="1">
      <c r="B28" s="10">
        <v>2</v>
      </c>
      <c r="C28" s="11">
        <v>0</v>
      </c>
      <c r="D28" s="12">
        <v>0</v>
      </c>
      <c r="E28" s="13">
        <v>0</v>
      </c>
      <c r="F28" s="13">
        <v>1</v>
      </c>
      <c r="H28" s="20">
        <f>VLOOKUP(C28,'CASSEM Pivot'!$B$3:$E$7,2,FALSE)</f>
        <v>0.7142857142857143</v>
      </c>
      <c r="I28" s="20">
        <f>IF(D28="NA", 1, VLOOKUP(D28,'CASSEM Pivot'!$G$3:$J$7,2,FALSE))</f>
        <v>0.14285714285714285</v>
      </c>
      <c r="J28" s="20">
        <f>IF(E28="NA", 1, VLOOKUP(E28,'CASSEM Pivot'!$L$3:$O$7,2,FALSE))</f>
        <v>0.83333333333333337</v>
      </c>
      <c r="K28" s="20">
        <f>VLOOKUP(C28,'CASSEM Pivot'!$B$3:$E$7,3,FALSE)</f>
        <v>0.5</v>
      </c>
      <c r="L28" s="20">
        <f>IF(D28="NA", 1, VLOOKUP(D28,'CASSEM Pivot'!$G$3:$J$7,3,FALSE))</f>
        <v>0.15151515151515152</v>
      </c>
      <c r="M28" s="20">
        <f>IF(E28="NA", 1, VLOOKUP(E28,'CASSEM Pivot'!$L$3:$O$7,3,FALSE))</f>
        <v>0.56097560975609762</v>
      </c>
      <c r="O28" s="21">
        <f>PRODUCT(H28:J28)*GETPIVOTDATA("Secure",'CASSEM Pivot'!$B$11,"Secure",0)</f>
        <v>1.1671335200746967E-2</v>
      </c>
      <c r="P28" s="21">
        <f>PRODUCT(K28:M28)*GETPIVOTDATA("Secure",'CASSEM Pivot'!$B$11,"Secure",1)</f>
        <v>3.6665072533078276E-2</v>
      </c>
      <c r="R28" s="21">
        <f t="shared" si="0"/>
        <v>0.24146054181389873</v>
      </c>
      <c r="S28" s="21">
        <f t="shared" si="1"/>
        <v>0.75853945818610136</v>
      </c>
      <c r="T28" s="12">
        <f t="shared" si="2"/>
        <v>1</v>
      </c>
      <c r="U28" s="12" t="str">
        <f t="shared" si="3"/>
        <v>TRUE</v>
      </c>
    </row>
    <row r="29" spans="2:21" ht="15.75" customHeight="1">
      <c r="B29" s="10">
        <v>65</v>
      </c>
      <c r="C29" s="11">
        <v>1</v>
      </c>
      <c r="D29" s="12">
        <v>1</v>
      </c>
      <c r="E29" s="13">
        <v>0</v>
      </c>
      <c r="F29" s="13">
        <v>1</v>
      </c>
      <c r="H29" s="20">
        <f>VLOOKUP(C29,'CASSEM Pivot'!$B$3:$E$7,2,FALSE)</f>
        <v>0.2857142857142857</v>
      </c>
      <c r="I29" s="20">
        <f>IF(D29="NA", 1, VLOOKUP(D29,'CASSEM Pivot'!$G$3:$J$7,2,FALSE))</f>
        <v>0.8571428571428571</v>
      </c>
      <c r="J29" s="20">
        <f>IF(E29="NA", 1, VLOOKUP(E29,'CASSEM Pivot'!$L$3:$O$7,2,FALSE))</f>
        <v>0.83333333333333337</v>
      </c>
      <c r="K29" s="20">
        <f>VLOOKUP(C29,'CASSEM Pivot'!$B$3:$E$7,3,FALSE)</f>
        <v>0.5</v>
      </c>
      <c r="L29" s="20">
        <f>IF(D29="NA", 1, VLOOKUP(D29,'CASSEM Pivot'!$G$3:$J$7,3,FALSE))</f>
        <v>0.84848484848484851</v>
      </c>
      <c r="M29" s="20">
        <f>IF(E29="NA", 1, VLOOKUP(E29,'CASSEM Pivot'!$L$3:$O$7,3,FALSE))</f>
        <v>0.56097560975609762</v>
      </c>
      <c r="O29" s="21">
        <f>PRODUCT(H29:J29)*GETPIVOTDATA("Secure",'CASSEM Pivot'!$B$11,"Secure",0)</f>
        <v>2.8011204481792715E-2</v>
      </c>
      <c r="P29" s="21">
        <f>PRODUCT(K29:M29)*GETPIVOTDATA("Secure",'CASSEM Pivot'!$B$11,"Secure",1)</f>
        <v>0.20532440618523837</v>
      </c>
      <c r="R29" s="21">
        <f t="shared" si="0"/>
        <v>0.1200468475502635</v>
      </c>
      <c r="S29" s="21">
        <f t="shared" si="1"/>
        <v>0.8799531524497366</v>
      </c>
      <c r="T29" s="12">
        <f t="shared" si="2"/>
        <v>1</v>
      </c>
      <c r="U29" s="12" t="str">
        <f t="shared" si="3"/>
        <v>TRUE</v>
      </c>
    </row>
    <row r="30" spans="2:21" ht="15.75" customHeight="1">
      <c r="B30" s="10">
        <v>38</v>
      </c>
      <c r="C30" s="11">
        <v>0</v>
      </c>
      <c r="D30" s="12">
        <v>1</v>
      </c>
      <c r="E30" s="13">
        <v>0</v>
      </c>
      <c r="F30" s="13">
        <v>1</v>
      </c>
      <c r="H30" s="20">
        <f>VLOOKUP(C30,'CASSEM Pivot'!$B$3:$E$7,2,FALSE)</f>
        <v>0.7142857142857143</v>
      </c>
      <c r="I30" s="20">
        <f>IF(D30="NA", 1, VLOOKUP(D30,'CASSEM Pivot'!$G$3:$J$7,2,FALSE))</f>
        <v>0.8571428571428571</v>
      </c>
      <c r="J30" s="20">
        <f>IF(E30="NA", 1, VLOOKUP(E30,'CASSEM Pivot'!$L$3:$O$7,2,FALSE))</f>
        <v>0.83333333333333337</v>
      </c>
      <c r="K30" s="20">
        <f>VLOOKUP(C30,'CASSEM Pivot'!$B$3:$E$7,3,FALSE)</f>
        <v>0.5</v>
      </c>
      <c r="L30" s="20">
        <f>IF(D30="NA", 1, VLOOKUP(D30,'CASSEM Pivot'!$G$3:$J$7,3,FALSE))</f>
        <v>0.84848484848484851</v>
      </c>
      <c r="M30" s="20">
        <f>IF(E30="NA", 1, VLOOKUP(E30,'CASSEM Pivot'!$L$3:$O$7,3,FALSE))</f>
        <v>0.56097560975609762</v>
      </c>
      <c r="O30" s="21">
        <f>PRODUCT(H30:J30)*GETPIVOTDATA("Secure",'CASSEM Pivot'!$B$11,"Secure",0)</f>
        <v>7.0028011204481794E-2</v>
      </c>
      <c r="P30" s="21">
        <f>PRODUCT(K30:M30)*GETPIVOTDATA("Secure",'CASSEM Pivot'!$B$11,"Secure",1)</f>
        <v>0.20532440618523837</v>
      </c>
      <c r="R30" s="21">
        <f t="shared" si="0"/>
        <v>0.2543213960797287</v>
      </c>
      <c r="S30" s="21">
        <f t="shared" si="1"/>
        <v>0.7456786039202713</v>
      </c>
      <c r="T30" s="12">
        <f t="shared" si="2"/>
        <v>1</v>
      </c>
      <c r="U30" s="12" t="str">
        <f t="shared" si="3"/>
        <v>TRUE</v>
      </c>
    </row>
    <row r="31" spans="2:21" ht="15.75" customHeight="1">
      <c r="B31" s="10">
        <v>66</v>
      </c>
      <c r="C31" s="11">
        <v>1</v>
      </c>
      <c r="D31" s="12">
        <v>1</v>
      </c>
      <c r="E31" s="13">
        <v>0</v>
      </c>
      <c r="F31" s="13">
        <v>1</v>
      </c>
      <c r="H31" s="20">
        <f>VLOOKUP(C31,'CASSEM Pivot'!$B$3:$E$7,2,FALSE)</f>
        <v>0.2857142857142857</v>
      </c>
      <c r="I31" s="20">
        <f>IF(D31="NA", 1, VLOOKUP(D31,'CASSEM Pivot'!$G$3:$J$7,2,FALSE))</f>
        <v>0.8571428571428571</v>
      </c>
      <c r="J31" s="20">
        <f>IF(E31="NA", 1, VLOOKUP(E31,'CASSEM Pivot'!$L$3:$O$7,2,FALSE))</f>
        <v>0.83333333333333337</v>
      </c>
      <c r="K31" s="20">
        <f>VLOOKUP(C31,'CASSEM Pivot'!$B$3:$E$7,3,FALSE)</f>
        <v>0.5</v>
      </c>
      <c r="L31" s="20">
        <f>IF(D31="NA", 1, VLOOKUP(D31,'CASSEM Pivot'!$G$3:$J$7,3,FALSE))</f>
        <v>0.84848484848484851</v>
      </c>
      <c r="M31" s="20">
        <f>IF(E31="NA", 1, VLOOKUP(E31,'CASSEM Pivot'!$L$3:$O$7,3,FALSE))</f>
        <v>0.56097560975609762</v>
      </c>
      <c r="O31" s="21">
        <f>PRODUCT(H31:J31)*GETPIVOTDATA("Secure",'CASSEM Pivot'!$B$11,"Secure",0)</f>
        <v>2.8011204481792715E-2</v>
      </c>
      <c r="P31" s="21">
        <f>PRODUCT(K31:M31)*GETPIVOTDATA("Secure",'CASSEM Pivot'!$B$11,"Secure",1)</f>
        <v>0.20532440618523837</v>
      </c>
      <c r="R31" s="21">
        <f t="shared" si="0"/>
        <v>0.1200468475502635</v>
      </c>
      <c r="S31" s="21">
        <f t="shared" si="1"/>
        <v>0.8799531524497366</v>
      </c>
      <c r="T31" s="12">
        <f t="shared" si="2"/>
        <v>1</v>
      </c>
      <c r="U31" s="12" t="str">
        <f t="shared" si="3"/>
        <v>TRUE</v>
      </c>
    </row>
    <row r="32" spans="2:21" ht="15.75" customHeight="1">
      <c r="B32" s="10">
        <v>8</v>
      </c>
      <c r="C32" s="11">
        <v>0</v>
      </c>
      <c r="D32" s="12">
        <v>1</v>
      </c>
      <c r="E32" s="13">
        <v>1</v>
      </c>
      <c r="F32" s="13">
        <v>1</v>
      </c>
      <c r="H32" s="20">
        <f>VLOOKUP(C32,'CASSEM Pivot'!$B$3:$E$7,2,FALSE)</f>
        <v>0.7142857142857143</v>
      </c>
      <c r="I32" s="20">
        <f>IF(D32="NA", 1, VLOOKUP(D32,'CASSEM Pivot'!$G$3:$J$7,2,FALSE))</f>
        <v>0.8571428571428571</v>
      </c>
      <c r="J32" s="20">
        <f>IF(E32="NA", 1, VLOOKUP(E32,'CASSEM Pivot'!$L$3:$O$7,2,FALSE))</f>
        <v>0.16666666666666666</v>
      </c>
      <c r="K32" s="20">
        <f>VLOOKUP(C32,'CASSEM Pivot'!$B$3:$E$7,3,FALSE)</f>
        <v>0.5</v>
      </c>
      <c r="L32" s="20">
        <f>IF(D32="NA", 1, VLOOKUP(D32,'CASSEM Pivot'!$G$3:$J$7,3,FALSE))</f>
        <v>0.84848484848484851</v>
      </c>
      <c r="M32" s="20">
        <f>IF(E32="NA", 1, VLOOKUP(E32,'CASSEM Pivot'!$L$3:$O$7,3,FALSE))</f>
        <v>0.43902439024390244</v>
      </c>
      <c r="O32" s="21">
        <f>PRODUCT(H32:J32)*GETPIVOTDATA("Secure",'CASSEM Pivot'!$B$11,"Secure",0)</f>
        <v>1.4005602240896361E-2</v>
      </c>
      <c r="P32" s="21">
        <f>PRODUCT(K32:M32)*GETPIVOTDATA("Secure",'CASSEM Pivot'!$B$11,"Secure",1)</f>
        <v>0.16068866571018653</v>
      </c>
      <c r="R32" s="21">
        <f t="shared" si="0"/>
        <v>8.0172076652326951E-2</v>
      </c>
      <c r="S32" s="21">
        <f t="shared" si="1"/>
        <v>0.91982792334767305</v>
      </c>
      <c r="T32" s="12">
        <f t="shared" si="2"/>
        <v>1</v>
      </c>
      <c r="U32" s="12" t="str">
        <f t="shared" si="3"/>
        <v>TRUE</v>
      </c>
    </row>
    <row r="33" spans="2:21" ht="15.75" customHeight="1">
      <c r="B33" s="10">
        <v>35</v>
      </c>
      <c r="C33" s="11">
        <v>1</v>
      </c>
      <c r="D33" s="12" t="s">
        <v>44</v>
      </c>
      <c r="E33" s="13">
        <v>0</v>
      </c>
      <c r="F33" s="13">
        <v>1</v>
      </c>
      <c r="H33" s="20">
        <f>VLOOKUP(C33,'CASSEM Pivot'!$B$3:$E$7,2,FALSE)</f>
        <v>0.2857142857142857</v>
      </c>
      <c r="I33" s="12">
        <f>IF(D33="NA", 1, VLOOKUP(D33,'CASSEM Pivot'!$G$3:$J$7,2,FALSE))</f>
        <v>1</v>
      </c>
      <c r="J33" s="20">
        <f>IF(E33="NA", 1, VLOOKUP(E33,'CASSEM Pivot'!$L$3:$O$7,2,FALSE))</f>
        <v>0.83333333333333337</v>
      </c>
      <c r="K33" s="20">
        <f>VLOOKUP(C33,'CASSEM Pivot'!$B$3:$E$7,3,FALSE)</f>
        <v>0.5</v>
      </c>
      <c r="L33" s="12">
        <f>IF(D33="NA", 1, VLOOKUP(D33,'CASSEM Pivot'!$G$3:$J$7,3,FALSE))</f>
        <v>1</v>
      </c>
      <c r="M33" s="20">
        <f>IF(E33="NA", 1, VLOOKUP(E33,'CASSEM Pivot'!$L$3:$O$7,3,FALSE))</f>
        <v>0.56097560975609762</v>
      </c>
      <c r="O33" s="21">
        <f>PRODUCT(H33:J33)*GETPIVOTDATA("Secure",'CASSEM Pivot'!$B$11,"Secure",0)</f>
        <v>3.2679738562091505E-2</v>
      </c>
      <c r="P33" s="21">
        <f>PRODUCT(K33:M33)*GETPIVOTDATA("Secure",'CASSEM Pivot'!$B$11,"Secure",1)</f>
        <v>0.24198947871831664</v>
      </c>
      <c r="R33" s="21">
        <f t="shared" si="0"/>
        <v>0.11897852582704584</v>
      </c>
      <c r="S33" s="21">
        <f t="shared" si="1"/>
        <v>0.88102147417295407</v>
      </c>
      <c r="T33" s="12">
        <f t="shared" si="2"/>
        <v>1</v>
      </c>
      <c r="U33" s="12" t="str">
        <f t="shared" si="3"/>
        <v>TRUE</v>
      </c>
    </row>
    <row r="34" spans="2:21" ht="15.75" customHeight="1">
      <c r="B34" s="10">
        <v>30</v>
      </c>
      <c r="C34" s="11">
        <v>0</v>
      </c>
      <c r="D34" s="12" t="s">
        <v>44</v>
      </c>
      <c r="E34" s="13" t="s">
        <v>44</v>
      </c>
      <c r="F34" s="13">
        <v>1</v>
      </c>
      <c r="H34" s="20">
        <f>VLOOKUP(C34,'CASSEM Pivot'!$B$3:$E$7,2,FALSE)</f>
        <v>0.7142857142857143</v>
      </c>
      <c r="I34" s="12">
        <f>IF(D34="NA", 1, VLOOKUP(D34,'CASSEM Pivot'!$G$3:$J$7,2,FALSE))</f>
        <v>1</v>
      </c>
      <c r="J34" s="12">
        <f>IF(E34="NA", 1, VLOOKUP(E34,'CASSEM Pivot'!$L$3:$O$7,2,FALSE))</f>
        <v>1</v>
      </c>
      <c r="K34" s="20">
        <f>VLOOKUP(C34,'CASSEM Pivot'!$B$3:$E$7,3,FALSE)</f>
        <v>0.5</v>
      </c>
      <c r="L34" s="12">
        <f>IF(D34="NA", 1, VLOOKUP(D34,'CASSEM Pivot'!$G$3:$J$7,3,FALSE))</f>
        <v>1</v>
      </c>
      <c r="M34" s="12">
        <f>IF(E34="NA", 1, VLOOKUP(E34,'CASSEM Pivot'!$L$3:$O$7,3,FALSE))</f>
        <v>1</v>
      </c>
      <c r="O34" s="21">
        <f>PRODUCT(H34:J34)*GETPIVOTDATA("Secure",'CASSEM Pivot'!$B$11,"Secure",0)</f>
        <v>9.8039215686274522E-2</v>
      </c>
      <c r="P34" s="21">
        <f>PRODUCT(K34:M34)*GETPIVOTDATA("Secure",'CASSEM Pivot'!$B$11,"Secure",1)</f>
        <v>0.43137254901960786</v>
      </c>
      <c r="R34" s="21">
        <f t="shared" si="0"/>
        <v>0.1851851851851852</v>
      </c>
      <c r="S34" s="21">
        <f t="shared" si="1"/>
        <v>0.81481481481481488</v>
      </c>
      <c r="T34" s="12">
        <f t="shared" si="2"/>
        <v>1</v>
      </c>
      <c r="U34" s="12" t="str">
        <f t="shared" si="3"/>
        <v>TRUE</v>
      </c>
    </row>
    <row r="35" spans="2:21" ht="15.75" customHeight="1">
      <c r="B35" s="10">
        <v>34</v>
      </c>
      <c r="C35" s="11">
        <v>1</v>
      </c>
      <c r="D35" s="12">
        <v>0</v>
      </c>
      <c r="E35" s="13">
        <v>0</v>
      </c>
      <c r="F35" s="13">
        <v>1</v>
      </c>
      <c r="H35" s="20">
        <f>VLOOKUP(C35,'CASSEM Pivot'!$B$3:$E$7,2,FALSE)</f>
        <v>0.2857142857142857</v>
      </c>
      <c r="I35" s="20">
        <f>IF(D35="NA", 1, VLOOKUP(D35,'CASSEM Pivot'!$G$3:$J$7,2,FALSE))</f>
        <v>0.14285714285714285</v>
      </c>
      <c r="J35" s="20">
        <f>IF(E35="NA", 1, VLOOKUP(E35,'CASSEM Pivot'!$L$3:$O$7,2,FALSE))</f>
        <v>0.83333333333333337</v>
      </c>
      <c r="K35" s="20">
        <f>VLOOKUP(C35,'CASSEM Pivot'!$B$3:$E$7,3,FALSE)</f>
        <v>0.5</v>
      </c>
      <c r="L35" s="20">
        <f>IF(D35="NA", 1, VLOOKUP(D35,'CASSEM Pivot'!$G$3:$J$7,3,FALSE))</f>
        <v>0.15151515151515152</v>
      </c>
      <c r="M35" s="20">
        <f>IF(E35="NA", 1, VLOOKUP(E35,'CASSEM Pivot'!$L$3:$O$7,3,FALSE))</f>
        <v>0.56097560975609762</v>
      </c>
      <c r="O35" s="21">
        <f>PRODUCT(H35:J35)*GETPIVOTDATA("Secure",'CASSEM Pivot'!$B$11,"Secure",0)</f>
        <v>4.6685340802987861E-3</v>
      </c>
      <c r="P35" s="21">
        <f>PRODUCT(K35:M35)*GETPIVOTDATA("Secure",'CASSEM Pivot'!$B$11,"Secure",1)</f>
        <v>3.6665072533078276E-2</v>
      </c>
      <c r="R35" s="21">
        <f t="shared" si="0"/>
        <v>0.11294765840220385</v>
      </c>
      <c r="S35" s="21">
        <f t="shared" si="1"/>
        <v>0.88705234159779622</v>
      </c>
      <c r="T35" s="12">
        <f t="shared" si="2"/>
        <v>1</v>
      </c>
      <c r="U35" s="12" t="str">
        <f t="shared" si="3"/>
        <v>TRUE</v>
      </c>
    </row>
    <row r="36" spans="2:21" ht="15.75" customHeight="1">
      <c r="B36" s="10">
        <v>23</v>
      </c>
      <c r="C36" s="11">
        <v>1</v>
      </c>
      <c r="D36" s="12">
        <v>1</v>
      </c>
      <c r="E36" s="13">
        <v>1</v>
      </c>
      <c r="F36" s="13">
        <v>1</v>
      </c>
      <c r="H36" s="20">
        <f>VLOOKUP(C36,'CASSEM Pivot'!$B$3:$E$7,2,FALSE)</f>
        <v>0.2857142857142857</v>
      </c>
      <c r="I36" s="20">
        <f>IF(D36="NA", 1, VLOOKUP(D36,'CASSEM Pivot'!$G$3:$J$7,2,FALSE))</f>
        <v>0.8571428571428571</v>
      </c>
      <c r="J36" s="20">
        <f>IF(E36="NA", 1, VLOOKUP(E36,'CASSEM Pivot'!$L$3:$O$7,2,FALSE))</f>
        <v>0.16666666666666666</v>
      </c>
      <c r="K36" s="20">
        <f>VLOOKUP(C36,'CASSEM Pivot'!$B$3:$E$7,3,FALSE)</f>
        <v>0.5</v>
      </c>
      <c r="L36" s="20">
        <f>IF(D36="NA", 1, VLOOKUP(D36,'CASSEM Pivot'!$G$3:$J$7,3,FALSE))</f>
        <v>0.84848484848484851</v>
      </c>
      <c r="M36" s="20">
        <f>IF(E36="NA", 1, VLOOKUP(E36,'CASSEM Pivot'!$L$3:$O$7,3,FALSE))</f>
        <v>0.43902439024390244</v>
      </c>
      <c r="O36" s="21">
        <f>PRODUCT(H36:J36)*GETPIVOTDATA("Secure",'CASSEM Pivot'!$B$11,"Secure",0)</f>
        <v>5.6022408963585426E-3</v>
      </c>
      <c r="P36" s="21">
        <f>PRODUCT(K36:M36)*GETPIVOTDATA("Secure",'CASSEM Pivot'!$B$11,"Secure",1)</f>
        <v>0.16068866571018653</v>
      </c>
      <c r="R36" s="21">
        <f t="shared" si="0"/>
        <v>3.368940016433853E-2</v>
      </c>
      <c r="S36" s="21">
        <f t="shared" si="1"/>
        <v>0.96631059983566137</v>
      </c>
      <c r="T36" s="12">
        <f t="shared" si="2"/>
        <v>1</v>
      </c>
      <c r="U36" s="12" t="str">
        <f t="shared" si="3"/>
        <v>TRUE</v>
      </c>
    </row>
    <row r="37" spans="2:21" ht="15.75" customHeight="1">
      <c r="B37" s="10">
        <v>6</v>
      </c>
      <c r="C37" s="11">
        <v>1</v>
      </c>
      <c r="D37" s="12">
        <v>1</v>
      </c>
      <c r="E37" s="13">
        <v>0</v>
      </c>
      <c r="F37" s="13">
        <v>1</v>
      </c>
      <c r="H37" s="20">
        <f>VLOOKUP(C37,'CASSEM Pivot'!$B$3:$E$7,2,FALSE)</f>
        <v>0.2857142857142857</v>
      </c>
      <c r="I37" s="20">
        <f>IF(D37="NA", 1, VLOOKUP(D37,'CASSEM Pivot'!$G$3:$J$7,2,FALSE))</f>
        <v>0.8571428571428571</v>
      </c>
      <c r="J37" s="20">
        <f>IF(E37="NA", 1, VLOOKUP(E37,'CASSEM Pivot'!$L$3:$O$7,2,FALSE))</f>
        <v>0.83333333333333337</v>
      </c>
      <c r="K37" s="20">
        <f>VLOOKUP(C37,'CASSEM Pivot'!$B$3:$E$7,3,FALSE)</f>
        <v>0.5</v>
      </c>
      <c r="L37" s="20">
        <f>IF(D37="NA", 1, VLOOKUP(D37,'CASSEM Pivot'!$G$3:$J$7,3,FALSE))</f>
        <v>0.84848484848484851</v>
      </c>
      <c r="M37" s="20">
        <f>IF(E37="NA", 1, VLOOKUP(E37,'CASSEM Pivot'!$L$3:$O$7,3,FALSE))</f>
        <v>0.56097560975609762</v>
      </c>
      <c r="O37" s="21">
        <f>PRODUCT(H37:J37)*GETPIVOTDATA("Secure",'CASSEM Pivot'!$B$11,"Secure",0)</f>
        <v>2.8011204481792715E-2</v>
      </c>
      <c r="P37" s="21">
        <f>PRODUCT(K37:M37)*GETPIVOTDATA("Secure",'CASSEM Pivot'!$B$11,"Secure",1)</f>
        <v>0.20532440618523837</v>
      </c>
      <c r="R37" s="21">
        <f t="shared" si="0"/>
        <v>0.1200468475502635</v>
      </c>
      <c r="S37" s="21">
        <f t="shared" si="1"/>
        <v>0.8799531524497366</v>
      </c>
      <c r="T37" s="12">
        <f t="shared" si="2"/>
        <v>1</v>
      </c>
      <c r="U37" s="12" t="str">
        <f t="shared" si="3"/>
        <v>TRUE</v>
      </c>
    </row>
    <row r="38" spans="2:21" ht="15.75" customHeight="1">
      <c r="B38" s="10">
        <v>9</v>
      </c>
      <c r="C38" s="11">
        <v>0</v>
      </c>
      <c r="D38" s="12">
        <v>1</v>
      </c>
      <c r="E38" s="13">
        <v>1</v>
      </c>
      <c r="F38" s="13">
        <v>1</v>
      </c>
      <c r="H38" s="20">
        <f>VLOOKUP(C38,'CASSEM Pivot'!$B$3:$E$7,2,FALSE)</f>
        <v>0.7142857142857143</v>
      </c>
      <c r="I38" s="20">
        <f>IF(D38="NA", 1, VLOOKUP(D38,'CASSEM Pivot'!$G$3:$J$7,2,FALSE))</f>
        <v>0.8571428571428571</v>
      </c>
      <c r="J38" s="20">
        <f>IF(E38="NA", 1, VLOOKUP(E38,'CASSEM Pivot'!$L$3:$O$7,2,FALSE))</f>
        <v>0.16666666666666666</v>
      </c>
      <c r="K38" s="20">
        <f>VLOOKUP(C38,'CASSEM Pivot'!$B$3:$E$7,3,FALSE)</f>
        <v>0.5</v>
      </c>
      <c r="L38" s="20">
        <f>IF(D38="NA", 1, VLOOKUP(D38,'CASSEM Pivot'!$G$3:$J$7,3,FALSE))</f>
        <v>0.84848484848484851</v>
      </c>
      <c r="M38" s="20">
        <f>IF(E38="NA", 1, VLOOKUP(E38,'CASSEM Pivot'!$L$3:$O$7,3,FALSE))</f>
        <v>0.43902439024390244</v>
      </c>
      <c r="O38" s="21">
        <f>PRODUCT(H38:J38)*GETPIVOTDATA("Secure",'CASSEM Pivot'!$B$11,"Secure",0)</f>
        <v>1.4005602240896361E-2</v>
      </c>
      <c r="P38" s="21">
        <f>PRODUCT(K38:M38)*GETPIVOTDATA("Secure",'CASSEM Pivot'!$B$11,"Secure",1)</f>
        <v>0.16068866571018653</v>
      </c>
      <c r="R38" s="21">
        <f t="shared" si="0"/>
        <v>8.0172076652326951E-2</v>
      </c>
      <c r="S38" s="21">
        <f t="shared" si="1"/>
        <v>0.91982792334767305</v>
      </c>
      <c r="T38" s="12">
        <f t="shared" si="2"/>
        <v>1</v>
      </c>
      <c r="U38" s="12" t="str">
        <f t="shared" si="3"/>
        <v>TRUE</v>
      </c>
    </row>
    <row r="39" spans="2:21" ht="15.75" customHeight="1">
      <c r="B39" s="10">
        <v>36</v>
      </c>
      <c r="C39" s="11">
        <v>1</v>
      </c>
      <c r="D39" s="12">
        <v>1</v>
      </c>
      <c r="E39" s="13">
        <v>1</v>
      </c>
      <c r="F39" s="13">
        <v>1</v>
      </c>
      <c r="H39" s="20">
        <f>VLOOKUP(C39,'CASSEM Pivot'!$B$3:$E$7,2,FALSE)</f>
        <v>0.2857142857142857</v>
      </c>
      <c r="I39" s="20">
        <f>IF(D39="NA", 1, VLOOKUP(D39,'CASSEM Pivot'!$G$3:$J$7,2,FALSE))</f>
        <v>0.8571428571428571</v>
      </c>
      <c r="J39" s="20">
        <f>IF(E39="NA", 1, VLOOKUP(E39,'CASSEM Pivot'!$L$3:$O$7,2,FALSE))</f>
        <v>0.16666666666666666</v>
      </c>
      <c r="K39" s="20">
        <f>VLOOKUP(C39,'CASSEM Pivot'!$B$3:$E$7,3,FALSE)</f>
        <v>0.5</v>
      </c>
      <c r="L39" s="20">
        <f>IF(D39="NA", 1, VLOOKUP(D39,'CASSEM Pivot'!$G$3:$J$7,3,FALSE))</f>
        <v>0.84848484848484851</v>
      </c>
      <c r="M39" s="20">
        <f>IF(E39="NA", 1, VLOOKUP(E39,'CASSEM Pivot'!$L$3:$O$7,3,FALSE))</f>
        <v>0.43902439024390244</v>
      </c>
      <c r="O39" s="21">
        <f>PRODUCT(H39:J39)*GETPIVOTDATA("Secure",'CASSEM Pivot'!$B$11,"Secure",0)</f>
        <v>5.6022408963585426E-3</v>
      </c>
      <c r="P39" s="21">
        <f>PRODUCT(K39:M39)*GETPIVOTDATA("Secure",'CASSEM Pivot'!$B$11,"Secure",1)</f>
        <v>0.16068866571018653</v>
      </c>
      <c r="R39" s="21">
        <f t="shared" si="0"/>
        <v>3.368940016433853E-2</v>
      </c>
      <c r="S39" s="21">
        <f t="shared" si="1"/>
        <v>0.96631059983566137</v>
      </c>
      <c r="T39" s="12">
        <f t="shared" si="2"/>
        <v>1</v>
      </c>
      <c r="U39" s="12" t="str">
        <f t="shared" si="3"/>
        <v>TRUE</v>
      </c>
    </row>
    <row r="40" spans="2:21" ht="15.75" customHeight="1">
      <c r="B40" s="10">
        <v>16</v>
      </c>
      <c r="C40" s="11">
        <v>0</v>
      </c>
      <c r="D40" s="12">
        <v>1</v>
      </c>
      <c r="E40" s="13">
        <v>0</v>
      </c>
      <c r="F40" s="13">
        <v>1</v>
      </c>
      <c r="H40" s="20">
        <f>VLOOKUP(C40,'CASSEM Pivot'!$B$3:$E$7,2,FALSE)</f>
        <v>0.7142857142857143</v>
      </c>
      <c r="I40" s="20">
        <f>IF(D40="NA", 1, VLOOKUP(D40,'CASSEM Pivot'!$G$3:$J$7,2,FALSE))</f>
        <v>0.8571428571428571</v>
      </c>
      <c r="J40" s="20">
        <f>IF(E40="NA", 1, VLOOKUP(E40,'CASSEM Pivot'!$L$3:$O$7,2,FALSE))</f>
        <v>0.83333333333333337</v>
      </c>
      <c r="K40" s="20">
        <f>VLOOKUP(C40,'CASSEM Pivot'!$B$3:$E$7,3,FALSE)</f>
        <v>0.5</v>
      </c>
      <c r="L40" s="20">
        <f>IF(D40="NA", 1, VLOOKUP(D40,'CASSEM Pivot'!$G$3:$J$7,3,FALSE))</f>
        <v>0.84848484848484851</v>
      </c>
      <c r="M40" s="20">
        <f>IF(E40="NA", 1, VLOOKUP(E40,'CASSEM Pivot'!$L$3:$O$7,3,FALSE))</f>
        <v>0.56097560975609762</v>
      </c>
      <c r="O40" s="21">
        <f>PRODUCT(H40:J40)*GETPIVOTDATA("Secure",'CASSEM Pivot'!$B$11,"Secure",0)</f>
        <v>7.0028011204481794E-2</v>
      </c>
      <c r="P40" s="21">
        <f>PRODUCT(K40:M40)*GETPIVOTDATA("Secure",'CASSEM Pivot'!$B$11,"Secure",1)</f>
        <v>0.20532440618523837</v>
      </c>
      <c r="R40" s="21">
        <f t="shared" si="0"/>
        <v>0.2543213960797287</v>
      </c>
      <c r="S40" s="21">
        <f t="shared" si="1"/>
        <v>0.7456786039202713</v>
      </c>
      <c r="T40" s="12">
        <f t="shared" si="2"/>
        <v>1</v>
      </c>
      <c r="U40" s="12" t="str">
        <f t="shared" si="3"/>
        <v>TRUE</v>
      </c>
    </row>
    <row r="41" spans="2:21" ht="15.75" customHeight="1">
      <c r="B41" s="10">
        <v>20</v>
      </c>
      <c r="C41" s="11">
        <v>0</v>
      </c>
      <c r="D41" s="12">
        <v>0</v>
      </c>
      <c r="E41" s="13">
        <v>1</v>
      </c>
      <c r="F41" s="13">
        <v>1</v>
      </c>
      <c r="H41" s="20">
        <f>VLOOKUP(C41,'CASSEM Pivot'!$B$3:$E$7,2,FALSE)</f>
        <v>0.7142857142857143</v>
      </c>
      <c r="I41" s="20">
        <f>IF(D41="NA", 1, VLOOKUP(D41,'CASSEM Pivot'!$G$3:$J$7,2,FALSE))</f>
        <v>0.14285714285714285</v>
      </c>
      <c r="J41" s="20">
        <f>IF(E41="NA", 1, VLOOKUP(E41,'CASSEM Pivot'!$L$3:$O$7,2,FALSE))</f>
        <v>0.16666666666666666</v>
      </c>
      <c r="K41" s="20">
        <f>VLOOKUP(C41,'CASSEM Pivot'!$B$3:$E$7,3,FALSE)</f>
        <v>0.5</v>
      </c>
      <c r="L41" s="20">
        <f>IF(D41="NA", 1, VLOOKUP(D41,'CASSEM Pivot'!$G$3:$J$7,3,FALSE))</f>
        <v>0.15151515151515152</v>
      </c>
      <c r="M41" s="20">
        <f>IF(E41="NA", 1, VLOOKUP(E41,'CASSEM Pivot'!$L$3:$O$7,3,FALSE))</f>
        <v>0.43902439024390244</v>
      </c>
      <c r="O41" s="21">
        <f>PRODUCT(H41:J41)*GETPIVOTDATA("Secure",'CASSEM Pivot'!$B$11,"Secure",0)</f>
        <v>2.334267040149393E-3</v>
      </c>
      <c r="P41" s="21">
        <f>PRODUCT(K41:M41)*GETPIVOTDATA("Secure",'CASSEM Pivot'!$B$11,"Secure",1)</f>
        <v>2.8694404591104741E-2</v>
      </c>
      <c r="R41" s="21">
        <f t="shared" si="0"/>
        <v>7.5229357798165128E-2</v>
      </c>
      <c r="S41" s="21">
        <f t="shared" si="1"/>
        <v>0.92477064220183491</v>
      </c>
      <c r="T41" s="12">
        <f t="shared" si="2"/>
        <v>1</v>
      </c>
      <c r="U41" s="12" t="str">
        <f t="shared" si="3"/>
        <v>TRUE</v>
      </c>
    </row>
    <row r="42" spans="2:21" ht="15.75" customHeight="1">
      <c r="B42" s="10">
        <v>31</v>
      </c>
      <c r="C42" s="11">
        <v>1</v>
      </c>
      <c r="D42" s="12">
        <v>1</v>
      </c>
      <c r="E42" s="13">
        <v>0</v>
      </c>
      <c r="F42" s="13">
        <v>1</v>
      </c>
      <c r="H42" s="20">
        <f>VLOOKUP(C42,'CASSEM Pivot'!$B$3:$E$7,2,FALSE)</f>
        <v>0.2857142857142857</v>
      </c>
      <c r="I42" s="20">
        <f>IF(D42="NA", 1, VLOOKUP(D42,'CASSEM Pivot'!$G$3:$J$7,2,FALSE))</f>
        <v>0.8571428571428571</v>
      </c>
      <c r="J42" s="20">
        <f>IF(E42="NA", 1, VLOOKUP(E42,'CASSEM Pivot'!$L$3:$O$7,2,FALSE))</f>
        <v>0.83333333333333337</v>
      </c>
      <c r="K42" s="20">
        <f>VLOOKUP(C42,'CASSEM Pivot'!$B$3:$E$7,3,FALSE)</f>
        <v>0.5</v>
      </c>
      <c r="L42" s="20">
        <f>IF(D42="NA", 1, VLOOKUP(D42,'CASSEM Pivot'!$G$3:$J$7,3,FALSE))</f>
        <v>0.84848484848484851</v>
      </c>
      <c r="M42" s="20">
        <f>IF(E42="NA", 1, VLOOKUP(E42,'CASSEM Pivot'!$L$3:$O$7,3,FALSE))</f>
        <v>0.56097560975609762</v>
      </c>
      <c r="O42" s="21">
        <f>PRODUCT(H42:J42)*GETPIVOTDATA("Secure",'CASSEM Pivot'!$B$11,"Secure",0)</f>
        <v>2.8011204481792715E-2</v>
      </c>
      <c r="P42" s="21">
        <f>PRODUCT(K42:M42)*GETPIVOTDATA("Secure",'CASSEM Pivot'!$B$11,"Secure",1)</f>
        <v>0.20532440618523837</v>
      </c>
      <c r="R42" s="21">
        <f t="shared" si="0"/>
        <v>0.1200468475502635</v>
      </c>
      <c r="S42" s="21">
        <f t="shared" si="1"/>
        <v>0.8799531524497366</v>
      </c>
      <c r="T42" s="12">
        <f t="shared" si="2"/>
        <v>1</v>
      </c>
      <c r="U42" s="12" t="str">
        <f t="shared" si="3"/>
        <v>TRUE</v>
      </c>
    </row>
    <row r="43" spans="2:21" ht="15.75" customHeight="1">
      <c r="B43" s="10">
        <v>39</v>
      </c>
      <c r="C43" s="11">
        <v>1</v>
      </c>
      <c r="D43" s="12">
        <v>0</v>
      </c>
      <c r="E43" s="13">
        <v>0</v>
      </c>
      <c r="F43" s="13">
        <v>1</v>
      </c>
      <c r="H43" s="20">
        <f>VLOOKUP(C43,'CASSEM Pivot'!$B$3:$E$7,2,FALSE)</f>
        <v>0.2857142857142857</v>
      </c>
      <c r="I43" s="20">
        <f>IF(D43="NA", 1, VLOOKUP(D43,'CASSEM Pivot'!$G$3:$J$7,2,FALSE))</f>
        <v>0.14285714285714285</v>
      </c>
      <c r="J43" s="20">
        <f>IF(E43="NA", 1, VLOOKUP(E43,'CASSEM Pivot'!$L$3:$O$7,2,FALSE))</f>
        <v>0.83333333333333337</v>
      </c>
      <c r="K43" s="20">
        <f>VLOOKUP(C43,'CASSEM Pivot'!$B$3:$E$7,3,FALSE)</f>
        <v>0.5</v>
      </c>
      <c r="L43" s="20">
        <f>IF(D43="NA", 1, VLOOKUP(D43,'CASSEM Pivot'!$G$3:$J$7,3,FALSE))</f>
        <v>0.15151515151515152</v>
      </c>
      <c r="M43" s="20">
        <f>IF(E43="NA", 1, VLOOKUP(E43,'CASSEM Pivot'!$L$3:$O$7,3,FALSE))</f>
        <v>0.56097560975609762</v>
      </c>
      <c r="O43" s="21">
        <f>PRODUCT(H43:J43)*GETPIVOTDATA("Secure",'CASSEM Pivot'!$B$11,"Secure",0)</f>
        <v>4.6685340802987861E-3</v>
      </c>
      <c r="P43" s="21">
        <f>PRODUCT(K43:M43)*GETPIVOTDATA("Secure",'CASSEM Pivot'!$B$11,"Secure",1)</f>
        <v>3.6665072533078276E-2</v>
      </c>
      <c r="R43" s="21">
        <f t="shared" si="0"/>
        <v>0.11294765840220385</v>
      </c>
      <c r="S43" s="21">
        <f t="shared" si="1"/>
        <v>0.88705234159779622</v>
      </c>
      <c r="T43" s="12">
        <f t="shared" si="2"/>
        <v>1</v>
      </c>
      <c r="U43" s="12" t="str">
        <f t="shared" si="3"/>
        <v>TRUE</v>
      </c>
    </row>
    <row r="44" spans="2:21" ht="15.75" customHeight="1">
      <c r="B44" s="10">
        <v>40</v>
      </c>
      <c r="C44" s="11">
        <v>1</v>
      </c>
      <c r="D44" s="12">
        <v>0</v>
      </c>
      <c r="E44" s="13">
        <v>0</v>
      </c>
      <c r="F44" s="13">
        <v>1</v>
      </c>
      <c r="H44" s="20">
        <f>VLOOKUP(C44,'CASSEM Pivot'!$B$3:$E$7,2,FALSE)</f>
        <v>0.2857142857142857</v>
      </c>
      <c r="I44" s="20">
        <f>IF(D44="NA", 1, VLOOKUP(D44,'CASSEM Pivot'!$G$3:$J$7,2,FALSE))</f>
        <v>0.14285714285714285</v>
      </c>
      <c r="J44" s="20">
        <f>IF(E44="NA", 1, VLOOKUP(E44,'CASSEM Pivot'!$L$3:$O$7,2,FALSE))</f>
        <v>0.83333333333333337</v>
      </c>
      <c r="K44" s="20">
        <f>VLOOKUP(C44,'CASSEM Pivot'!$B$3:$E$7,3,FALSE)</f>
        <v>0.5</v>
      </c>
      <c r="L44" s="20">
        <f>IF(D44="NA", 1, VLOOKUP(D44,'CASSEM Pivot'!$G$3:$J$7,3,FALSE))</f>
        <v>0.15151515151515152</v>
      </c>
      <c r="M44" s="20">
        <f>IF(E44="NA", 1, VLOOKUP(E44,'CASSEM Pivot'!$L$3:$O$7,3,FALSE))</f>
        <v>0.56097560975609762</v>
      </c>
      <c r="O44" s="21">
        <f>PRODUCT(H44:J44)*GETPIVOTDATA("Secure",'CASSEM Pivot'!$B$11,"Secure",0)</f>
        <v>4.6685340802987861E-3</v>
      </c>
      <c r="P44" s="21">
        <f>PRODUCT(K44:M44)*GETPIVOTDATA("Secure",'CASSEM Pivot'!$B$11,"Secure",1)</f>
        <v>3.6665072533078276E-2</v>
      </c>
      <c r="R44" s="21">
        <f t="shared" si="0"/>
        <v>0.11294765840220385</v>
      </c>
      <c r="S44" s="21">
        <f t="shared" si="1"/>
        <v>0.88705234159779622</v>
      </c>
      <c r="T44" s="12">
        <f t="shared" si="2"/>
        <v>1</v>
      </c>
      <c r="U44" s="12" t="str">
        <f t="shared" si="3"/>
        <v>TRUE</v>
      </c>
    </row>
    <row r="45" spans="2:21" ht="15.75" customHeight="1">
      <c r="B45" s="10">
        <v>41</v>
      </c>
      <c r="C45" s="11">
        <v>1</v>
      </c>
      <c r="D45" s="12">
        <v>1</v>
      </c>
      <c r="E45" s="13">
        <v>0</v>
      </c>
      <c r="F45" s="13">
        <v>1</v>
      </c>
      <c r="H45" s="20">
        <f>VLOOKUP(C45,'CASSEM Pivot'!$B$3:$E$7,2,FALSE)</f>
        <v>0.2857142857142857</v>
      </c>
      <c r="I45" s="20">
        <f>IF(D45="NA", 1, VLOOKUP(D45,'CASSEM Pivot'!$G$3:$J$7,2,FALSE))</f>
        <v>0.8571428571428571</v>
      </c>
      <c r="J45" s="20">
        <f>IF(E45="NA", 1, VLOOKUP(E45,'CASSEM Pivot'!$L$3:$O$7,2,FALSE))</f>
        <v>0.83333333333333337</v>
      </c>
      <c r="K45" s="20">
        <f>VLOOKUP(C45,'CASSEM Pivot'!$B$3:$E$7,3,FALSE)</f>
        <v>0.5</v>
      </c>
      <c r="L45" s="20">
        <f>IF(D45="NA", 1, VLOOKUP(D45,'CASSEM Pivot'!$G$3:$J$7,3,FALSE))</f>
        <v>0.84848484848484851</v>
      </c>
      <c r="M45" s="20">
        <f>IF(E45="NA", 1, VLOOKUP(E45,'CASSEM Pivot'!$L$3:$O$7,3,FALSE))</f>
        <v>0.56097560975609762</v>
      </c>
      <c r="O45" s="21">
        <f>PRODUCT(H45:J45)*GETPIVOTDATA("Secure",'CASSEM Pivot'!$B$11,"Secure",0)</f>
        <v>2.8011204481792715E-2</v>
      </c>
      <c r="P45" s="21">
        <f>PRODUCT(K45:M45)*GETPIVOTDATA("Secure",'CASSEM Pivot'!$B$11,"Secure",1)</f>
        <v>0.20532440618523837</v>
      </c>
      <c r="R45" s="21">
        <f t="shared" si="0"/>
        <v>0.1200468475502635</v>
      </c>
      <c r="S45" s="21">
        <f t="shared" si="1"/>
        <v>0.8799531524497366</v>
      </c>
      <c r="T45" s="12">
        <f t="shared" si="2"/>
        <v>1</v>
      </c>
      <c r="U45" s="12" t="str">
        <f t="shared" si="3"/>
        <v>TRUE</v>
      </c>
    </row>
    <row r="46" spans="2:21" ht="15.75" customHeight="1">
      <c r="B46" s="10">
        <v>45</v>
      </c>
      <c r="C46" s="11">
        <v>0</v>
      </c>
      <c r="D46" s="12">
        <v>1</v>
      </c>
      <c r="E46" s="13">
        <v>1</v>
      </c>
      <c r="F46" s="13">
        <v>1</v>
      </c>
      <c r="H46" s="20">
        <f>VLOOKUP(C46,'CASSEM Pivot'!$B$3:$E$7,2,FALSE)</f>
        <v>0.7142857142857143</v>
      </c>
      <c r="I46" s="20">
        <f>IF(D46="NA", 1, VLOOKUP(D46,'CASSEM Pivot'!$G$3:$J$7,2,FALSE))</f>
        <v>0.8571428571428571</v>
      </c>
      <c r="J46" s="20">
        <f>IF(E46="NA", 1, VLOOKUP(E46,'CASSEM Pivot'!$L$3:$O$7,2,FALSE))</f>
        <v>0.16666666666666666</v>
      </c>
      <c r="K46" s="20">
        <f>VLOOKUP(C46,'CASSEM Pivot'!$B$3:$E$7,3,FALSE)</f>
        <v>0.5</v>
      </c>
      <c r="L46" s="20">
        <f>IF(D46="NA", 1, VLOOKUP(D46,'CASSEM Pivot'!$G$3:$J$7,3,FALSE))</f>
        <v>0.84848484848484851</v>
      </c>
      <c r="M46" s="20">
        <f>IF(E46="NA", 1, VLOOKUP(E46,'CASSEM Pivot'!$L$3:$O$7,3,FALSE))</f>
        <v>0.43902439024390244</v>
      </c>
      <c r="O46" s="21">
        <f>PRODUCT(H46:J46)*GETPIVOTDATA("Secure",'CASSEM Pivot'!$B$11,"Secure",0)</f>
        <v>1.4005602240896361E-2</v>
      </c>
      <c r="P46" s="21">
        <f>PRODUCT(K46:M46)*GETPIVOTDATA("Secure",'CASSEM Pivot'!$B$11,"Secure",1)</f>
        <v>0.16068866571018653</v>
      </c>
      <c r="R46" s="21">
        <f t="shared" si="0"/>
        <v>8.0172076652326951E-2</v>
      </c>
      <c r="S46" s="21">
        <f t="shared" si="1"/>
        <v>0.91982792334767305</v>
      </c>
      <c r="T46" s="12">
        <f t="shared" si="2"/>
        <v>1</v>
      </c>
      <c r="U46" s="12" t="str">
        <f t="shared" si="3"/>
        <v>TRUE</v>
      </c>
    </row>
    <row r="47" spans="2:21" ht="15.75" customHeight="1">
      <c r="B47" s="10">
        <v>75</v>
      </c>
      <c r="C47" s="11">
        <v>0</v>
      </c>
      <c r="D47" s="12">
        <v>1</v>
      </c>
      <c r="E47" s="13">
        <v>1</v>
      </c>
      <c r="F47" s="13">
        <v>0</v>
      </c>
      <c r="H47" s="20">
        <f>VLOOKUP(C47,'CASSEM Pivot'!$B$3:$E$7,2,FALSE)</f>
        <v>0.7142857142857143</v>
      </c>
      <c r="I47" s="20">
        <f>IF(D47="NA", 1, VLOOKUP(D47,'CASSEM Pivot'!$G$3:$J$7,2,FALSE))</f>
        <v>0.8571428571428571</v>
      </c>
      <c r="J47" s="20">
        <f>IF(E47="NA", 1, VLOOKUP(E47,'CASSEM Pivot'!$L$3:$O$7,2,FALSE))</f>
        <v>0.16666666666666666</v>
      </c>
      <c r="K47" s="20">
        <f>VLOOKUP(C47,'CASSEM Pivot'!$B$3:$E$7,3,FALSE)</f>
        <v>0.5</v>
      </c>
      <c r="L47" s="20">
        <f>IF(D47="NA", 1, VLOOKUP(D47,'CASSEM Pivot'!$G$3:$J$7,3,FALSE))</f>
        <v>0.84848484848484851</v>
      </c>
      <c r="M47" s="20">
        <f>IF(E47="NA", 1, VLOOKUP(E47,'CASSEM Pivot'!$L$3:$O$7,3,FALSE))</f>
        <v>0.43902439024390244</v>
      </c>
      <c r="O47" s="21">
        <f>PRODUCT(H47:J47)*GETPIVOTDATA("Secure",'CASSEM Pivot'!$B$11,"Secure",0)</f>
        <v>1.4005602240896361E-2</v>
      </c>
      <c r="P47" s="21">
        <f>PRODUCT(K47:M47)*GETPIVOTDATA("Secure",'CASSEM Pivot'!$B$11,"Secure",1)</f>
        <v>0.16068866571018653</v>
      </c>
      <c r="R47" s="21">
        <f t="shared" si="0"/>
        <v>8.0172076652326951E-2</v>
      </c>
      <c r="S47" s="21">
        <f t="shared" si="1"/>
        <v>0.91982792334767305</v>
      </c>
      <c r="T47" s="12">
        <f t="shared" si="2"/>
        <v>1</v>
      </c>
      <c r="U47" s="12" t="str">
        <f t="shared" si="3"/>
        <v>FALSE</v>
      </c>
    </row>
    <row r="48" spans="2:21" ht="15.75" customHeight="1">
      <c r="B48" s="10">
        <v>71</v>
      </c>
      <c r="C48" s="11">
        <v>0</v>
      </c>
      <c r="D48" s="12">
        <v>1</v>
      </c>
      <c r="E48" s="13">
        <v>0</v>
      </c>
      <c r="F48" s="13">
        <v>0</v>
      </c>
      <c r="H48" s="20">
        <f>VLOOKUP(C48,'CASSEM Pivot'!$B$3:$E$7,2,FALSE)</f>
        <v>0.7142857142857143</v>
      </c>
      <c r="I48" s="20">
        <f>IF(D48="NA", 1, VLOOKUP(D48,'CASSEM Pivot'!$G$3:$J$7,2,FALSE))</f>
        <v>0.8571428571428571</v>
      </c>
      <c r="J48" s="20">
        <f>IF(E48="NA", 1, VLOOKUP(E48,'CASSEM Pivot'!$L$3:$O$7,2,FALSE))</f>
        <v>0.83333333333333337</v>
      </c>
      <c r="K48" s="20">
        <f>VLOOKUP(C48,'CASSEM Pivot'!$B$3:$E$7,3,FALSE)</f>
        <v>0.5</v>
      </c>
      <c r="L48" s="20">
        <f>IF(D48="NA", 1, VLOOKUP(D48,'CASSEM Pivot'!$G$3:$J$7,3,FALSE))</f>
        <v>0.84848484848484851</v>
      </c>
      <c r="M48" s="20">
        <f>IF(E48="NA", 1, VLOOKUP(E48,'CASSEM Pivot'!$L$3:$O$7,3,FALSE))</f>
        <v>0.56097560975609762</v>
      </c>
      <c r="O48" s="21">
        <f>PRODUCT(H48:J48)*GETPIVOTDATA("Secure",'CASSEM Pivot'!$B$11,"Secure",0)</f>
        <v>7.0028011204481794E-2</v>
      </c>
      <c r="P48" s="21">
        <f>PRODUCT(K48:M48)*GETPIVOTDATA("Secure",'CASSEM Pivot'!$B$11,"Secure",1)</f>
        <v>0.20532440618523837</v>
      </c>
      <c r="R48" s="21">
        <f t="shared" si="0"/>
        <v>0.2543213960797287</v>
      </c>
      <c r="S48" s="21">
        <f t="shared" si="1"/>
        <v>0.7456786039202713</v>
      </c>
      <c r="T48" s="12">
        <f t="shared" si="2"/>
        <v>1</v>
      </c>
      <c r="U48" s="12" t="str">
        <f t="shared" si="3"/>
        <v>FALSE</v>
      </c>
    </row>
    <row r="49" spans="2:21" ht="15.75" customHeight="1">
      <c r="B49" s="10">
        <v>72</v>
      </c>
      <c r="C49" s="11">
        <v>1</v>
      </c>
      <c r="D49" s="12">
        <v>1</v>
      </c>
      <c r="E49" s="13">
        <v>0</v>
      </c>
      <c r="F49" s="13">
        <v>0</v>
      </c>
      <c r="H49" s="20">
        <f>VLOOKUP(C49,'CASSEM Pivot'!$B$3:$E$7,2,FALSE)</f>
        <v>0.2857142857142857</v>
      </c>
      <c r="I49" s="20">
        <f>IF(D49="NA", 1, VLOOKUP(D49,'CASSEM Pivot'!$G$3:$J$7,2,FALSE))</f>
        <v>0.8571428571428571</v>
      </c>
      <c r="J49" s="20">
        <f>IF(E49="NA", 1, VLOOKUP(E49,'CASSEM Pivot'!$L$3:$O$7,2,FALSE))</f>
        <v>0.83333333333333337</v>
      </c>
      <c r="K49" s="20">
        <f>VLOOKUP(C49,'CASSEM Pivot'!$B$3:$E$7,3,FALSE)</f>
        <v>0.5</v>
      </c>
      <c r="L49" s="20">
        <f>IF(D49="NA", 1, VLOOKUP(D49,'CASSEM Pivot'!$G$3:$J$7,3,FALSE))</f>
        <v>0.84848484848484851</v>
      </c>
      <c r="M49" s="20">
        <f>IF(E49="NA", 1, VLOOKUP(E49,'CASSEM Pivot'!$L$3:$O$7,3,FALSE))</f>
        <v>0.56097560975609762</v>
      </c>
      <c r="O49" s="21">
        <f>PRODUCT(H49:J49)*GETPIVOTDATA("Secure",'CASSEM Pivot'!$B$11,"Secure",0)</f>
        <v>2.8011204481792715E-2</v>
      </c>
      <c r="P49" s="21">
        <f>PRODUCT(K49:M49)*GETPIVOTDATA("Secure",'CASSEM Pivot'!$B$11,"Secure",1)</f>
        <v>0.20532440618523837</v>
      </c>
      <c r="R49" s="21">
        <f t="shared" si="0"/>
        <v>0.1200468475502635</v>
      </c>
      <c r="S49" s="21">
        <f t="shared" si="1"/>
        <v>0.8799531524497366</v>
      </c>
      <c r="T49" s="12">
        <f t="shared" si="2"/>
        <v>1</v>
      </c>
      <c r="U49" s="12" t="str">
        <f t="shared" si="3"/>
        <v>FALSE</v>
      </c>
    </row>
    <row r="50" spans="2:21" ht="15.75" customHeight="1">
      <c r="B50" s="10">
        <v>74</v>
      </c>
      <c r="C50" s="11">
        <v>1</v>
      </c>
      <c r="D50" s="12">
        <v>1</v>
      </c>
      <c r="E50" s="13">
        <v>0</v>
      </c>
      <c r="F50" s="13">
        <v>0</v>
      </c>
      <c r="H50" s="20">
        <f>VLOOKUP(C50,'CASSEM Pivot'!$B$3:$E$7,2,FALSE)</f>
        <v>0.2857142857142857</v>
      </c>
      <c r="I50" s="20">
        <f>IF(D50="NA", 1, VLOOKUP(D50,'CASSEM Pivot'!$G$3:$J$7,2,FALSE))</f>
        <v>0.8571428571428571</v>
      </c>
      <c r="J50" s="20">
        <f>IF(E50="NA", 1, VLOOKUP(E50,'CASSEM Pivot'!$L$3:$O$7,2,FALSE))</f>
        <v>0.83333333333333337</v>
      </c>
      <c r="K50" s="20">
        <f>VLOOKUP(C50,'CASSEM Pivot'!$B$3:$E$7,3,FALSE)</f>
        <v>0.5</v>
      </c>
      <c r="L50" s="20">
        <f>IF(D50="NA", 1, VLOOKUP(D50,'CASSEM Pivot'!$G$3:$J$7,3,FALSE))</f>
        <v>0.84848484848484851</v>
      </c>
      <c r="M50" s="20">
        <f>IF(E50="NA", 1, VLOOKUP(E50,'CASSEM Pivot'!$L$3:$O$7,3,FALSE))</f>
        <v>0.56097560975609762</v>
      </c>
      <c r="O50" s="21">
        <f>PRODUCT(H50:J50)*GETPIVOTDATA("Secure",'CASSEM Pivot'!$B$11,"Secure",0)</f>
        <v>2.8011204481792715E-2</v>
      </c>
      <c r="P50" s="21">
        <f>PRODUCT(K50:M50)*GETPIVOTDATA("Secure",'CASSEM Pivot'!$B$11,"Secure",1)</f>
        <v>0.20532440618523837</v>
      </c>
      <c r="R50" s="21">
        <f t="shared" si="0"/>
        <v>0.1200468475502635</v>
      </c>
      <c r="S50" s="21">
        <f t="shared" si="1"/>
        <v>0.8799531524497366</v>
      </c>
      <c r="T50" s="12">
        <f t="shared" si="2"/>
        <v>1</v>
      </c>
      <c r="U50" s="12" t="str">
        <f t="shared" si="3"/>
        <v>FALSE</v>
      </c>
    </row>
    <row r="51" spans="2:21" ht="15.75" customHeight="1">
      <c r="B51" s="10">
        <v>76</v>
      </c>
      <c r="C51" s="11">
        <v>0</v>
      </c>
      <c r="D51" s="12">
        <v>1</v>
      </c>
      <c r="E51" s="13" t="s">
        <v>44</v>
      </c>
      <c r="F51" s="13">
        <v>0</v>
      </c>
      <c r="H51" s="20">
        <f>VLOOKUP(C51,'CASSEM Pivot'!$B$3:$E$7,2,FALSE)</f>
        <v>0.7142857142857143</v>
      </c>
      <c r="I51" s="20">
        <f>IF(D51="NA", 1, VLOOKUP(D51,'CASSEM Pivot'!$G$3:$J$7,2,FALSE))</f>
        <v>0.8571428571428571</v>
      </c>
      <c r="J51" s="12">
        <f>IF(E51="NA", 1, VLOOKUP(E51,'CASSEM Pivot'!$L$3:$O$7,2,FALSE))</f>
        <v>1</v>
      </c>
      <c r="K51" s="20">
        <f>VLOOKUP(C51,'CASSEM Pivot'!$B$3:$E$7,3,FALSE)</f>
        <v>0.5</v>
      </c>
      <c r="L51" s="20">
        <f>IF(D51="NA", 1, VLOOKUP(D51,'CASSEM Pivot'!$G$3:$J$7,3,FALSE))</f>
        <v>0.84848484848484851</v>
      </c>
      <c r="M51" s="12">
        <f>IF(E51="NA", 1, VLOOKUP(E51,'CASSEM Pivot'!$L$3:$O$7,3,FALSE))</f>
        <v>1</v>
      </c>
      <c r="O51" s="21">
        <f>PRODUCT(H51:J51)*GETPIVOTDATA("Secure",'CASSEM Pivot'!$B$11,"Secure",0)</f>
        <v>8.4033613445378158E-2</v>
      </c>
      <c r="P51" s="21">
        <f>PRODUCT(K51:M51)*GETPIVOTDATA("Secure",'CASSEM Pivot'!$B$11,"Secure",1)</f>
        <v>0.36601307189542487</v>
      </c>
      <c r="R51" s="21">
        <f t="shared" si="0"/>
        <v>0.18672199170124479</v>
      </c>
      <c r="S51" s="21">
        <f t="shared" si="1"/>
        <v>0.81327800829875518</v>
      </c>
      <c r="T51" s="12">
        <f t="shared" si="2"/>
        <v>1</v>
      </c>
      <c r="U51" s="12" t="str">
        <f t="shared" si="3"/>
        <v>FALSE</v>
      </c>
    </row>
    <row r="52" spans="2:21" ht="15.75" customHeight="1">
      <c r="B52" s="10">
        <v>67</v>
      </c>
      <c r="C52" s="11">
        <v>0</v>
      </c>
      <c r="D52" s="12">
        <v>1</v>
      </c>
      <c r="E52" s="13">
        <v>0</v>
      </c>
      <c r="F52" s="13">
        <v>0</v>
      </c>
      <c r="H52" s="20">
        <f>VLOOKUP(C52,'CASSEM Pivot'!$B$3:$E$7,2,FALSE)</f>
        <v>0.7142857142857143</v>
      </c>
      <c r="I52" s="20">
        <f>IF(D52="NA", 1, VLOOKUP(D52,'CASSEM Pivot'!$G$3:$J$7,2,FALSE))</f>
        <v>0.8571428571428571</v>
      </c>
      <c r="J52" s="20">
        <f>IF(E52="NA", 1, VLOOKUP(E52,'CASSEM Pivot'!$L$3:$O$7,2,FALSE))</f>
        <v>0.83333333333333337</v>
      </c>
      <c r="K52" s="20">
        <f>VLOOKUP(C52,'CASSEM Pivot'!$B$3:$E$7,3,FALSE)</f>
        <v>0.5</v>
      </c>
      <c r="L52" s="20">
        <f>IF(D52="NA", 1, VLOOKUP(D52,'CASSEM Pivot'!$G$3:$J$7,3,FALSE))</f>
        <v>0.84848484848484851</v>
      </c>
      <c r="M52" s="20">
        <f>IF(E52="NA", 1, VLOOKUP(E52,'CASSEM Pivot'!$L$3:$O$7,3,FALSE))</f>
        <v>0.56097560975609762</v>
      </c>
      <c r="O52" s="21">
        <f>PRODUCT(H52:J52)*GETPIVOTDATA("Secure",'CASSEM Pivot'!$B$11,"Secure",0)</f>
        <v>7.0028011204481794E-2</v>
      </c>
      <c r="P52" s="21">
        <f>PRODUCT(K52:M52)*GETPIVOTDATA("Secure",'CASSEM Pivot'!$B$11,"Secure",1)</f>
        <v>0.20532440618523837</v>
      </c>
      <c r="R52" s="21">
        <f t="shared" si="0"/>
        <v>0.2543213960797287</v>
      </c>
      <c r="S52" s="21">
        <f t="shared" si="1"/>
        <v>0.7456786039202713</v>
      </c>
      <c r="T52" s="12">
        <f t="shared" si="2"/>
        <v>1</v>
      </c>
      <c r="U52" s="12" t="str">
        <f t="shared" si="3"/>
        <v>FALSE</v>
      </c>
    </row>
    <row r="53" spans="2:21" ht="15.75" customHeight="1">
      <c r="B53" s="10">
        <v>68</v>
      </c>
      <c r="C53" s="11">
        <v>0</v>
      </c>
      <c r="D53" s="12">
        <v>0</v>
      </c>
      <c r="E53" s="13">
        <v>0</v>
      </c>
      <c r="F53" s="13">
        <v>0</v>
      </c>
      <c r="H53" s="20">
        <f>VLOOKUP(C53,'CASSEM Pivot'!$B$3:$E$7,2,FALSE)</f>
        <v>0.7142857142857143</v>
      </c>
      <c r="I53" s="20">
        <f>IF(D53="NA", 1, VLOOKUP(D53,'CASSEM Pivot'!$G$3:$J$7,2,FALSE))</f>
        <v>0.14285714285714285</v>
      </c>
      <c r="J53" s="20">
        <f>IF(E53="NA", 1, VLOOKUP(E53,'CASSEM Pivot'!$L$3:$O$7,2,FALSE))</f>
        <v>0.83333333333333337</v>
      </c>
      <c r="K53" s="20">
        <f>VLOOKUP(C53,'CASSEM Pivot'!$B$3:$E$7,3,FALSE)</f>
        <v>0.5</v>
      </c>
      <c r="L53" s="20">
        <f>IF(D53="NA", 1, VLOOKUP(D53,'CASSEM Pivot'!$G$3:$J$7,3,FALSE))</f>
        <v>0.15151515151515152</v>
      </c>
      <c r="M53" s="20">
        <f>IF(E53="NA", 1, VLOOKUP(E53,'CASSEM Pivot'!$L$3:$O$7,3,FALSE))</f>
        <v>0.56097560975609762</v>
      </c>
      <c r="O53" s="21">
        <f>PRODUCT(H53:J53)*GETPIVOTDATA("Secure",'CASSEM Pivot'!$B$11,"Secure",0)</f>
        <v>1.1671335200746967E-2</v>
      </c>
      <c r="P53" s="21">
        <f>PRODUCT(K53:M53)*GETPIVOTDATA("Secure",'CASSEM Pivot'!$B$11,"Secure",1)</f>
        <v>3.6665072533078276E-2</v>
      </c>
      <c r="R53" s="21">
        <f t="shared" si="0"/>
        <v>0.24146054181389873</v>
      </c>
      <c r="S53" s="21">
        <f t="shared" si="1"/>
        <v>0.75853945818610136</v>
      </c>
      <c r="T53" s="12">
        <f t="shared" si="2"/>
        <v>1</v>
      </c>
      <c r="U53" s="12" t="str">
        <f t="shared" si="3"/>
        <v>FALSE</v>
      </c>
    </row>
    <row r="54" spans="2:21" ht="15.75" customHeight="1"/>
    <row r="55" spans="2:21" ht="15.75" customHeight="1">
      <c r="T55" s="16"/>
    </row>
    <row r="56" spans="2:21" ht="15.75" customHeight="1"/>
    <row r="57" spans="2:21" ht="15.75" customHeight="1"/>
    <row r="58" spans="2:21" ht="15.75" customHeight="1"/>
    <row r="59" spans="2:21" ht="15.75" customHeight="1"/>
    <row r="60" spans="2:21" ht="15.75" customHeight="1"/>
    <row r="61" spans="2:21" ht="15.75" customHeight="1"/>
    <row r="62" spans="2:21" ht="15.75" customHeight="1"/>
    <row r="63" spans="2:21" ht="15.75" customHeight="1"/>
    <row r="64" spans="2:2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U3:U53">
    <cfRule type="containsText" dxfId="3" priority="1" operator="containsText" text="FALSE">
      <formula>NOT(ISERROR(SEARCH(("FALSE"),(U3))))</formula>
    </cfRule>
  </conditionalFormatting>
  <conditionalFormatting sqref="U3:U53">
    <cfRule type="containsText" dxfId="2" priority="2" operator="containsText" text="TRUE">
      <formula>NOT(ISERROR(SEARCH(("TRUE"),(U3))))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U1000"/>
  <sheetViews>
    <sheetView workbookViewId="0">
      <selection activeCell="N30" sqref="N30"/>
    </sheetView>
  </sheetViews>
  <sheetFormatPr defaultColWidth="14.42578125" defaultRowHeight="15" customHeight="1"/>
  <cols>
    <col min="1" max="26" width="8.7109375" customWidth="1"/>
  </cols>
  <sheetData>
    <row r="2" spans="2:21" ht="36">
      <c r="B2" s="10" t="s">
        <v>0</v>
      </c>
      <c r="C2" s="10" t="s">
        <v>3</v>
      </c>
      <c r="D2" s="10" t="s">
        <v>280</v>
      </c>
      <c r="E2" s="10" t="s">
        <v>11</v>
      </c>
      <c r="F2" s="10" t="s">
        <v>8</v>
      </c>
      <c r="H2" s="10" t="s">
        <v>290</v>
      </c>
      <c r="I2" s="10" t="s">
        <v>291</v>
      </c>
      <c r="J2" s="10" t="s">
        <v>292</v>
      </c>
      <c r="K2" s="10" t="s">
        <v>293</v>
      </c>
      <c r="L2" s="10" t="s">
        <v>294</v>
      </c>
      <c r="M2" s="10" t="s">
        <v>295</v>
      </c>
      <c r="O2" s="10" t="s">
        <v>296</v>
      </c>
      <c r="P2" s="10" t="s">
        <v>297</v>
      </c>
      <c r="R2" s="10" t="s">
        <v>298</v>
      </c>
      <c r="S2" s="10" t="s">
        <v>299</v>
      </c>
      <c r="T2" s="10" t="s">
        <v>300</v>
      </c>
      <c r="U2" s="19" t="s">
        <v>285</v>
      </c>
    </row>
    <row r="3" spans="2:21">
      <c r="B3" s="10">
        <v>49</v>
      </c>
      <c r="C3" s="11">
        <v>1</v>
      </c>
      <c r="D3" s="12" t="s">
        <v>44</v>
      </c>
      <c r="E3" s="13" t="s">
        <v>44</v>
      </c>
      <c r="F3" s="13">
        <v>1</v>
      </c>
      <c r="H3" s="20">
        <f>VLOOKUP(C3,'CASSEM Pivot'!$B$3:$E$7,2,FALSE)</f>
        <v>0.2857142857142857</v>
      </c>
      <c r="I3" s="12">
        <f>IF(D3="NA", 1, VLOOKUP(D3,'CASSEM Pivot'!$G$3:$J$7,2,FALSE))</f>
        <v>1</v>
      </c>
      <c r="J3" s="12">
        <f>IF(E3="NA", 1, VLOOKUP(E3,'CASSEM Pivot'!$L$3:$O$7,2,FALSE))</f>
        <v>1</v>
      </c>
      <c r="K3" s="20">
        <f>VLOOKUP(C3,'CASSEM Pivot'!$B$3:$E$7,3,FALSE)</f>
        <v>0.5</v>
      </c>
      <c r="L3" s="12">
        <f>IF(D3="NA", 1, VLOOKUP(D3,'CASSEM Pivot'!$G$3:$J$7,3,FALSE))</f>
        <v>1</v>
      </c>
      <c r="M3" s="12">
        <f>IF(E3="NA", 1, VLOOKUP(E3,'CASSEM Pivot'!$L$3:$O$7,3,FALSE))</f>
        <v>1</v>
      </c>
      <c r="O3" s="21">
        <f>PRODUCT(H3:J3)*GETPIVOTDATA("Secure",'CASSEM Pivot'!$B$11,"Secure",0)</f>
        <v>3.9215686274509803E-2</v>
      </c>
      <c r="P3" s="21">
        <f>PRODUCT(K3:M3)*GETPIVOTDATA("Secure",'CASSEM Pivot'!$B$11,"Secure",1)</f>
        <v>0.43137254901960786</v>
      </c>
      <c r="R3" s="21">
        <f t="shared" ref="R3:R27" si="0">O3/(O3+P3)</f>
        <v>8.3333333333333329E-2</v>
      </c>
      <c r="S3" s="21">
        <f t="shared" ref="S3:S27" si="1">P3/(P3+O3)</f>
        <v>0.91666666666666674</v>
      </c>
      <c r="T3" s="12">
        <f t="shared" ref="T3:T27" si="2">IF(S3&gt;R3,1,0)</f>
        <v>1</v>
      </c>
      <c r="U3" s="12" t="str">
        <f t="shared" ref="U3:U27" si="3">IF(T3=F3,"TRUE","FALSE")</f>
        <v>TRUE</v>
      </c>
    </row>
    <row r="4" spans="2:21">
      <c r="B4" s="10">
        <v>13</v>
      </c>
      <c r="C4" s="11">
        <v>0</v>
      </c>
      <c r="D4" s="12">
        <v>1</v>
      </c>
      <c r="E4" s="13" t="s">
        <v>44</v>
      </c>
      <c r="F4" s="13">
        <v>1</v>
      </c>
      <c r="H4" s="20">
        <f>VLOOKUP(C4,'CASSEM Pivot'!$B$3:$E$7,2,FALSE)</f>
        <v>0.7142857142857143</v>
      </c>
      <c r="I4" s="20">
        <f>IF(D4="NA", 1, VLOOKUP(D4,'CASSEM Pivot'!$G$3:$J$7,2,FALSE))</f>
        <v>0.8571428571428571</v>
      </c>
      <c r="J4" s="12">
        <f>IF(E4="NA", 1, VLOOKUP(E4,'CASSEM Pivot'!$L$3:$O$7,2,FALSE))</f>
        <v>1</v>
      </c>
      <c r="K4" s="20">
        <f>VLOOKUP(C4,'CASSEM Pivot'!$B$3:$E$7,3,FALSE)</f>
        <v>0.5</v>
      </c>
      <c r="L4" s="20">
        <f>IF(D4="NA", 1, VLOOKUP(D4,'CASSEM Pivot'!$G$3:$J$7,3,FALSE))</f>
        <v>0.84848484848484851</v>
      </c>
      <c r="M4" s="12">
        <f>IF(E4="NA", 1, VLOOKUP(E4,'CASSEM Pivot'!$L$3:$O$7,3,FALSE))</f>
        <v>1</v>
      </c>
      <c r="O4" s="21">
        <f>PRODUCT(H4:J4)*GETPIVOTDATA("Secure",'CASSEM Pivot'!$B$11,"Secure",0)</f>
        <v>8.4033613445378158E-2</v>
      </c>
      <c r="P4" s="21">
        <f>PRODUCT(K4:M4)*GETPIVOTDATA("Secure",'CASSEM Pivot'!$B$11,"Secure",1)</f>
        <v>0.36601307189542487</v>
      </c>
      <c r="R4" s="21">
        <f t="shared" si="0"/>
        <v>0.18672199170124479</v>
      </c>
      <c r="S4" s="21">
        <f t="shared" si="1"/>
        <v>0.81327800829875518</v>
      </c>
      <c r="T4" s="12">
        <f t="shared" si="2"/>
        <v>1</v>
      </c>
      <c r="U4" s="12" t="str">
        <f t="shared" si="3"/>
        <v>TRUE</v>
      </c>
    </row>
    <row r="5" spans="2:21">
      <c r="B5" s="10">
        <v>56</v>
      </c>
      <c r="C5" s="11">
        <v>1</v>
      </c>
      <c r="D5" s="12" t="s">
        <v>44</v>
      </c>
      <c r="E5" s="13" t="s">
        <v>44</v>
      </c>
      <c r="F5" s="13">
        <v>1</v>
      </c>
      <c r="H5" s="20">
        <f>VLOOKUP(C5,'CASSEM Pivot'!$B$3:$E$7,2,FALSE)</f>
        <v>0.2857142857142857</v>
      </c>
      <c r="I5" s="12">
        <f>IF(D5="NA", 1, VLOOKUP(D5,'CASSEM Pivot'!$G$3:$J$7,2,FALSE))</f>
        <v>1</v>
      </c>
      <c r="J5" s="12">
        <f>IF(E5="NA", 1, VLOOKUP(E5,'CASSEM Pivot'!$L$3:$O$7,2,FALSE))</f>
        <v>1</v>
      </c>
      <c r="K5" s="20">
        <f>VLOOKUP(C5,'CASSEM Pivot'!$B$3:$E$7,3,FALSE)</f>
        <v>0.5</v>
      </c>
      <c r="L5" s="12">
        <f>IF(D5="NA", 1, VLOOKUP(D5,'CASSEM Pivot'!$G$3:$J$7,3,FALSE))</f>
        <v>1</v>
      </c>
      <c r="M5" s="12">
        <f>IF(E5="NA", 1, VLOOKUP(E5,'CASSEM Pivot'!$L$3:$O$7,3,FALSE))</f>
        <v>1</v>
      </c>
      <c r="O5" s="21">
        <f>PRODUCT(H5:J5)*GETPIVOTDATA("Secure",'CASSEM Pivot'!$B$11,"Secure",0)</f>
        <v>3.9215686274509803E-2</v>
      </c>
      <c r="P5" s="21">
        <f>PRODUCT(K5:M5)*GETPIVOTDATA("Secure",'CASSEM Pivot'!$B$11,"Secure",1)</f>
        <v>0.43137254901960786</v>
      </c>
      <c r="R5" s="21">
        <f t="shared" si="0"/>
        <v>8.3333333333333329E-2</v>
      </c>
      <c r="S5" s="21">
        <f t="shared" si="1"/>
        <v>0.91666666666666674</v>
      </c>
      <c r="T5" s="12">
        <f t="shared" si="2"/>
        <v>1</v>
      </c>
      <c r="U5" s="12" t="str">
        <f t="shared" si="3"/>
        <v>TRUE</v>
      </c>
    </row>
    <row r="6" spans="2:21">
      <c r="B6" s="10">
        <v>19</v>
      </c>
      <c r="C6" s="11">
        <v>0</v>
      </c>
      <c r="D6" s="12">
        <v>0</v>
      </c>
      <c r="E6" s="13">
        <v>1</v>
      </c>
      <c r="F6" s="13">
        <v>1</v>
      </c>
      <c r="H6" s="20">
        <f>VLOOKUP(C6,'CASSEM Pivot'!$B$3:$E$7,2,FALSE)</f>
        <v>0.7142857142857143</v>
      </c>
      <c r="I6" s="20">
        <f>IF(D6="NA", 1, VLOOKUP(D6,'CASSEM Pivot'!$G$3:$J$7,2,FALSE))</f>
        <v>0.14285714285714285</v>
      </c>
      <c r="J6" s="20">
        <f>IF(E6="NA", 1, VLOOKUP(E6,'CASSEM Pivot'!$L$3:$O$7,2,FALSE))</f>
        <v>0.16666666666666666</v>
      </c>
      <c r="K6" s="20">
        <f>VLOOKUP(C6,'CASSEM Pivot'!$B$3:$E$7,3,FALSE)</f>
        <v>0.5</v>
      </c>
      <c r="L6" s="20">
        <f>IF(D6="NA", 1, VLOOKUP(D6,'CASSEM Pivot'!$G$3:$J$7,3,FALSE))</f>
        <v>0.15151515151515152</v>
      </c>
      <c r="M6" s="20">
        <f>IF(E6="NA", 1, VLOOKUP(E6,'CASSEM Pivot'!$L$3:$O$7,3,FALSE))</f>
        <v>0.43902439024390244</v>
      </c>
      <c r="O6" s="21">
        <f>PRODUCT(H6:J6)*GETPIVOTDATA("Secure",'CASSEM Pivot'!$B$11,"Secure",0)</f>
        <v>2.334267040149393E-3</v>
      </c>
      <c r="P6" s="21">
        <f>PRODUCT(K6:M6)*GETPIVOTDATA("Secure",'CASSEM Pivot'!$B$11,"Secure",1)</f>
        <v>2.8694404591104741E-2</v>
      </c>
      <c r="R6" s="21">
        <f t="shared" si="0"/>
        <v>7.5229357798165128E-2</v>
      </c>
      <c r="S6" s="21">
        <f t="shared" si="1"/>
        <v>0.92477064220183491</v>
      </c>
      <c r="T6" s="12">
        <f t="shared" si="2"/>
        <v>1</v>
      </c>
      <c r="U6" s="12" t="str">
        <f t="shared" si="3"/>
        <v>TRUE</v>
      </c>
    </row>
    <row r="7" spans="2:21">
      <c r="B7" s="10">
        <v>15</v>
      </c>
      <c r="C7" s="11">
        <v>1</v>
      </c>
      <c r="D7" s="12">
        <v>1</v>
      </c>
      <c r="E7" s="13">
        <v>0</v>
      </c>
      <c r="F7" s="13">
        <v>1</v>
      </c>
      <c r="H7" s="20">
        <f>VLOOKUP(C7,'CASSEM Pivot'!$B$3:$E$7,2,FALSE)</f>
        <v>0.2857142857142857</v>
      </c>
      <c r="I7" s="20">
        <f>IF(D7="NA", 1, VLOOKUP(D7,'CASSEM Pivot'!$G$3:$J$7,2,FALSE))</f>
        <v>0.8571428571428571</v>
      </c>
      <c r="J7" s="20">
        <f>IF(E7="NA", 1, VLOOKUP(E7,'CASSEM Pivot'!$L$3:$O$7,2,FALSE))</f>
        <v>0.83333333333333337</v>
      </c>
      <c r="K7" s="20">
        <f>VLOOKUP(C7,'CASSEM Pivot'!$B$3:$E$7,3,FALSE)</f>
        <v>0.5</v>
      </c>
      <c r="L7" s="20">
        <f>IF(D7="NA", 1, VLOOKUP(D7,'CASSEM Pivot'!$G$3:$J$7,3,FALSE))</f>
        <v>0.84848484848484851</v>
      </c>
      <c r="M7" s="20">
        <f>IF(E7="NA", 1, VLOOKUP(E7,'CASSEM Pivot'!$L$3:$O$7,3,FALSE))</f>
        <v>0.56097560975609762</v>
      </c>
      <c r="O7" s="21">
        <f>PRODUCT(H7:J7)*GETPIVOTDATA("Secure",'CASSEM Pivot'!$B$11,"Secure",0)</f>
        <v>2.8011204481792715E-2</v>
      </c>
      <c r="P7" s="21">
        <f>PRODUCT(K7:M7)*GETPIVOTDATA("Secure",'CASSEM Pivot'!$B$11,"Secure",1)</f>
        <v>0.20532440618523837</v>
      </c>
      <c r="R7" s="21">
        <f t="shared" si="0"/>
        <v>0.1200468475502635</v>
      </c>
      <c r="S7" s="21">
        <f t="shared" si="1"/>
        <v>0.8799531524497366</v>
      </c>
      <c r="T7" s="12">
        <f t="shared" si="2"/>
        <v>1</v>
      </c>
      <c r="U7" s="12" t="str">
        <f t="shared" si="3"/>
        <v>TRUE</v>
      </c>
    </row>
    <row r="8" spans="2:21">
      <c r="B8" s="10">
        <v>21</v>
      </c>
      <c r="C8" s="11">
        <v>0</v>
      </c>
      <c r="D8" s="12" t="s">
        <v>44</v>
      </c>
      <c r="E8" s="13" t="s">
        <v>44</v>
      </c>
      <c r="F8" s="13">
        <v>1</v>
      </c>
      <c r="H8" s="20">
        <f>VLOOKUP(C8,'CASSEM Pivot'!$B$3:$E$7,2,FALSE)</f>
        <v>0.7142857142857143</v>
      </c>
      <c r="I8" s="12">
        <f>IF(D8="NA", 1, VLOOKUP(D8,'CASSEM Pivot'!$G$3:$J$7,2,FALSE))</f>
        <v>1</v>
      </c>
      <c r="J8" s="12">
        <f>IF(E8="NA", 1, VLOOKUP(E8,'CASSEM Pivot'!$L$3:$O$7,2,FALSE))</f>
        <v>1</v>
      </c>
      <c r="K8" s="20">
        <f>VLOOKUP(C8,'CASSEM Pivot'!$B$3:$E$7,3,FALSE)</f>
        <v>0.5</v>
      </c>
      <c r="L8" s="12">
        <f>IF(D8="NA", 1, VLOOKUP(D8,'CASSEM Pivot'!$G$3:$J$7,3,FALSE))</f>
        <v>1</v>
      </c>
      <c r="M8" s="12">
        <f>IF(E8="NA", 1, VLOOKUP(E8,'CASSEM Pivot'!$L$3:$O$7,3,FALSE))</f>
        <v>1</v>
      </c>
      <c r="O8" s="21">
        <f>PRODUCT(H8:J8)*GETPIVOTDATA("Secure",'CASSEM Pivot'!$B$11,"Secure",0)</f>
        <v>9.8039215686274522E-2</v>
      </c>
      <c r="P8" s="21">
        <f>PRODUCT(K8:M8)*GETPIVOTDATA("Secure",'CASSEM Pivot'!$B$11,"Secure",1)</f>
        <v>0.43137254901960786</v>
      </c>
      <c r="R8" s="21">
        <f t="shared" si="0"/>
        <v>0.1851851851851852</v>
      </c>
      <c r="S8" s="21">
        <f t="shared" si="1"/>
        <v>0.81481481481481488</v>
      </c>
      <c r="T8" s="12">
        <f t="shared" si="2"/>
        <v>1</v>
      </c>
      <c r="U8" s="12" t="str">
        <f t="shared" si="3"/>
        <v>TRUE</v>
      </c>
    </row>
    <row r="9" spans="2:21">
      <c r="B9" s="10">
        <v>52</v>
      </c>
      <c r="C9" s="11">
        <v>0</v>
      </c>
      <c r="D9" s="12">
        <v>1</v>
      </c>
      <c r="E9" s="13">
        <v>1</v>
      </c>
      <c r="F9" s="13">
        <v>1</v>
      </c>
      <c r="H9" s="20">
        <f>VLOOKUP(C9,'CASSEM Pivot'!$B$3:$E$7,2,FALSE)</f>
        <v>0.7142857142857143</v>
      </c>
      <c r="I9" s="20">
        <f>IF(D9="NA", 1, VLOOKUP(D9,'CASSEM Pivot'!$G$3:$J$7,2,FALSE))</f>
        <v>0.8571428571428571</v>
      </c>
      <c r="J9" s="20">
        <f>IF(E9="NA", 1, VLOOKUP(E9,'CASSEM Pivot'!$L$3:$O$7,2,FALSE))</f>
        <v>0.16666666666666666</v>
      </c>
      <c r="K9" s="20">
        <f>VLOOKUP(C9,'CASSEM Pivot'!$B$3:$E$7,3,FALSE)</f>
        <v>0.5</v>
      </c>
      <c r="L9" s="20">
        <f>IF(D9="NA", 1, VLOOKUP(D9,'CASSEM Pivot'!$G$3:$J$7,3,FALSE))</f>
        <v>0.84848484848484851</v>
      </c>
      <c r="M9" s="20">
        <f>IF(E9="NA", 1, VLOOKUP(E9,'CASSEM Pivot'!$L$3:$O$7,3,FALSE))</f>
        <v>0.43902439024390244</v>
      </c>
      <c r="O9" s="21">
        <f>PRODUCT(H9:J9)*GETPIVOTDATA("Secure",'CASSEM Pivot'!$B$11,"Secure",0)</f>
        <v>1.4005602240896361E-2</v>
      </c>
      <c r="P9" s="21">
        <f>PRODUCT(K9:M9)*GETPIVOTDATA("Secure",'CASSEM Pivot'!$B$11,"Secure",1)</f>
        <v>0.16068866571018653</v>
      </c>
      <c r="R9" s="21">
        <f t="shared" si="0"/>
        <v>8.0172076652326951E-2</v>
      </c>
      <c r="S9" s="21">
        <f t="shared" si="1"/>
        <v>0.91982792334767305</v>
      </c>
      <c r="T9" s="12">
        <f t="shared" si="2"/>
        <v>1</v>
      </c>
      <c r="U9" s="12" t="str">
        <f t="shared" si="3"/>
        <v>TRUE</v>
      </c>
    </row>
    <row r="10" spans="2:21">
      <c r="B10" s="10">
        <v>42</v>
      </c>
      <c r="C10" s="11">
        <v>0</v>
      </c>
      <c r="D10" s="12">
        <v>1</v>
      </c>
      <c r="E10" s="13">
        <v>0</v>
      </c>
      <c r="F10" s="13">
        <v>1</v>
      </c>
      <c r="H10" s="20">
        <f>VLOOKUP(C10,'CASSEM Pivot'!$B$3:$E$7,2,FALSE)</f>
        <v>0.7142857142857143</v>
      </c>
      <c r="I10" s="20">
        <f>IF(D10="NA", 1, VLOOKUP(D10,'CASSEM Pivot'!$G$3:$J$7,2,FALSE))</f>
        <v>0.8571428571428571</v>
      </c>
      <c r="J10" s="20">
        <f>IF(E10="NA", 1, VLOOKUP(E10,'CASSEM Pivot'!$L$3:$O$7,2,FALSE))</f>
        <v>0.83333333333333337</v>
      </c>
      <c r="K10" s="20">
        <f>VLOOKUP(C10,'CASSEM Pivot'!$B$3:$E$7,3,FALSE)</f>
        <v>0.5</v>
      </c>
      <c r="L10" s="20">
        <f>IF(D10="NA", 1, VLOOKUP(D10,'CASSEM Pivot'!$G$3:$J$7,3,FALSE))</f>
        <v>0.84848484848484851</v>
      </c>
      <c r="M10" s="20">
        <f>IF(E10="NA", 1, VLOOKUP(E10,'CASSEM Pivot'!$L$3:$O$7,3,FALSE))</f>
        <v>0.56097560975609762</v>
      </c>
      <c r="O10" s="21">
        <f>PRODUCT(H10:J10)*GETPIVOTDATA("Secure",'CASSEM Pivot'!$B$11,"Secure",0)</f>
        <v>7.0028011204481794E-2</v>
      </c>
      <c r="P10" s="21">
        <f>PRODUCT(K10:M10)*GETPIVOTDATA("Secure",'CASSEM Pivot'!$B$11,"Secure",1)</f>
        <v>0.20532440618523837</v>
      </c>
      <c r="R10" s="21">
        <f t="shared" si="0"/>
        <v>0.2543213960797287</v>
      </c>
      <c r="S10" s="21">
        <f t="shared" si="1"/>
        <v>0.7456786039202713</v>
      </c>
      <c r="T10" s="12">
        <f t="shared" si="2"/>
        <v>1</v>
      </c>
      <c r="U10" s="12" t="str">
        <f t="shared" si="3"/>
        <v>TRUE</v>
      </c>
    </row>
    <row r="11" spans="2:21">
      <c r="B11" s="10">
        <v>24</v>
      </c>
      <c r="C11" s="11">
        <v>1</v>
      </c>
      <c r="D11" s="12">
        <v>1</v>
      </c>
      <c r="E11" s="13">
        <v>0</v>
      </c>
      <c r="F11" s="13">
        <v>1</v>
      </c>
      <c r="H11" s="20">
        <f>VLOOKUP(C11,'CASSEM Pivot'!$B$3:$E$7,2,FALSE)</f>
        <v>0.2857142857142857</v>
      </c>
      <c r="I11" s="20">
        <f>IF(D11="NA", 1, VLOOKUP(D11,'CASSEM Pivot'!$G$3:$J$7,2,FALSE))</f>
        <v>0.8571428571428571</v>
      </c>
      <c r="J11" s="20">
        <f>IF(E11="NA", 1, VLOOKUP(E11,'CASSEM Pivot'!$L$3:$O$7,2,FALSE))</f>
        <v>0.83333333333333337</v>
      </c>
      <c r="K11" s="20">
        <f>VLOOKUP(C11,'CASSEM Pivot'!$B$3:$E$7,3,FALSE)</f>
        <v>0.5</v>
      </c>
      <c r="L11" s="20">
        <f>IF(D11="NA", 1, VLOOKUP(D11,'CASSEM Pivot'!$G$3:$J$7,3,FALSE))</f>
        <v>0.84848484848484851</v>
      </c>
      <c r="M11" s="20">
        <f>IF(E11="NA", 1, VLOOKUP(E11,'CASSEM Pivot'!$L$3:$O$7,3,FALSE))</f>
        <v>0.56097560975609762</v>
      </c>
      <c r="O11" s="21">
        <f>PRODUCT(H11:J11)*GETPIVOTDATA("Secure",'CASSEM Pivot'!$B$11,"Secure",0)</f>
        <v>2.8011204481792715E-2</v>
      </c>
      <c r="P11" s="21">
        <f>PRODUCT(K11:M11)*GETPIVOTDATA("Secure",'CASSEM Pivot'!$B$11,"Secure",1)</f>
        <v>0.20532440618523837</v>
      </c>
      <c r="R11" s="21">
        <f t="shared" si="0"/>
        <v>0.1200468475502635</v>
      </c>
      <c r="S11" s="21">
        <f t="shared" si="1"/>
        <v>0.8799531524497366</v>
      </c>
      <c r="T11" s="12">
        <f t="shared" si="2"/>
        <v>1</v>
      </c>
      <c r="U11" s="12" t="str">
        <f t="shared" si="3"/>
        <v>TRUE</v>
      </c>
    </row>
    <row r="12" spans="2:21">
      <c r="B12" s="10">
        <v>25</v>
      </c>
      <c r="C12" s="11">
        <v>0</v>
      </c>
      <c r="D12" s="12">
        <v>1</v>
      </c>
      <c r="E12" s="13">
        <v>1</v>
      </c>
      <c r="F12" s="13">
        <v>1</v>
      </c>
      <c r="H12" s="20">
        <f>VLOOKUP(C12,'CASSEM Pivot'!$B$3:$E$7,2,FALSE)</f>
        <v>0.7142857142857143</v>
      </c>
      <c r="I12" s="20">
        <f>IF(D12="NA", 1, VLOOKUP(D12,'CASSEM Pivot'!$G$3:$J$7,2,FALSE))</f>
        <v>0.8571428571428571</v>
      </c>
      <c r="J12" s="20">
        <f>IF(E12="NA", 1, VLOOKUP(E12,'CASSEM Pivot'!$L$3:$O$7,2,FALSE))</f>
        <v>0.16666666666666666</v>
      </c>
      <c r="K12" s="20">
        <f>VLOOKUP(C12,'CASSEM Pivot'!$B$3:$E$7,3,FALSE)</f>
        <v>0.5</v>
      </c>
      <c r="L12" s="20">
        <f>IF(D12="NA", 1, VLOOKUP(D12,'CASSEM Pivot'!$G$3:$J$7,3,FALSE))</f>
        <v>0.84848484848484851</v>
      </c>
      <c r="M12" s="20">
        <f>IF(E12="NA", 1, VLOOKUP(E12,'CASSEM Pivot'!$L$3:$O$7,3,FALSE))</f>
        <v>0.43902439024390244</v>
      </c>
      <c r="O12" s="21">
        <f>PRODUCT(H12:J12)*GETPIVOTDATA("Secure",'CASSEM Pivot'!$B$11,"Secure",0)</f>
        <v>1.4005602240896361E-2</v>
      </c>
      <c r="P12" s="21">
        <f>PRODUCT(K12:M12)*GETPIVOTDATA("Secure",'CASSEM Pivot'!$B$11,"Secure",1)</f>
        <v>0.16068866571018653</v>
      </c>
      <c r="R12" s="21">
        <f t="shared" si="0"/>
        <v>8.0172076652326951E-2</v>
      </c>
      <c r="S12" s="21">
        <f t="shared" si="1"/>
        <v>0.91982792334767305</v>
      </c>
      <c r="T12" s="12">
        <f t="shared" si="2"/>
        <v>1</v>
      </c>
      <c r="U12" s="12" t="str">
        <f t="shared" si="3"/>
        <v>TRUE</v>
      </c>
    </row>
    <row r="13" spans="2:21">
      <c r="B13" s="10">
        <v>3</v>
      </c>
      <c r="C13" s="11">
        <v>0</v>
      </c>
      <c r="D13" s="12">
        <v>1</v>
      </c>
      <c r="E13" s="13">
        <v>1</v>
      </c>
      <c r="F13" s="13">
        <v>1</v>
      </c>
      <c r="H13" s="20">
        <f>VLOOKUP(C13,'CASSEM Pivot'!$B$3:$E$7,2,FALSE)</f>
        <v>0.7142857142857143</v>
      </c>
      <c r="I13" s="20">
        <f>IF(D13="NA", 1, VLOOKUP(D13,'CASSEM Pivot'!$G$3:$J$7,2,FALSE))</f>
        <v>0.8571428571428571</v>
      </c>
      <c r="J13" s="20">
        <f>IF(E13="NA", 1, VLOOKUP(E13,'CASSEM Pivot'!$L$3:$O$7,2,FALSE))</f>
        <v>0.16666666666666666</v>
      </c>
      <c r="K13" s="20">
        <f>VLOOKUP(C13,'CASSEM Pivot'!$B$3:$E$7,3,FALSE)</f>
        <v>0.5</v>
      </c>
      <c r="L13" s="20">
        <f>IF(D13="NA", 1, VLOOKUP(D13,'CASSEM Pivot'!$G$3:$J$7,3,FALSE))</f>
        <v>0.84848484848484851</v>
      </c>
      <c r="M13" s="20">
        <f>IF(E13="NA", 1, VLOOKUP(E13,'CASSEM Pivot'!$L$3:$O$7,3,FALSE))</f>
        <v>0.43902439024390244</v>
      </c>
      <c r="O13" s="21">
        <f>PRODUCT(H13:J13)*GETPIVOTDATA("Secure",'CASSEM Pivot'!$B$11,"Secure",0)</f>
        <v>1.4005602240896361E-2</v>
      </c>
      <c r="P13" s="21">
        <f>PRODUCT(K13:M13)*GETPIVOTDATA("Secure",'CASSEM Pivot'!$B$11,"Secure",1)</f>
        <v>0.16068866571018653</v>
      </c>
      <c r="R13" s="21">
        <f t="shared" si="0"/>
        <v>8.0172076652326951E-2</v>
      </c>
      <c r="S13" s="21">
        <f t="shared" si="1"/>
        <v>0.91982792334767305</v>
      </c>
      <c r="T13" s="12">
        <f t="shared" si="2"/>
        <v>1</v>
      </c>
      <c r="U13" s="12" t="str">
        <f t="shared" si="3"/>
        <v>TRUE</v>
      </c>
    </row>
    <row r="14" spans="2:21">
      <c r="B14" s="10">
        <v>17</v>
      </c>
      <c r="C14" s="11">
        <v>1</v>
      </c>
      <c r="D14" s="12">
        <v>1</v>
      </c>
      <c r="E14" s="13">
        <v>1</v>
      </c>
      <c r="F14" s="13">
        <v>1</v>
      </c>
      <c r="H14" s="20">
        <f>VLOOKUP(C14,'CASSEM Pivot'!$B$3:$E$7,2,FALSE)</f>
        <v>0.2857142857142857</v>
      </c>
      <c r="I14" s="20">
        <f>IF(D14="NA", 1, VLOOKUP(D14,'CASSEM Pivot'!$G$3:$J$7,2,FALSE))</f>
        <v>0.8571428571428571</v>
      </c>
      <c r="J14" s="20">
        <f>IF(E14="NA", 1, VLOOKUP(E14,'CASSEM Pivot'!$L$3:$O$7,2,FALSE))</f>
        <v>0.16666666666666666</v>
      </c>
      <c r="K14" s="20">
        <f>VLOOKUP(C14,'CASSEM Pivot'!$B$3:$E$7,3,FALSE)</f>
        <v>0.5</v>
      </c>
      <c r="L14" s="20">
        <f>IF(D14="NA", 1, VLOOKUP(D14,'CASSEM Pivot'!$G$3:$J$7,3,FALSE))</f>
        <v>0.84848484848484851</v>
      </c>
      <c r="M14" s="20">
        <f>IF(E14="NA", 1, VLOOKUP(E14,'CASSEM Pivot'!$L$3:$O$7,3,FALSE))</f>
        <v>0.43902439024390244</v>
      </c>
      <c r="O14" s="21">
        <f>PRODUCT(H14:J14)*GETPIVOTDATA("Secure",'CASSEM Pivot'!$B$11,"Secure",0)</f>
        <v>5.6022408963585426E-3</v>
      </c>
      <c r="P14" s="21">
        <f>PRODUCT(K14:M14)*GETPIVOTDATA("Secure",'CASSEM Pivot'!$B$11,"Secure",1)</f>
        <v>0.16068866571018653</v>
      </c>
      <c r="R14" s="21">
        <f t="shared" si="0"/>
        <v>3.368940016433853E-2</v>
      </c>
      <c r="S14" s="21">
        <f t="shared" si="1"/>
        <v>0.96631059983566137</v>
      </c>
      <c r="T14" s="12">
        <f t="shared" si="2"/>
        <v>1</v>
      </c>
      <c r="U14" s="12" t="str">
        <f t="shared" si="3"/>
        <v>TRUE</v>
      </c>
    </row>
    <row r="15" spans="2:21">
      <c r="B15" s="10">
        <v>18</v>
      </c>
      <c r="C15" s="11">
        <v>1</v>
      </c>
      <c r="D15" s="12">
        <v>0</v>
      </c>
      <c r="E15" s="13">
        <v>1</v>
      </c>
      <c r="F15" s="13">
        <v>1</v>
      </c>
      <c r="H15" s="20">
        <f>VLOOKUP(C15,'CASSEM Pivot'!$B$3:$E$7,2,FALSE)</f>
        <v>0.2857142857142857</v>
      </c>
      <c r="I15" s="20">
        <f>IF(D15="NA", 1, VLOOKUP(D15,'CASSEM Pivot'!$G$3:$J$7,2,FALSE))</f>
        <v>0.14285714285714285</v>
      </c>
      <c r="J15" s="20">
        <f>IF(E15="NA", 1, VLOOKUP(E15,'CASSEM Pivot'!$L$3:$O$7,2,FALSE))</f>
        <v>0.16666666666666666</v>
      </c>
      <c r="K15" s="20">
        <f>VLOOKUP(C15,'CASSEM Pivot'!$B$3:$E$7,3,FALSE)</f>
        <v>0.5</v>
      </c>
      <c r="L15" s="20">
        <f>IF(D15="NA", 1, VLOOKUP(D15,'CASSEM Pivot'!$G$3:$J$7,3,FALSE))</f>
        <v>0.15151515151515152</v>
      </c>
      <c r="M15" s="20">
        <f>IF(E15="NA", 1, VLOOKUP(E15,'CASSEM Pivot'!$L$3:$O$7,3,FALSE))</f>
        <v>0.43902439024390244</v>
      </c>
      <c r="O15" s="21">
        <f>PRODUCT(H15:J15)*GETPIVOTDATA("Secure",'CASSEM Pivot'!$B$11,"Secure",0)</f>
        <v>9.3370681605975717E-4</v>
      </c>
      <c r="P15" s="21">
        <f>PRODUCT(K15:M15)*GETPIVOTDATA("Secure",'CASSEM Pivot'!$B$11,"Secure",1)</f>
        <v>2.8694404591104741E-2</v>
      </c>
      <c r="R15" s="21">
        <f t="shared" si="0"/>
        <v>3.1514219830899297E-2</v>
      </c>
      <c r="S15" s="21">
        <f t="shared" si="1"/>
        <v>0.9684857801691007</v>
      </c>
      <c r="T15" s="12">
        <f t="shared" si="2"/>
        <v>1</v>
      </c>
      <c r="U15" s="12" t="str">
        <f t="shared" si="3"/>
        <v>TRUE</v>
      </c>
    </row>
    <row r="16" spans="2:21">
      <c r="B16" s="10">
        <v>28</v>
      </c>
      <c r="C16" s="11">
        <v>0</v>
      </c>
      <c r="D16" s="12" t="s">
        <v>44</v>
      </c>
      <c r="E16" s="13">
        <v>1</v>
      </c>
      <c r="F16" s="13">
        <v>1</v>
      </c>
      <c r="H16" s="20">
        <f>VLOOKUP(C16,'CASSEM Pivot'!$B$3:$E$7,2,FALSE)</f>
        <v>0.7142857142857143</v>
      </c>
      <c r="I16" s="12">
        <f>IF(D16="NA", 1, VLOOKUP(D16,'CASSEM Pivot'!$G$3:$J$7,2,FALSE))</f>
        <v>1</v>
      </c>
      <c r="J16" s="20">
        <f>IF(E16="NA", 1, VLOOKUP(E16,'CASSEM Pivot'!$L$3:$O$7,2,FALSE))</f>
        <v>0.16666666666666666</v>
      </c>
      <c r="K16" s="20">
        <f>VLOOKUP(C16,'CASSEM Pivot'!$B$3:$E$7,3,FALSE)</f>
        <v>0.5</v>
      </c>
      <c r="L16" s="12">
        <f>IF(D16="NA", 1, VLOOKUP(D16,'CASSEM Pivot'!$G$3:$J$7,3,FALSE))</f>
        <v>1</v>
      </c>
      <c r="M16" s="20">
        <f>IF(E16="NA", 1, VLOOKUP(E16,'CASSEM Pivot'!$L$3:$O$7,3,FALSE))</f>
        <v>0.43902439024390244</v>
      </c>
      <c r="O16" s="21">
        <f>PRODUCT(H16:J16)*GETPIVOTDATA("Secure",'CASSEM Pivot'!$B$11,"Secure",0)</f>
        <v>1.6339869281045753E-2</v>
      </c>
      <c r="P16" s="21">
        <f>PRODUCT(K16:M16)*GETPIVOTDATA("Secure",'CASSEM Pivot'!$B$11,"Secure",1)</f>
        <v>0.18938307030129126</v>
      </c>
      <c r="R16" s="21">
        <f t="shared" si="0"/>
        <v>7.9426578845408755E-2</v>
      </c>
      <c r="S16" s="21">
        <f t="shared" si="1"/>
        <v>0.92057342115459129</v>
      </c>
      <c r="T16" s="12">
        <f t="shared" si="2"/>
        <v>1</v>
      </c>
      <c r="U16" s="12" t="str">
        <f t="shared" si="3"/>
        <v>TRUE</v>
      </c>
    </row>
    <row r="17" spans="2:21">
      <c r="B17" s="10">
        <v>29</v>
      </c>
      <c r="C17" s="11">
        <v>0</v>
      </c>
      <c r="D17" s="12" t="s">
        <v>44</v>
      </c>
      <c r="E17" s="13">
        <v>0</v>
      </c>
      <c r="F17" s="13">
        <v>1</v>
      </c>
      <c r="H17" s="20">
        <f>VLOOKUP(C17,'CASSEM Pivot'!$B$3:$E$7,2,FALSE)</f>
        <v>0.7142857142857143</v>
      </c>
      <c r="I17" s="12">
        <f>IF(D17="NA", 1, VLOOKUP(D17,'CASSEM Pivot'!$G$3:$J$7,2,FALSE))</f>
        <v>1</v>
      </c>
      <c r="J17" s="20">
        <f>IF(E17="NA", 1, VLOOKUP(E17,'CASSEM Pivot'!$L$3:$O$7,2,FALSE))</f>
        <v>0.83333333333333337</v>
      </c>
      <c r="K17" s="20">
        <f>VLOOKUP(C17,'CASSEM Pivot'!$B$3:$E$7,3,FALSE)</f>
        <v>0.5</v>
      </c>
      <c r="L17" s="12">
        <f>IF(D17="NA", 1, VLOOKUP(D17,'CASSEM Pivot'!$G$3:$J$7,3,FALSE))</f>
        <v>1</v>
      </c>
      <c r="M17" s="20">
        <f>IF(E17="NA", 1, VLOOKUP(E17,'CASSEM Pivot'!$L$3:$O$7,3,FALSE))</f>
        <v>0.56097560975609762</v>
      </c>
      <c r="O17" s="21">
        <f>PRODUCT(H17:J17)*GETPIVOTDATA("Secure",'CASSEM Pivot'!$B$11,"Secure",0)</f>
        <v>8.1699346405228759E-2</v>
      </c>
      <c r="P17" s="21">
        <f>PRODUCT(K17:M17)*GETPIVOTDATA("Secure",'CASSEM Pivot'!$B$11,"Secure",1)</f>
        <v>0.24198947871831664</v>
      </c>
      <c r="R17" s="21">
        <f t="shared" si="0"/>
        <v>0.25240088648116221</v>
      </c>
      <c r="S17" s="21">
        <f t="shared" si="1"/>
        <v>0.74759911351883768</v>
      </c>
      <c r="T17" s="12">
        <f t="shared" si="2"/>
        <v>1</v>
      </c>
      <c r="U17" s="12" t="str">
        <f t="shared" si="3"/>
        <v>TRUE</v>
      </c>
    </row>
    <row r="18" spans="2:21">
      <c r="B18" s="10">
        <v>22</v>
      </c>
      <c r="C18" s="11">
        <v>1</v>
      </c>
      <c r="D18" s="12" t="s">
        <v>44</v>
      </c>
      <c r="E18" s="13" t="s">
        <v>44</v>
      </c>
      <c r="F18" s="13">
        <v>1</v>
      </c>
      <c r="H18" s="20">
        <f>VLOOKUP(C18,'CASSEM Pivot'!$B$3:$E$7,2,FALSE)</f>
        <v>0.2857142857142857</v>
      </c>
      <c r="I18" s="12">
        <f>IF(D18="NA", 1, VLOOKUP(D18,'CASSEM Pivot'!$G$3:$J$7,2,FALSE))</f>
        <v>1</v>
      </c>
      <c r="J18" s="12">
        <f>IF(E18="NA", 1, VLOOKUP(E18,'CASSEM Pivot'!$L$3:$O$7,2,FALSE))</f>
        <v>1</v>
      </c>
      <c r="K18" s="20">
        <f>VLOOKUP(C18,'CASSEM Pivot'!$B$3:$E$7,3,FALSE)</f>
        <v>0.5</v>
      </c>
      <c r="L18" s="12">
        <f>IF(D18="NA", 1, VLOOKUP(D18,'CASSEM Pivot'!$G$3:$J$7,3,FALSE))</f>
        <v>1</v>
      </c>
      <c r="M18" s="12">
        <f>IF(E18="NA", 1, VLOOKUP(E18,'CASSEM Pivot'!$L$3:$O$7,3,FALSE))</f>
        <v>1</v>
      </c>
      <c r="O18" s="21">
        <f>PRODUCT(H18:J18)*GETPIVOTDATA("Secure",'CASSEM Pivot'!$B$11,"Secure",0)</f>
        <v>3.9215686274509803E-2</v>
      </c>
      <c r="P18" s="21">
        <f>PRODUCT(K18:M18)*GETPIVOTDATA("Secure",'CASSEM Pivot'!$B$11,"Secure",1)</f>
        <v>0.43137254901960786</v>
      </c>
      <c r="R18" s="21">
        <f t="shared" si="0"/>
        <v>8.3333333333333329E-2</v>
      </c>
      <c r="S18" s="21">
        <f t="shared" si="1"/>
        <v>0.91666666666666674</v>
      </c>
      <c r="T18" s="12">
        <f t="shared" si="2"/>
        <v>1</v>
      </c>
      <c r="U18" s="12" t="str">
        <f t="shared" si="3"/>
        <v>TRUE</v>
      </c>
    </row>
    <row r="19" spans="2:21">
      <c r="B19" s="10">
        <v>11</v>
      </c>
      <c r="C19" s="11">
        <v>0</v>
      </c>
      <c r="D19" s="12">
        <v>1</v>
      </c>
      <c r="E19" s="13">
        <v>1</v>
      </c>
      <c r="F19" s="13">
        <v>1</v>
      </c>
      <c r="H19" s="20">
        <f>VLOOKUP(C19,'CASSEM Pivot'!$B$3:$E$7,2,FALSE)</f>
        <v>0.7142857142857143</v>
      </c>
      <c r="I19" s="20">
        <f>IF(D19="NA", 1, VLOOKUP(D19,'CASSEM Pivot'!$G$3:$J$7,2,FALSE))</f>
        <v>0.8571428571428571</v>
      </c>
      <c r="J19" s="20">
        <f>IF(E19="NA", 1, VLOOKUP(E19,'CASSEM Pivot'!$L$3:$O$7,2,FALSE))</f>
        <v>0.16666666666666666</v>
      </c>
      <c r="K19" s="20">
        <f>VLOOKUP(C19,'CASSEM Pivot'!$B$3:$E$7,3,FALSE)</f>
        <v>0.5</v>
      </c>
      <c r="L19" s="20">
        <f>IF(D19="NA", 1, VLOOKUP(D19,'CASSEM Pivot'!$G$3:$J$7,3,FALSE))</f>
        <v>0.84848484848484851</v>
      </c>
      <c r="M19" s="20">
        <f>IF(E19="NA", 1, VLOOKUP(E19,'CASSEM Pivot'!$L$3:$O$7,3,FALSE))</f>
        <v>0.43902439024390244</v>
      </c>
      <c r="O19" s="21">
        <f>PRODUCT(H19:J19)*GETPIVOTDATA("Secure",'CASSEM Pivot'!$B$11,"Secure",0)</f>
        <v>1.4005602240896361E-2</v>
      </c>
      <c r="P19" s="21">
        <f>PRODUCT(K19:M19)*GETPIVOTDATA("Secure",'CASSEM Pivot'!$B$11,"Secure",1)</f>
        <v>0.16068866571018653</v>
      </c>
      <c r="R19" s="21">
        <f t="shared" si="0"/>
        <v>8.0172076652326951E-2</v>
      </c>
      <c r="S19" s="21">
        <f t="shared" si="1"/>
        <v>0.91982792334767305</v>
      </c>
      <c r="T19" s="12">
        <f t="shared" si="2"/>
        <v>1</v>
      </c>
      <c r="U19" s="12" t="str">
        <f t="shared" si="3"/>
        <v>TRUE</v>
      </c>
    </row>
    <row r="20" spans="2:21">
      <c r="B20" s="10">
        <v>43</v>
      </c>
      <c r="C20" s="11">
        <v>0</v>
      </c>
      <c r="D20" s="12">
        <v>0</v>
      </c>
      <c r="E20" s="13">
        <v>0</v>
      </c>
      <c r="F20" s="13">
        <v>1</v>
      </c>
      <c r="H20" s="20">
        <f>VLOOKUP(C20,'CASSEM Pivot'!$B$3:$E$7,2,FALSE)</f>
        <v>0.7142857142857143</v>
      </c>
      <c r="I20" s="20">
        <f>IF(D20="NA", 1, VLOOKUP(D20,'CASSEM Pivot'!$G$3:$J$7,2,FALSE))</f>
        <v>0.14285714285714285</v>
      </c>
      <c r="J20" s="20">
        <f>IF(E20="NA", 1, VLOOKUP(E20,'CASSEM Pivot'!$L$3:$O$7,2,FALSE))</f>
        <v>0.83333333333333337</v>
      </c>
      <c r="K20" s="20">
        <f>VLOOKUP(C20,'CASSEM Pivot'!$B$3:$E$7,3,FALSE)</f>
        <v>0.5</v>
      </c>
      <c r="L20" s="20">
        <f>IF(D20="NA", 1, VLOOKUP(D20,'CASSEM Pivot'!$G$3:$J$7,3,FALSE))</f>
        <v>0.15151515151515152</v>
      </c>
      <c r="M20" s="20">
        <f>IF(E20="NA", 1, VLOOKUP(E20,'CASSEM Pivot'!$L$3:$O$7,3,FALSE))</f>
        <v>0.56097560975609762</v>
      </c>
      <c r="O20" s="21">
        <f>PRODUCT(H20:J20)*GETPIVOTDATA("Secure",'CASSEM Pivot'!$B$11,"Secure",0)</f>
        <v>1.1671335200746967E-2</v>
      </c>
      <c r="P20" s="21">
        <f>PRODUCT(K20:M20)*GETPIVOTDATA("Secure",'CASSEM Pivot'!$B$11,"Secure",1)</f>
        <v>3.6665072533078276E-2</v>
      </c>
      <c r="R20" s="21">
        <f t="shared" si="0"/>
        <v>0.24146054181389873</v>
      </c>
      <c r="S20" s="21">
        <f t="shared" si="1"/>
        <v>0.75853945818610136</v>
      </c>
      <c r="T20" s="12">
        <f t="shared" si="2"/>
        <v>1</v>
      </c>
      <c r="U20" s="12" t="str">
        <f t="shared" si="3"/>
        <v>TRUE</v>
      </c>
    </row>
    <row r="21" spans="2:21" ht="15.75" customHeight="1">
      <c r="B21" s="10">
        <v>46</v>
      </c>
      <c r="C21" s="11">
        <v>0</v>
      </c>
      <c r="D21" s="12" t="s">
        <v>44</v>
      </c>
      <c r="E21" s="13">
        <v>0</v>
      </c>
      <c r="F21" s="13">
        <v>1</v>
      </c>
      <c r="H21" s="20">
        <f>VLOOKUP(C21,'CASSEM Pivot'!$B$3:$E$7,2,FALSE)</f>
        <v>0.7142857142857143</v>
      </c>
      <c r="I21" s="12">
        <f>IF(D21="NA", 1, VLOOKUP(D21,'CASSEM Pivot'!$G$3:$J$7,2,FALSE))</f>
        <v>1</v>
      </c>
      <c r="J21" s="20">
        <f>IF(E21="NA", 1, VLOOKUP(E21,'CASSEM Pivot'!$L$3:$O$7,2,FALSE))</f>
        <v>0.83333333333333337</v>
      </c>
      <c r="K21" s="20">
        <f>VLOOKUP(C21,'CASSEM Pivot'!$B$3:$E$7,3,FALSE)</f>
        <v>0.5</v>
      </c>
      <c r="L21" s="12">
        <f>IF(D21="NA", 1, VLOOKUP(D21,'CASSEM Pivot'!$G$3:$J$7,3,FALSE))</f>
        <v>1</v>
      </c>
      <c r="M21" s="20">
        <f>IF(E21="NA", 1, VLOOKUP(E21,'CASSEM Pivot'!$L$3:$O$7,3,FALSE))</f>
        <v>0.56097560975609762</v>
      </c>
      <c r="O21" s="21">
        <f>PRODUCT(H21:J21)*GETPIVOTDATA("Secure",'CASSEM Pivot'!$B$11,"Secure",0)</f>
        <v>8.1699346405228759E-2</v>
      </c>
      <c r="P21" s="21">
        <f>PRODUCT(K21:M21)*GETPIVOTDATA("Secure",'CASSEM Pivot'!$B$11,"Secure",1)</f>
        <v>0.24198947871831664</v>
      </c>
      <c r="R21" s="21">
        <f t="shared" si="0"/>
        <v>0.25240088648116221</v>
      </c>
      <c r="S21" s="21">
        <f t="shared" si="1"/>
        <v>0.74759911351883768</v>
      </c>
      <c r="T21" s="12">
        <f t="shared" si="2"/>
        <v>1</v>
      </c>
      <c r="U21" s="12" t="str">
        <f t="shared" si="3"/>
        <v>TRUE</v>
      </c>
    </row>
    <row r="22" spans="2:21" ht="15.75" customHeight="1">
      <c r="B22" s="10">
        <v>32</v>
      </c>
      <c r="C22" s="11">
        <v>1</v>
      </c>
      <c r="D22" s="12">
        <v>1</v>
      </c>
      <c r="E22" s="13">
        <v>0</v>
      </c>
      <c r="F22" s="13">
        <v>1</v>
      </c>
      <c r="H22" s="20">
        <f>VLOOKUP(C22,'CASSEM Pivot'!$B$3:$E$7,2,FALSE)</f>
        <v>0.2857142857142857</v>
      </c>
      <c r="I22" s="20">
        <f>IF(D22="NA", 1, VLOOKUP(D22,'CASSEM Pivot'!$G$3:$J$7,2,FALSE))</f>
        <v>0.8571428571428571</v>
      </c>
      <c r="J22" s="20">
        <f>IF(E22="NA", 1, VLOOKUP(E22,'CASSEM Pivot'!$L$3:$O$7,2,FALSE))</f>
        <v>0.83333333333333337</v>
      </c>
      <c r="K22" s="20">
        <f>VLOOKUP(C22,'CASSEM Pivot'!$B$3:$E$7,3,FALSE)</f>
        <v>0.5</v>
      </c>
      <c r="L22" s="20">
        <f>IF(D22="NA", 1, VLOOKUP(D22,'CASSEM Pivot'!$G$3:$J$7,3,FALSE))</f>
        <v>0.84848484848484851</v>
      </c>
      <c r="M22" s="20">
        <f>IF(E22="NA", 1, VLOOKUP(E22,'CASSEM Pivot'!$L$3:$O$7,3,FALSE))</f>
        <v>0.56097560975609762</v>
      </c>
      <c r="O22" s="21">
        <f>PRODUCT(H22:J22)*GETPIVOTDATA("Secure",'CASSEM Pivot'!$B$11,"Secure",0)</f>
        <v>2.8011204481792715E-2</v>
      </c>
      <c r="P22" s="21">
        <f>PRODUCT(K22:M22)*GETPIVOTDATA("Secure",'CASSEM Pivot'!$B$11,"Secure",1)</f>
        <v>0.20532440618523837</v>
      </c>
      <c r="R22" s="21">
        <f t="shared" si="0"/>
        <v>0.1200468475502635</v>
      </c>
      <c r="S22" s="21">
        <f t="shared" si="1"/>
        <v>0.8799531524497366</v>
      </c>
      <c r="T22" s="12">
        <f t="shared" si="2"/>
        <v>1</v>
      </c>
      <c r="U22" s="12" t="str">
        <f t="shared" si="3"/>
        <v>TRUE</v>
      </c>
    </row>
    <row r="23" spans="2:21" ht="15.75" customHeight="1">
      <c r="B23" s="10">
        <v>47</v>
      </c>
      <c r="C23" s="11">
        <v>1</v>
      </c>
      <c r="D23" s="12" t="s">
        <v>44</v>
      </c>
      <c r="E23" s="13" t="s">
        <v>44</v>
      </c>
      <c r="F23" s="13">
        <v>1</v>
      </c>
      <c r="H23" s="20">
        <f>VLOOKUP(C23,'CASSEM Pivot'!$B$3:$E$7,2,FALSE)</f>
        <v>0.2857142857142857</v>
      </c>
      <c r="I23" s="12">
        <f>IF(D23="NA", 1, VLOOKUP(D23,'CASSEM Pivot'!$G$3:$J$7,2,FALSE))</f>
        <v>1</v>
      </c>
      <c r="J23" s="12">
        <f>IF(E23="NA", 1, VLOOKUP(E23,'CASSEM Pivot'!$L$3:$O$7,2,FALSE))</f>
        <v>1</v>
      </c>
      <c r="K23" s="20">
        <f>VLOOKUP(C23,'CASSEM Pivot'!$B$3:$E$7,3,FALSE)</f>
        <v>0.5</v>
      </c>
      <c r="L23" s="12">
        <f>IF(D23="NA", 1, VLOOKUP(D23,'CASSEM Pivot'!$G$3:$J$7,3,FALSE))</f>
        <v>1</v>
      </c>
      <c r="M23" s="12">
        <f>IF(E23="NA", 1, VLOOKUP(E23,'CASSEM Pivot'!$L$3:$O$7,3,FALSE))</f>
        <v>1</v>
      </c>
      <c r="O23" s="21">
        <f>PRODUCT(H23:J23)*GETPIVOTDATA("Secure",'CASSEM Pivot'!$B$11,"Secure",0)</f>
        <v>3.9215686274509803E-2</v>
      </c>
      <c r="P23" s="21">
        <f>PRODUCT(K23:M23)*GETPIVOTDATA("Secure",'CASSEM Pivot'!$B$11,"Secure",1)</f>
        <v>0.43137254901960786</v>
      </c>
      <c r="R23" s="21">
        <f t="shared" si="0"/>
        <v>8.3333333333333329E-2</v>
      </c>
      <c r="S23" s="21">
        <f t="shared" si="1"/>
        <v>0.91666666666666674</v>
      </c>
      <c r="T23" s="12">
        <f t="shared" si="2"/>
        <v>1</v>
      </c>
      <c r="U23" s="12" t="str">
        <f t="shared" si="3"/>
        <v>TRUE</v>
      </c>
    </row>
    <row r="24" spans="2:21" ht="15.75" customHeight="1">
      <c r="B24" s="10">
        <v>48</v>
      </c>
      <c r="C24" s="11">
        <v>1</v>
      </c>
      <c r="D24" s="12" t="s">
        <v>44</v>
      </c>
      <c r="E24" s="13" t="s">
        <v>44</v>
      </c>
      <c r="F24" s="13">
        <v>1</v>
      </c>
      <c r="H24" s="20">
        <f>VLOOKUP(C24,'CASSEM Pivot'!$B$3:$E$7,2,FALSE)</f>
        <v>0.2857142857142857</v>
      </c>
      <c r="I24" s="12">
        <f>IF(D24="NA", 1, VLOOKUP(D24,'CASSEM Pivot'!$G$3:$J$7,2,FALSE))</f>
        <v>1</v>
      </c>
      <c r="J24" s="12">
        <f>IF(E24="NA", 1, VLOOKUP(E24,'CASSEM Pivot'!$L$3:$O$7,2,FALSE))</f>
        <v>1</v>
      </c>
      <c r="K24" s="20">
        <f>VLOOKUP(C24,'CASSEM Pivot'!$B$3:$E$7,3,FALSE)</f>
        <v>0.5</v>
      </c>
      <c r="L24" s="12">
        <f>IF(D24="NA", 1, VLOOKUP(D24,'CASSEM Pivot'!$G$3:$J$7,3,FALSE))</f>
        <v>1</v>
      </c>
      <c r="M24" s="12">
        <f>IF(E24="NA", 1, VLOOKUP(E24,'CASSEM Pivot'!$L$3:$O$7,3,FALSE))</f>
        <v>1</v>
      </c>
      <c r="O24" s="21">
        <f>PRODUCT(H24:J24)*GETPIVOTDATA("Secure",'CASSEM Pivot'!$B$11,"Secure",0)</f>
        <v>3.9215686274509803E-2</v>
      </c>
      <c r="P24" s="21">
        <f>PRODUCT(K24:M24)*GETPIVOTDATA("Secure",'CASSEM Pivot'!$B$11,"Secure",1)</f>
        <v>0.43137254901960786</v>
      </c>
      <c r="R24" s="21">
        <f t="shared" si="0"/>
        <v>8.3333333333333329E-2</v>
      </c>
      <c r="S24" s="21">
        <f t="shared" si="1"/>
        <v>0.91666666666666674</v>
      </c>
      <c r="T24" s="12">
        <f t="shared" si="2"/>
        <v>1</v>
      </c>
      <c r="U24" s="12" t="str">
        <f t="shared" si="3"/>
        <v>TRUE</v>
      </c>
    </row>
    <row r="25" spans="2:21" ht="15.75" customHeight="1">
      <c r="B25" s="10">
        <v>69</v>
      </c>
      <c r="C25" s="11">
        <v>0</v>
      </c>
      <c r="D25" s="12">
        <v>0</v>
      </c>
      <c r="E25" s="13" t="s">
        <v>44</v>
      </c>
      <c r="F25" s="13">
        <v>0</v>
      </c>
      <c r="H25" s="20">
        <f>VLOOKUP(C25,'CASSEM Pivot'!$B$3:$E$7,2,FALSE)</f>
        <v>0.7142857142857143</v>
      </c>
      <c r="I25" s="20">
        <f>IF(D25="NA", 1, VLOOKUP(D25,'CASSEM Pivot'!$G$3:$J$7,2,FALSE))</f>
        <v>0.14285714285714285</v>
      </c>
      <c r="J25" s="12">
        <f>IF(E25="NA", 1, VLOOKUP(E25,'CASSEM Pivot'!$L$3:$O$7,2,FALSE))</f>
        <v>1</v>
      </c>
      <c r="K25" s="20">
        <f>VLOOKUP(C25,'CASSEM Pivot'!$B$3:$E$7,3,FALSE)</f>
        <v>0.5</v>
      </c>
      <c r="L25" s="20">
        <f>IF(D25="NA", 1, VLOOKUP(D25,'CASSEM Pivot'!$G$3:$J$7,3,FALSE))</f>
        <v>0.15151515151515152</v>
      </c>
      <c r="M25" s="12">
        <f>IF(E25="NA", 1, VLOOKUP(E25,'CASSEM Pivot'!$L$3:$O$7,3,FALSE))</f>
        <v>1</v>
      </c>
      <c r="O25" s="21">
        <f>PRODUCT(H25:J25)*GETPIVOTDATA("Secure",'CASSEM Pivot'!$B$11,"Secure",0)</f>
        <v>1.4005602240896361E-2</v>
      </c>
      <c r="P25" s="21">
        <f>PRODUCT(K25:M25)*GETPIVOTDATA("Secure",'CASSEM Pivot'!$B$11,"Secure",1)</f>
        <v>6.535947712418301E-2</v>
      </c>
      <c r="R25" s="21">
        <f t="shared" si="0"/>
        <v>0.17647058823529413</v>
      </c>
      <c r="S25" s="21">
        <f t="shared" si="1"/>
        <v>0.82352941176470584</v>
      </c>
      <c r="T25" s="12">
        <f t="shared" si="2"/>
        <v>1</v>
      </c>
      <c r="U25" s="12" t="str">
        <f t="shared" si="3"/>
        <v>FALSE</v>
      </c>
    </row>
    <row r="26" spans="2:21" ht="15.75" customHeight="1">
      <c r="B26" s="10">
        <v>70</v>
      </c>
      <c r="C26" s="11">
        <v>1</v>
      </c>
      <c r="D26" s="12" t="s">
        <v>44</v>
      </c>
      <c r="E26" s="13">
        <v>0</v>
      </c>
      <c r="F26" s="13">
        <v>0</v>
      </c>
      <c r="H26" s="20">
        <f>VLOOKUP(C26,'CASSEM Pivot'!$B$3:$E$7,2,FALSE)</f>
        <v>0.2857142857142857</v>
      </c>
      <c r="I26" s="12">
        <f>IF(D26="NA", 1, VLOOKUP(D26,'CASSEM Pivot'!$G$3:$J$7,2,FALSE))</f>
        <v>1</v>
      </c>
      <c r="J26" s="20">
        <f>IF(E26="NA", 1, VLOOKUP(E26,'CASSEM Pivot'!$L$3:$O$7,2,FALSE))</f>
        <v>0.83333333333333337</v>
      </c>
      <c r="K26" s="20">
        <f>VLOOKUP(C26,'CASSEM Pivot'!$B$3:$E$7,3,FALSE)</f>
        <v>0.5</v>
      </c>
      <c r="L26" s="12">
        <f>IF(D26="NA", 1, VLOOKUP(D26,'CASSEM Pivot'!$G$3:$J$7,3,FALSE))</f>
        <v>1</v>
      </c>
      <c r="M26" s="20">
        <f>IF(E26="NA", 1, VLOOKUP(E26,'CASSEM Pivot'!$L$3:$O$7,3,FALSE))</f>
        <v>0.56097560975609762</v>
      </c>
      <c r="O26" s="21">
        <f>PRODUCT(H26:J26)*GETPIVOTDATA("Secure",'CASSEM Pivot'!$B$11,"Secure",0)</f>
        <v>3.2679738562091505E-2</v>
      </c>
      <c r="P26" s="21">
        <f>PRODUCT(K26:M26)*GETPIVOTDATA("Secure",'CASSEM Pivot'!$B$11,"Secure",1)</f>
        <v>0.24198947871831664</v>
      </c>
      <c r="R26" s="21">
        <f t="shared" si="0"/>
        <v>0.11897852582704584</v>
      </c>
      <c r="S26" s="21">
        <f t="shared" si="1"/>
        <v>0.88102147417295407</v>
      </c>
      <c r="T26" s="12">
        <f t="shared" si="2"/>
        <v>1</v>
      </c>
      <c r="U26" s="12" t="str">
        <f t="shared" si="3"/>
        <v>FALSE</v>
      </c>
    </row>
    <row r="27" spans="2:21" ht="15.75" customHeight="1">
      <c r="B27" s="10">
        <v>73</v>
      </c>
      <c r="C27" s="11">
        <v>1</v>
      </c>
      <c r="D27" s="12">
        <v>1</v>
      </c>
      <c r="E27" s="13">
        <v>0</v>
      </c>
      <c r="F27" s="13">
        <v>0</v>
      </c>
      <c r="H27" s="20">
        <f>VLOOKUP(C27,'CASSEM Pivot'!$B$3:$E$7,2,FALSE)</f>
        <v>0.2857142857142857</v>
      </c>
      <c r="I27" s="20">
        <f>IF(D27="NA", 1, VLOOKUP(D27,'CASSEM Pivot'!$G$3:$J$7,2,FALSE))</f>
        <v>0.8571428571428571</v>
      </c>
      <c r="J27" s="20">
        <f>IF(E27="NA", 1, VLOOKUP(E27,'CASSEM Pivot'!$L$3:$O$7,2,FALSE))</f>
        <v>0.83333333333333337</v>
      </c>
      <c r="K27" s="20">
        <f>VLOOKUP(C27,'CASSEM Pivot'!$B$3:$E$7,3,FALSE)</f>
        <v>0.5</v>
      </c>
      <c r="L27" s="20">
        <f>IF(D27="NA", 1, VLOOKUP(D27,'CASSEM Pivot'!$G$3:$J$7,3,FALSE))</f>
        <v>0.84848484848484851</v>
      </c>
      <c r="M27" s="20">
        <f>IF(E27="NA", 1, VLOOKUP(E27,'CASSEM Pivot'!$L$3:$O$7,3,FALSE))</f>
        <v>0.56097560975609762</v>
      </c>
      <c r="O27" s="21">
        <f>PRODUCT(H27:J27)*GETPIVOTDATA("Secure",'CASSEM Pivot'!$B$11,"Secure",0)</f>
        <v>2.8011204481792715E-2</v>
      </c>
      <c r="P27" s="21">
        <f>PRODUCT(K27:M27)*GETPIVOTDATA("Secure",'CASSEM Pivot'!$B$11,"Secure",1)</f>
        <v>0.20532440618523837</v>
      </c>
      <c r="R27" s="21">
        <f t="shared" si="0"/>
        <v>0.1200468475502635</v>
      </c>
      <c r="S27" s="21">
        <f t="shared" si="1"/>
        <v>0.8799531524497366</v>
      </c>
      <c r="T27" s="12">
        <f t="shared" si="2"/>
        <v>1</v>
      </c>
      <c r="U27" s="12" t="str">
        <f t="shared" si="3"/>
        <v>FALSE</v>
      </c>
    </row>
    <row r="28" spans="2:21" ht="15.75" customHeight="1">
      <c r="B28" s="16"/>
      <c r="C28" s="16"/>
      <c r="D28" s="16"/>
      <c r="E28" s="16"/>
      <c r="F28" s="16"/>
      <c r="G28" s="18"/>
      <c r="H28" s="16"/>
      <c r="I28" s="16"/>
      <c r="J28" s="16"/>
      <c r="K28" s="16"/>
      <c r="L28" s="16"/>
      <c r="M28" s="16"/>
      <c r="N28" s="18"/>
      <c r="O28" s="18"/>
      <c r="P28" s="18"/>
      <c r="Q28" s="18"/>
      <c r="R28" s="18"/>
      <c r="S28" s="18"/>
      <c r="T28" s="16"/>
      <c r="U28" s="16"/>
    </row>
    <row r="29" spans="2:21" ht="15.75" customHeight="1">
      <c r="B29" s="16"/>
      <c r="C29" s="16"/>
      <c r="D29" s="16"/>
      <c r="E29" s="16"/>
      <c r="F29" s="16"/>
      <c r="G29" s="18"/>
      <c r="H29" s="16"/>
      <c r="I29" s="16"/>
      <c r="J29" s="16"/>
      <c r="K29" s="16"/>
      <c r="L29" s="16"/>
      <c r="M29" s="16"/>
      <c r="N29" s="18"/>
      <c r="O29" s="18"/>
      <c r="P29" s="18"/>
      <c r="Q29" s="18"/>
      <c r="R29" s="18"/>
      <c r="S29" s="18"/>
      <c r="T29" s="16"/>
      <c r="U29" s="16"/>
    </row>
    <row r="30" spans="2:21" ht="15.75" customHeight="1">
      <c r="B30" s="16"/>
      <c r="C30" s="16"/>
      <c r="D30" s="16"/>
      <c r="E30" s="16"/>
      <c r="F30" s="16"/>
      <c r="G30" s="18"/>
      <c r="H30" s="16"/>
      <c r="I30" s="16"/>
      <c r="J30" s="16"/>
      <c r="K30" s="16"/>
      <c r="L30" s="16"/>
      <c r="M30" s="16"/>
      <c r="N30" s="18"/>
      <c r="O30" s="18"/>
      <c r="P30" s="18"/>
      <c r="Q30" s="18"/>
      <c r="R30" s="18"/>
      <c r="S30" s="18"/>
      <c r="T30" s="16"/>
      <c r="U30" s="16"/>
    </row>
    <row r="31" spans="2:21" ht="15.75" customHeight="1">
      <c r="B31" s="16"/>
      <c r="C31" s="16"/>
      <c r="D31" s="16"/>
      <c r="E31" s="16"/>
      <c r="F31" s="16"/>
      <c r="G31" s="18"/>
      <c r="H31" s="16"/>
      <c r="I31" s="16"/>
      <c r="J31" s="16"/>
      <c r="K31" s="16"/>
      <c r="L31" s="16"/>
      <c r="M31" s="16"/>
      <c r="N31" s="18"/>
      <c r="O31" s="18"/>
      <c r="P31" s="18"/>
      <c r="Q31" s="18"/>
      <c r="R31" s="18"/>
      <c r="S31" s="18"/>
      <c r="T31" s="16"/>
      <c r="U31" s="16"/>
    </row>
    <row r="32" spans="2:21" ht="15.75" customHeight="1">
      <c r="B32" s="16"/>
      <c r="C32" s="16"/>
      <c r="D32" s="16"/>
      <c r="E32" s="16"/>
      <c r="F32" s="16"/>
      <c r="G32" s="18"/>
      <c r="H32" s="16"/>
      <c r="I32" s="16"/>
      <c r="J32" s="16"/>
      <c r="K32" s="16"/>
      <c r="L32" s="16"/>
      <c r="M32" s="16"/>
      <c r="N32" s="18"/>
      <c r="O32" s="18"/>
      <c r="P32" s="18"/>
      <c r="Q32" s="18"/>
      <c r="R32" s="18"/>
      <c r="S32" s="18"/>
      <c r="T32" s="16"/>
      <c r="U32" s="16"/>
    </row>
    <row r="33" spans="2:21" ht="15.75" customHeight="1">
      <c r="B33" s="16"/>
      <c r="C33" s="16"/>
      <c r="D33" s="16"/>
      <c r="E33" s="16"/>
      <c r="F33" s="16"/>
      <c r="G33" s="18"/>
      <c r="H33" s="16"/>
      <c r="I33" s="16"/>
      <c r="J33" s="16"/>
      <c r="K33" s="16"/>
      <c r="L33" s="16"/>
      <c r="M33" s="16"/>
      <c r="N33" s="18"/>
      <c r="O33" s="18"/>
      <c r="P33" s="18"/>
      <c r="Q33" s="18"/>
      <c r="R33" s="18"/>
      <c r="S33" s="18"/>
      <c r="T33" s="16"/>
      <c r="U33" s="16"/>
    </row>
    <row r="34" spans="2:21" ht="15.75" customHeight="1">
      <c r="B34" s="16"/>
      <c r="C34" s="16"/>
      <c r="D34" s="16"/>
      <c r="E34" s="16"/>
      <c r="F34" s="16"/>
      <c r="G34" s="18"/>
      <c r="H34" s="16"/>
      <c r="I34" s="16"/>
      <c r="J34" s="16"/>
      <c r="K34" s="16"/>
      <c r="L34" s="16"/>
      <c r="M34" s="16"/>
      <c r="N34" s="18"/>
      <c r="O34" s="18"/>
      <c r="P34" s="18"/>
      <c r="Q34" s="18"/>
      <c r="R34" s="18"/>
      <c r="S34" s="18"/>
      <c r="T34" s="16"/>
      <c r="U34" s="16"/>
    </row>
    <row r="35" spans="2:21" ht="15.75" customHeight="1">
      <c r="B35" s="16"/>
      <c r="C35" s="16"/>
      <c r="D35" s="16"/>
      <c r="E35" s="16"/>
      <c r="F35" s="16"/>
      <c r="G35" s="18"/>
      <c r="H35" s="16"/>
      <c r="I35" s="16"/>
      <c r="J35" s="16"/>
      <c r="K35" s="16"/>
      <c r="L35" s="16"/>
      <c r="M35" s="16"/>
      <c r="N35" s="18"/>
      <c r="O35" s="18"/>
      <c r="P35" s="18"/>
      <c r="Q35" s="18"/>
      <c r="R35" s="18"/>
      <c r="S35" s="18"/>
      <c r="T35" s="16"/>
      <c r="U35" s="16"/>
    </row>
    <row r="36" spans="2:21" ht="15.75" customHeight="1">
      <c r="B36" s="16"/>
      <c r="C36" s="16"/>
      <c r="D36" s="16"/>
      <c r="E36" s="16"/>
      <c r="F36" s="16"/>
      <c r="G36" s="18"/>
      <c r="H36" s="16"/>
      <c r="I36" s="16"/>
      <c r="J36" s="16"/>
      <c r="K36" s="16"/>
      <c r="L36" s="16"/>
      <c r="M36" s="16"/>
      <c r="N36" s="18"/>
      <c r="O36" s="18"/>
      <c r="P36" s="18"/>
      <c r="Q36" s="18"/>
      <c r="R36" s="18"/>
      <c r="S36" s="18"/>
      <c r="T36" s="16"/>
      <c r="U36" s="16"/>
    </row>
    <row r="37" spans="2:21" ht="15.75" customHeight="1">
      <c r="B37" s="16"/>
      <c r="C37" s="16"/>
      <c r="D37" s="16"/>
      <c r="E37" s="16"/>
      <c r="F37" s="16"/>
      <c r="G37" s="18"/>
      <c r="H37" s="16"/>
      <c r="I37" s="16"/>
      <c r="J37" s="16"/>
      <c r="K37" s="16"/>
      <c r="L37" s="16"/>
      <c r="M37" s="16"/>
      <c r="N37" s="18"/>
      <c r="O37" s="18"/>
      <c r="P37" s="18"/>
      <c r="Q37" s="18"/>
      <c r="R37" s="18"/>
      <c r="S37" s="18"/>
      <c r="T37" s="16"/>
      <c r="U37" s="16"/>
    </row>
    <row r="38" spans="2:21" ht="15.75" customHeight="1">
      <c r="B38" s="16"/>
      <c r="C38" s="16"/>
      <c r="D38" s="16"/>
      <c r="E38" s="16"/>
      <c r="F38" s="16"/>
      <c r="G38" s="18"/>
      <c r="H38" s="16"/>
      <c r="I38" s="16"/>
      <c r="J38" s="16"/>
      <c r="K38" s="16"/>
      <c r="L38" s="16"/>
      <c r="M38" s="16"/>
      <c r="N38" s="18"/>
      <c r="O38" s="18"/>
      <c r="P38" s="18"/>
      <c r="Q38" s="18"/>
      <c r="R38" s="18"/>
      <c r="S38" s="18"/>
      <c r="T38" s="16"/>
      <c r="U38" s="16"/>
    </row>
    <row r="39" spans="2:21" ht="15.75" customHeight="1">
      <c r="B39" s="16"/>
      <c r="C39" s="16"/>
      <c r="D39" s="16"/>
      <c r="E39" s="16"/>
      <c r="F39" s="16"/>
      <c r="G39" s="18"/>
      <c r="H39" s="16"/>
      <c r="I39" s="16"/>
      <c r="J39" s="16"/>
      <c r="K39" s="16"/>
      <c r="L39" s="16"/>
      <c r="M39" s="16"/>
      <c r="N39" s="18"/>
      <c r="O39" s="18"/>
      <c r="P39" s="18"/>
      <c r="Q39" s="18"/>
      <c r="R39" s="18"/>
      <c r="S39" s="18"/>
      <c r="T39" s="16"/>
      <c r="U39" s="16"/>
    </row>
    <row r="40" spans="2:21" ht="15.75" customHeight="1">
      <c r="B40" s="16"/>
      <c r="C40" s="16"/>
      <c r="D40" s="16"/>
      <c r="E40" s="16"/>
      <c r="F40" s="16"/>
      <c r="G40" s="18"/>
      <c r="H40" s="16"/>
      <c r="I40" s="16"/>
      <c r="J40" s="16"/>
      <c r="K40" s="16"/>
      <c r="L40" s="16"/>
      <c r="M40" s="16"/>
      <c r="N40" s="18"/>
      <c r="O40" s="18"/>
      <c r="P40" s="18"/>
      <c r="Q40" s="18"/>
      <c r="R40" s="18"/>
      <c r="S40" s="18"/>
      <c r="T40" s="16"/>
      <c r="U40" s="16"/>
    </row>
    <row r="41" spans="2:21" ht="15.75" customHeight="1">
      <c r="B41" s="16"/>
      <c r="C41" s="16"/>
      <c r="D41" s="16"/>
      <c r="E41" s="16"/>
      <c r="F41" s="16"/>
      <c r="G41" s="18"/>
      <c r="H41" s="16"/>
      <c r="I41" s="16"/>
      <c r="J41" s="16"/>
      <c r="K41" s="16"/>
      <c r="L41" s="16"/>
      <c r="M41" s="16"/>
      <c r="N41" s="18"/>
      <c r="O41" s="18"/>
      <c r="P41" s="18"/>
      <c r="Q41" s="18"/>
      <c r="R41" s="18"/>
      <c r="S41" s="18"/>
      <c r="T41" s="16"/>
      <c r="U41" s="16"/>
    </row>
    <row r="42" spans="2:21" ht="15.75" customHeight="1">
      <c r="B42" s="16"/>
      <c r="C42" s="16"/>
      <c r="D42" s="16"/>
      <c r="E42" s="16"/>
      <c r="F42" s="16"/>
      <c r="G42" s="18"/>
      <c r="H42" s="16"/>
      <c r="I42" s="16"/>
      <c r="J42" s="16"/>
      <c r="K42" s="16"/>
      <c r="L42" s="16"/>
      <c r="M42" s="16"/>
      <c r="N42" s="18"/>
      <c r="O42" s="18"/>
      <c r="P42" s="18"/>
      <c r="Q42" s="18"/>
      <c r="R42" s="18"/>
      <c r="S42" s="18"/>
      <c r="T42" s="16"/>
      <c r="U42" s="16"/>
    </row>
    <row r="43" spans="2:21" ht="15.75" customHeight="1">
      <c r="B43" s="16"/>
      <c r="C43" s="16"/>
      <c r="D43" s="16"/>
      <c r="E43" s="16"/>
      <c r="F43" s="16"/>
      <c r="G43" s="18"/>
      <c r="H43" s="16"/>
      <c r="I43" s="16"/>
      <c r="J43" s="16"/>
      <c r="K43" s="16"/>
      <c r="L43" s="16"/>
      <c r="M43" s="16"/>
      <c r="N43" s="18"/>
      <c r="O43" s="18"/>
      <c r="P43" s="18"/>
      <c r="Q43" s="18"/>
      <c r="R43" s="18"/>
      <c r="S43" s="18"/>
      <c r="T43" s="16"/>
      <c r="U43" s="16"/>
    </row>
    <row r="44" spans="2:21" ht="15.75" customHeight="1">
      <c r="B44" s="16"/>
      <c r="C44" s="16"/>
      <c r="D44" s="16"/>
      <c r="E44" s="16"/>
      <c r="F44" s="16"/>
      <c r="G44" s="18"/>
      <c r="H44" s="16"/>
      <c r="I44" s="16"/>
      <c r="J44" s="16"/>
      <c r="K44" s="16"/>
      <c r="L44" s="16"/>
      <c r="M44" s="16"/>
      <c r="N44" s="18"/>
      <c r="O44" s="18"/>
      <c r="P44" s="18"/>
      <c r="Q44" s="18"/>
      <c r="R44" s="18"/>
      <c r="S44" s="18"/>
      <c r="T44" s="16"/>
      <c r="U44" s="16"/>
    </row>
    <row r="45" spans="2:21" ht="15.75" customHeight="1">
      <c r="B45" s="16"/>
      <c r="C45" s="16"/>
      <c r="D45" s="16"/>
      <c r="E45" s="16"/>
      <c r="F45" s="16"/>
      <c r="G45" s="18"/>
      <c r="H45" s="16"/>
      <c r="I45" s="16"/>
      <c r="J45" s="16"/>
      <c r="K45" s="16"/>
      <c r="L45" s="16"/>
      <c r="M45" s="16"/>
      <c r="N45" s="18"/>
      <c r="O45" s="18"/>
      <c r="P45" s="18"/>
      <c r="Q45" s="18"/>
      <c r="R45" s="18"/>
      <c r="S45" s="18"/>
      <c r="T45" s="16"/>
      <c r="U45" s="16"/>
    </row>
    <row r="46" spans="2:21" ht="15.75" customHeight="1">
      <c r="B46" s="16"/>
      <c r="C46" s="16"/>
      <c r="D46" s="16"/>
      <c r="E46" s="16"/>
      <c r="F46" s="16"/>
      <c r="G46" s="18"/>
      <c r="H46" s="16"/>
      <c r="I46" s="16"/>
      <c r="J46" s="16"/>
      <c r="K46" s="16"/>
      <c r="L46" s="16"/>
      <c r="M46" s="16"/>
      <c r="N46" s="18"/>
      <c r="O46" s="18"/>
      <c r="P46" s="18"/>
      <c r="Q46" s="18"/>
      <c r="R46" s="18"/>
      <c r="S46" s="18"/>
      <c r="T46" s="16"/>
      <c r="U46" s="16"/>
    </row>
    <row r="47" spans="2:21" ht="15.75" customHeight="1">
      <c r="B47" s="16"/>
      <c r="C47" s="16"/>
      <c r="D47" s="16"/>
      <c r="E47" s="16"/>
      <c r="F47" s="16"/>
      <c r="G47" s="18"/>
      <c r="H47" s="16"/>
      <c r="I47" s="16"/>
      <c r="J47" s="16"/>
      <c r="K47" s="16"/>
      <c r="L47" s="16"/>
      <c r="M47" s="16"/>
      <c r="N47" s="18"/>
      <c r="O47" s="18"/>
      <c r="P47" s="18"/>
      <c r="Q47" s="18"/>
      <c r="R47" s="18"/>
      <c r="S47" s="18"/>
      <c r="T47" s="16"/>
      <c r="U47" s="16"/>
    </row>
    <row r="48" spans="2:21" ht="15.75" customHeight="1">
      <c r="B48" s="16"/>
      <c r="C48" s="16"/>
      <c r="D48" s="16"/>
      <c r="E48" s="16"/>
      <c r="F48" s="16"/>
      <c r="G48" s="18"/>
      <c r="H48" s="16"/>
      <c r="I48" s="16"/>
      <c r="J48" s="16"/>
      <c r="K48" s="16"/>
      <c r="L48" s="16"/>
      <c r="M48" s="16"/>
      <c r="N48" s="18"/>
      <c r="O48" s="18"/>
      <c r="P48" s="18"/>
      <c r="Q48" s="18"/>
      <c r="R48" s="18"/>
      <c r="S48" s="18"/>
      <c r="T48" s="16"/>
      <c r="U48" s="16"/>
    </row>
    <row r="49" spans="2:21" ht="15.75" customHeight="1">
      <c r="B49" s="16"/>
      <c r="C49" s="16"/>
      <c r="D49" s="16"/>
      <c r="E49" s="16"/>
      <c r="F49" s="16"/>
      <c r="G49" s="18"/>
      <c r="H49" s="16"/>
      <c r="I49" s="16"/>
      <c r="J49" s="16"/>
      <c r="K49" s="16"/>
      <c r="L49" s="16"/>
      <c r="M49" s="16"/>
      <c r="N49" s="18"/>
      <c r="O49" s="18"/>
      <c r="P49" s="18"/>
      <c r="Q49" s="18"/>
      <c r="R49" s="18"/>
      <c r="S49" s="18"/>
      <c r="T49" s="16"/>
      <c r="U49" s="16"/>
    </row>
    <row r="50" spans="2:21" ht="15.75" customHeight="1">
      <c r="B50" s="16"/>
      <c r="C50" s="16"/>
      <c r="D50" s="16"/>
      <c r="E50" s="16"/>
      <c r="F50" s="16"/>
      <c r="G50" s="18"/>
      <c r="H50" s="16"/>
      <c r="I50" s="16"/>
      <c r="J50" s="16"/>
      <c r="K50" s="16"/>
      <c r="L50" s="16"/>
      <c r="M50" s="16"/>
      <c r="N50" s="18"/>
      <c r="O50" s="18"/>
      <c r="P50" s="18"/>
      <c r="Q50" s="18"/>
      <c r="R50" s="18"/>
      <c r="S50" s="18"/>
      <c r="T50" s="16"/>
      <c r="U50" s="16"/>
    </row>
    <row r="51" spans="2:21" ht="15.75" customHeight="1">
      <c r="B51" s="16"/>
      <c r="C51" s="16"/>
      <c r="D51" s="16"/>
      <c r="E51" s="16"/>
      <c r="F51" s="16"/>
      <c r="G51" s="18"/>
      <c r="H51" s="16"/>
      <c r="I51" s="16"/>
      <c r="J51" s="16"/>
      <c r="K51" s="16"/>
      <c r="L51" s="16"/>
      <c r="M51" s="16"/>
      <c r="N51" s="18"/>
      <c r="O51" s="18"/>
      <c r="P51" s="18"/>
      <c r="Q51" s="18"/>
      <c r="R51" s="18"/>
      <c r="S51" s="18"/>
      <c r="T51" s="16"/>
      <c r="U51" s="16"/>
    </row>
    <row r="52" spans="2:21" ht="15.75" customHeight="1">
      <c r="B52" s="16"/>
      <c r="C52" s="16"/>
      <c r="D52" s="16"/>
      <c r="E52" s="16"/>
      <c r="F52" s="16"/>
      <c r="G52" s="18"/>
      <c r="H52" s="16"/>
      <c r="I52" s="16"/>
      <c r="J52" s="16"/>
      <c r="K52" s="16"/>
      <c r="L52" s="16"/>
      <c r="M52" s="16"/>
      <c r="N52" s="18"/>
      <c r="O52" s="18"/>
      <c r="P52" s="18"/>
      <c r="Q52" s="18"/>
      <c r="R52" s="18"/>
      <c r="S52" s="18"/>
      <c r="T52" s="16"/>
      <c r="U52" s="16"/>
    </row>
    <row r="53" spans="2:21" ht="15.75" customHeight="1">
      <c r="B53" s="16"/>
      <c r="C53" s="16"/>
      <c r="D53" s="16"/>
      <c r="E53" s="16"/>
      <c r="F53" s="16"/>
      <c r="G53" s="18"/>
      <c r="H53" s="16"/>
      <c r="I53" s="16"/>
      <c r="J53" s="16"/>
      <c r="K53" s="16"/>
      <c r="L53" s="16"/>
      <c r="M53" s="16"/>
      <c r="N53" s="18"/>
      <c r="O53" s="18"/>
      <c r="P53" s="18"/>
      <c r="Q53" s="18"/>
      <c r="R53" s="18"/>
      <c r="S53" s="18"/>
      <c r="T53" s="16"/>
      <c r="U53" s="16"/>
    </row>
    <row r="54" spans="2:21" ht="15.75" customHeight="1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</row>
    <row r="55" spans="2:21" ht="15.75" customHeight="1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6"/>
      <c r="U55" s="18"/>
    </row>
    <row r="56" spans="2:21" ht="15.75" customHeight="1"/>
    <row r="57" spans="2:21" ht="15.75" customHeight="1"/>
    <row r="58" spans="2:21" ht="15.75" customHeight="1"/>
    <row r="59" spans="2:21" ht="15.75" customHeight="1"/>
    <row r="60" spans="2:21" ht="15.75" customHeight="1"/>
    <row r="61" spans="2:21" ht="15.75" customHeight="1"/>
    <row r="62" spans="2:21" ht="15.75" customHeight="1"/>
    <row r="63" spans="2:21" ht="15.75" customHeight="1"/>
    <row r="64" spans="2:2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U3:U53">
    <cfRule type="containsText" dxfId="1" priority="1" operator="containsText" text="FALSE">
      <formula>NOT(ISERROR(SEARCH(("FALSE"),(U3))))</formula>
    </cfRule>
  </conditionalFormatting>
  <conditionalFormatting sqref="U3:U53">
    <cfRule type="containsText" dxfId="0" priority="2" operator="containsText" text="TRUE">
      <formula>NOT(ISERROR(SEARCH(("TRUE"),(U3))))</formula>
    </cfRule>
  </conditionalFormatting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FC58050C5AA64CBAFB8C22C5FD6A1C" ma:contentTypeVersion="11" ma:contentTypeDescription="Create a new document." ma:contentTypeScope="" ma:versionID="1325afd6f85a4b5ef42937ba5ff7668a">
  <xsd:schema xmlns:xsd="http://www.w3.org/2001/XMLSchema" xmlns:xs="http://www.w3.org/2001/XMLSchema" xmlns:p="http://schemas.microsoft.com/office/2006/metadata/properties" xmlns:ns2="7e0d5553-6f0d-40ee-aca6-d76826a2b011" xmlns:ns3="031b3343-0b38-43ad-98f8-5ec2e64beee0" targetNamespace="http://schemas.microsoft.com/office/2006/metadata/properties" ma:root="true" ma:fieldsID="44c53a5b9279e15cc3bb3f969ac5f709" ns2:_="" ns3:_="">
    <xsd:import namespace="7e0d5553-6f0d-40ee-aca6-d76826a2b011"/>
    <xsd:import namespace="031b3343-0b38-43ad-98f8-5ec2e64bee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d5553-6f0d-40ee-aca6-d76826a2b0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2117685f-1dcd-4610-9ff9-a99fab412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1b3343-0b38-43ad-98f8-5ec2e64beee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ffaddeb-7a09-4430-a416-e9d8fbced4b3}" ma:internalName="TaxCatchAll" ma:showField="CatchAllData" ma:web="031b3343-0b38-43ad-98f8-5ec2e64bee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4EEE48-6C8B-43E9-8001-0DB558EE399C}"/>
</file>

<file path=customXml/itemProps2.xml><?xml version="1.0" encoding="utf-8"?>
<ds:datastoreItem xmlns:ds="http://schemas.openxmlformats.org/officeDocument/2006/customXml" ds:itemID="{C5411BE6-4AAF-45F2-B6E5-D67964D3B2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</dc:creator>
  <cp:keywords/>
  <dc:description/>
  <cp:lastModifiedBy>Diane  D. Quitain</cp:lastModifiedBy>
  <cp:revision/>
  <dcterms:created xsi:type="dcterms:W3CDTF">2021-11-25T07:53:48Z</dcterms:created>
  <dcterms:modified xsi:type="dcterms:W3CDTF">2022-10-06T03:09:32Z</dcterms:modified>
  <cp:category/>
  <cp:contentStatus/>
</cp:coreProperties>
</file>