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03405e16dc990f/Documents/Bootcamp homework/module 1/crowdfunding analysis/"/>
    </mc:Choice>
  </mc:AlternateContent>
  <xr:revisionPtr revIDLastSave="295" documentId="8_{BF7FDB30-7083-4EA2-A3AA-79AFF682D837}" xr6:coauthVersionLast="47" xr6:coauthVersionMax="47" xr10:uidLastSave="{E0D4B56E-2973-45BA-AA94-F2298E63261D}"/>
  <bookViews>
    <workbookView xWindow="28680" yWindow="-165" windowWidth="29040" windowHeight="15720" tabRatio="781" activeTab="5" xr2:uid="{00000000-000D-0000-FFFF-FFFF00000000}"/>
  </bookViews>
  <sheets>
    <sheet name="Average Donations" sheetId="15" r:id="rId1"/>
    <sheet name="Org kickstarter " sheetId="1" r:id="rId2"/>
    <sheet name="Category Statistics" sheetId="2" r:id="rId3"/>
    <sheet name="Subcategory Statistics" sheetId="3" r:id="rId4"/>
    <sheet name="outcomes based on launch date" sheetId="4" r:id="rId5"/>
    <sheet name="Theater outcomes by Launch date" sheetId="18" r:id="rId6"/>
    <sheet name="Outcomes Based on Goals" sheetId="19" r:id="rId7"/>
    <sheet name="Edinburgh Research" sheetId="5" r:id="rId8"/>
    <sheet name="Descriptive Statistics" sheetId="8" r:id="rId9"/>
  </sheets>
  <definedNames>
    <definedName name="_xlnm._FilterDatabase" localSheetId="1" hidden="1">'Org kickstarter '!$A$1:$U$4115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6" i="18" l="1"/>
  <c r="B23" i="18"/>
  <c r="E27" i="18"/>
  <c r="D14" i="19"/>
  <c r="D13" i="19"/>
  <c r="D12" i="19"/>
  <c r="D11" i="19"/>
  <c r="D10" i="19"/>
  <c r="D9" i="19"/>
  <c r="D8" i="19"/>
  <c r="D7" i="19"/>
  <c r="D6" i="19"/>
  <c r="D5" i="19"/>
  <c r="D4" i="19"/>
  <c r="D3" i="19"/>
  <c r="C14" i="19"/>
  <c r="C13" i="19"/>
  <c r="C12" i="19"/>
  <c r="C11" i="19"/>
  <c r="C10" i="19"/>
  <c r="C9" i="19"/>
  <c r="C8" i="19"/>
  <c r="C7" i="19"/>
  <c r="C6" i="19"/>
  <c r="C5" i="19"/>
  <c r="C4" i="19"/>
  <c r="C3" i="19"/>
  <c r="B14" i="19"/>
  <c r="B13" i="19"/>
  <c r="B12" i="19"/>
  <c r="B11" i="19"/>
  <c r="B10" i="19"/>
  <c r="B9" i="19"/>
  <c r="B8" i="19"/>
  <c r="B7" i="19"/>
  <c r="B6" i="19"/>
  <c r="B5" i="19"/>
  <c r="B4" i="19"/>
  <c r="B3" i="1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9" l="1"/>
  <c r="H11" i="19" s="1"/>
  <c r="E10" i="19"/>
  <c r="H10" i="19" s="1"/>
  <c r="E9" i="19"/>
  <c r="H9" i="19" s="1"/>
  <c r="E8" i="19"/>
  <c r="F8" i="19" s="1"/>
  <c r="E3" i="19"/>
  <c r="F3" i="19" s="1"/>
  <c r="E7" i="19"/>
  <c r="H7" i="19" s="1"/>
  <c r="F11" i="19"/>
  <c r="E14" i="19"/>
  <c r="F14" i="19" s="1"/>
  <c r="E6" i="19"/>
  <c r="F6" i="19" s="1"/>
  <c r="E13" i="19"/>
  <c r="G13" i="19" s="1"/>
  <c r="E5" i="19"/>
  <c r="G5" i="19" s="1"/>
  <c r="F9" i="19"/>
  <c r="E12" i="19"/>
  <c r="F12" i="19" s="1"/>
  <c r="E4" i="19"/>
  <c r="G4" i="19" s="1"/>
  <c r="H13" i="19" l="1"/>
  <c r="F13" i="19"/>
  <c r="G11" i="19"/>
  <c r="G10" i="19"/>
  <c r="F10" i="19"/>
  <c r="G9" i="19"/>
  <c r="G8" i="19"/>
  <c r="H8" i="19"/>
  <c r="G6" i="19"/>
  <c r="H5" i="19"/>
  <c r="G14" i="19"/>
  <c r="H14" i="19"/>
  <c r="F4" i="19"/>
  <c r="G3" i="19"/>
  <c r="H3" i="19"/>
  <c r="H6" i="19"/>
  <c r="F5" i="19"/>
  <c r="G7" i="19"/>
  <c r="H12" i="19"/>
  <c r="H4" i="19"/>
  <c r="F7" i="19"/>
  <c r="G12" i="19"/>
</calcChain>
</file>

<file path=xl/sharedStrings.xml><?xml version="1.0" encoding="utf-8"?>
<sst xmlns="http://schemas.openxmlformats.org/spreadsheetml/2006/main" count="33096" uniqueCount="8416">
  <si>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</si>
  <si>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</si>
  <si>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</si>
  <si>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</si>
  <si>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</si>
  <si>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</si>
  <si>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</si>
  <si>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</si>
  <si>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</si>
  <si>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</si>
  <si>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</si>
  <si>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</si>
  <si>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</si>
  <si>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</si>
  <si>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</si>
  <si>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</si>
  <si>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</si>
  <si>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</si>
  <si>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</si>
  <si>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</si>
  <si>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</si>
  <si>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</si>
  <si>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</si>
  <si>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</si>
  <si>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</si>
  <si>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</si>
  <si>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</si>
  <si>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</si>
  <si>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</si>
  <si>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</si>
  <si>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</si>
  <si>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</si>
  <si>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</si>
  <si>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</si>
  <si>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</si>
  <si>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</si>
  <si>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</si>
  <si>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</si>
  <si>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</si>
  <si>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</si>
  <si>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</si>
  <si>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</si>
  <si>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</si>
  <si>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</si>
  <si>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</si>
  <si>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</si>
  <si>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</si>
  <si>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</si>
  <si>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</si>
  <si>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</si>
  <si>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</si>
  <si>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</si>
  <si>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</si>
  <si>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</si>
  <si>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</si>
  <si>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</si>
  <si>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</si>
  <si>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</si>
  <si>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</si>
  <si>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</si>
  <si>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</si>
  <si>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</si>
  <si>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</si>
  <si>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</si>
  <si>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</si>
  <si>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</si>
  <si>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</si>
  <si>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</si>
  <si>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</si>
  <si>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</si>
  <si>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</si>
  <si>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</si>
  <si>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</si>
  <si>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</si>
  <si>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</si>
  <si>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</si>
  <si>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</si>
  <si>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</si>
  <si>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</si>
  <si>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</si>
  <si>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</si>
  <si>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</si>
  <si>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</si>
  <si>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</si>
  <si>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</si>
  <si>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</si>
  <si>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</si>
  <si>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</si>
  <si>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</si>
  <si>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</si>
  <si>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</si>
  <si>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</si>
  <si>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</si>
  <si>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</si>
  <si>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</si>
  <si>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</si>
  <si>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</si>
  <si>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</si>
  <si>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</si>
  <si>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</si>
  <si>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</si>
  <si>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</si>
  <si>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</si>
  <si>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</si>
  <si>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</si>
  <si>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</si>
  <si>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</si>
  <si>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</si>
  <si>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</si>
  <si>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</si>
  <si>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</si>
  <si>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</si>
  <si>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</si>
  <si>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</si>
  <si>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</si>
  <si>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</si>
  <si>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</si>
  <si>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</si>
  <si>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</si>
  <si>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</si>
  <si>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</si>
  <si>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</si>
  <si>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</si>
  <si>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</si>
  <si>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</si>
  <si>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</si>
  <si>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</si>
  <si>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</si>
  <si>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</si>
  <si>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</si>
  <si>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</si>
  <si>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</si>
  <si>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</si>
  <si>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</si>
  <si>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</si>
  <si>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</si>
  <si>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</si>
  <si>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</si>
  <si>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</si>
  <si>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</si>
  <si>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</si>
  <si>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</si>
  <si>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</si>
  <si>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</si>
  <si>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</si>
  <si>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</si>
  <si>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</si>
  <si>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</si>
  <si>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</si>
  <si>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</si>
  <si>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</si>
  <si>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</si>
  <si>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</si>
  <si>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</si>
  <si>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</si>
  <si>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</si>
  <si>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</si>
  <si>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</si>
  <si>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</si>
  <si>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</si>
  <si>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</si>
  <si>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</si>
  <si>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</si>
  <si>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</si>
  <si>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</si>
  <si>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</si>
  <si>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</si>
  <si>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</si>
  <si>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</si>
  <si>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</si>
  <si>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</si>
  <si>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</si>
  <si>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</si>
  <si>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</si>
  <si>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</si>
  <si>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</si>
  <si>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</si>
  <si>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</si>
  <si>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</si>
  <si>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</si>
  <si>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</si>
  <si>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</si>
  <si>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</si>
  <si>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</si>
  <si>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</si>
  <si>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</si>
  <si>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</si>
  <si>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</si>
  <si>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</si>
  <si>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</si>
  <si>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</si>
  <si>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</si>
  <si>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</si>
  <si>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</si>
  <si>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</si>
  <si>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</si>
  <si>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</si>
  <si>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</si>
  <si>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</si>
  <si>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</si>
  <si>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</si>
  <si>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</si>
  <si>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</si>
  <si>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</si>
  <si>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</si>
  <si>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</si>
  <si>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</si>
  <si>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</si>
  <si>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</si>
  <si>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</si>
  <si>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</si>
  <si>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</si>
  <si>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</si>
  <si>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</si>
  <si>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</si>
  <si>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</si>
  <si>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</si>
  <si>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</si>
  <si>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</si>
  <si>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</si>
  <si>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</si>
  <si>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</si>
  <si>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</si>
  <si>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</si>
  <si>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</si>
  <si>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</si>
  <si>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</si>
  <si>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</si>
  <si>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</si>
  <si>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</si>
  <si>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</si>
  <si>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</si>
  <si>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</si>
  <si>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</si>
  <si>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</si>
  <si>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</si>
  <si>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</si>
  <si>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</si>
  <si>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</si>
  <si>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</si>
  <si>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</si>
  <si>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</si>
  <si>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</si>
  <si>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</si>
  <si>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</si>
  <si>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</si>
  <si>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</si>
  <si>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</si>
  <si>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</si>
  <si>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</si>
  <si>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</si>
  <si>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</si>
  <si>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</si>
  <si>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</si>
  <si>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</si>
  <si>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</si>
  <si>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</si>
  <si>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</si>
  <si>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</si>
  <si>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</si>
  <si>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</si>
  <si>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</si>
  <si>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</si>
  <si>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</si>
  <si>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</si>
  <si>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</si>
  <si>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</si>
  <si>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</si>
  <si>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</si>
  <si>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</si>
  <si>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</si>
  <si>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</si>
  <si>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</si>
  <si>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</si>
  <si>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</si>
  <si>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</si>
  <si>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</si>
  <si>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</si>
  <si>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</si>
  <si>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</si>
  <si>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</si>
  <si>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</si>
  <si>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</si>
  <si>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</si>
  <si>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</si>
  <si>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</si>
  <si>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</si>
  <si>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</si>
  <si>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</si>
  <si>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</si>
  <si>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</si>
  <si>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</si>
  <si>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</si>
  <si>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</si>
  <si>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</si>
  <si>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</si>
  <si>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</si>
  <si>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</si>
  <si>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</si>
  <si>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</si>
  <si>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</si>
  <si>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</si>
  <si>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</si>
  <si>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</si>
  <si>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</si>
  <si>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</si>
  <si>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</si>
  <si>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</si>
  <si>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</si>
  <si>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</si>
  <si>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</si>
  <si>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</si>
  <si>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</si>
  <si>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</si>
  <si>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</si>
  <si>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</si>
  <si>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</si>
  <si>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</si>
  <si>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</si>
  <si>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</si>
  <si>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</si>
  <si>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</si>
  <si>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</si>
  <si>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</si>
  <si>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</si>
  <si>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</si>
  <si>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</si>
  <si>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</si>
  <si>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</si>
  <si>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</si>
  <si>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</si>
  <si>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</si>
  <si>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</si>
  <si>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</si>
  <si>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</si>
  <si>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</si>
  <si>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</si>
  <si>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</si>
  <si>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</si>
  <si>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</si>
  <si>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</si>
  <si>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</si>
  <si>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</si>
  <si>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</si>
  <si>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</si>
  <si>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</si>
  <si>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</si>
  <si>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</si>
  <si>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</si>
  <si>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</si>
  <si>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</si>
  <si>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</si>
  <si>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</si>
  <si>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</si>
  <si>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</si>
  <si>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</si>
  <si>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</si>
  <si>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</si>
  <si>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</si>
  <si>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</si>
  <si>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</si>
  <si>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</si>
  <si>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</si>
  <si>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</si>
  <si>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</si>
  <si>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</si>
  <si>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</si>
  <si>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</si>
  <si>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</si>
  <si>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</si>
  <si>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</si>
  <si>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</si>
  <si>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</si>
  <si>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</si>
  <si>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</si>
  <si>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</si>
  <si>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</si>
  <si>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</si>
  <si>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</si>
  <si>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</si>
  <si>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</si>
  <si>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</si>
  <si>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</si>
  <si>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</si>
  <si>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</si>
  <si>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</si>
  <si>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</si>
  <si>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</si>
  <si>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</si>
  <si>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</si>
  <si>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</si>
  <si>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</si>
  <si>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</si>
  <si>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</si>
  <si>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</si>
  <si>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</si>
  <si>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</si>
  <si>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</si>
  <si>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</si>
  <si>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</si>
  <si>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</si>
  <si>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</si>
  <si>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</si>
  <si>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</si>
  <si>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</si>
  <si>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</si>
  <si>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</si>
  <si>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</si>
  <si>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</si>
  <si>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</si>
  <si>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</si>
  <si>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</si>
  <si>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</si>
  <si>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</si>
  <si>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</si>
  <si>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</si>
  <si>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</si>
  <si>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</si>
  <si>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</si>
  <si>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</si>
  <si>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</si>
  <si>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</si>
  <si>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</si>
  <si>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</si>
  <si>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</si>
  <si>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</si>
  <si>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</si>
  <si>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</si>
  <si>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</si>
  <si>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</si>
  <si>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</si>
  <si>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</si>
  <si>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</si>
  <si>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</si>
  <si>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</si>
  <si>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</si>
  <si>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</si>
  <si>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</si>
  <si>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</si>
  <si>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</si>
  <si>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</si>
  <si>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</si>
  <si>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</si>
  <si>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</si>
  <si>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</si>
  <si>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</si>
  <si>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</si>
  <si>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</si>
  <si>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</si>
  <si>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</si>
  <si>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</si>
  <si>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</si>
  <si>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</si>
  <si>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</si>
  <si>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</si>
  <si>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</si>
  <si>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</si>
  <si>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</si>
  <si>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</si>
  <si>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</si>
  <si>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</si>
  <si>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</si>
  <si>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</si>
  <si>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</si>
  <si>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</si>
  <si>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</si>
  <si>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</si>
  <si>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</si>
  <si>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</si>
  <si>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</si>
  <si>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</si>
  <si>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</si>
  <si>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</si>
  <si>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</si>
  <si>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</si>
  <si>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</si>
  <si>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</si>
  <si>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</si>
  <si>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</si>
  <si>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</si>
  <si>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</si>
  <si>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</si>
  <si>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</si>
  <si>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</si>
  <si>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</si>
  <si>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</si>
  <si>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</si>
  <si>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</si>
  <si>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</si>
  <si>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</si>
  <si>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</si>
  <si>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</si>
  <si>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</si>
  <si>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</si>
  <si>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</si>
  <si>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</si>
  <si>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</si>
  <si>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</si>
  <si>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</si>
  <si>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</si>
  <si>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</si>
  <si>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</si>
  <si>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</si>
  <si>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</si>
  <si>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</si>
  <si>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</si>
  <si>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</si>
  <si>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</si>
  <si>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</si>
  <si>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</si>
  <si>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</si>
  <si>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</si>
  <si>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</si>
  <si>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</si>
  <si>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</si>
  <si>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</si>
  <si>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</si>
  <si>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</si>
  <si>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</si>
  <si>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</si>
  <si>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</si>
  <si>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</si>
  <si>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</si>
  <si>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</si>
  <si>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</si>
  <si>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</si>
  <si>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</si>
  <si>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</si>
  <si>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</si>
  <si>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</si>
  <si>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</si>
  <si>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</si>
  <si>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</si>
  <si>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</si>
  <si>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</si>
  <si>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</si>
  <si>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</si>
  <si>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</si>
  <si>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</si>
  <si>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</si>
  <si>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</si>
  <si>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</si>
  <si>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</si>
  <si>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</si>
  <si>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</si>
  <si>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</si>
  <si>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</si>
  <si>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</si>
  <si>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</si>
  <si>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</si>
  <si>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</si>
  <si>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</si>
  <si>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</si>
  <si>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</si>
  <si>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</si>
  <si>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</si>
  <si>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</si>
  <si>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</si>
  <si>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</si>
  <si>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</si>
  <si>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</si>
  <si>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</si>
  <si>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</si>
  <si>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</si>
  <si>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</si>
  <si>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</si>
  <si>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</si>
  <si>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</si>
  <si>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</si>
  <si>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</si>
  <si>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</si>
  <si>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</si>
  <si>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</si>
  <si>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</si>
  <si>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</si>
  <si>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</si>
  <si>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</si>
  <si>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</si>
  <si>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</si>
  <si>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</si>
  <si>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</si>
  <si>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</si>
  <si>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</si>
  <si>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</si>
  <si>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</si>
  <si>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</si>
  <si>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</si>
  <si>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</si>
  <si>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</si>
  <si>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</si>
  <si>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</si>
  <si>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</si>
  <si>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</si>
  <si>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</si>
  <si>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</si>
  <si>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</si>
  <si>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</si>
  <si>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</si>
  <si>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</si>
  <si>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</si>
  <si>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</si>
  <si>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</si>
  <si>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</si>
  <si>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</si>
  <si>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</si>
  <si>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</si>
  <si>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</si>
  <si>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</si>
  <si>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</si>
  <si>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</si>
  <si>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</si>
  <si>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</si>
  <si>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</si>
  <si>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</si>
  <si>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</si>
  <si>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</si>
  <si>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</si>
  <si>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</si>
  <si>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</si>
  <si>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</si>
  <si>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</si>
  <si>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</si>
  <si>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</si>
  <si>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</si>
  <si>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</si>
  <si>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</si>
  <si>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</si>
  <si>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</si>
  <si>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</si>
  <si>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</si>
  <si>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</si>
  <si>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</si>
  <si>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</si>
  <si>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</si>
  <si>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</si>
  <si>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</si>
  <si>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</si>
  <si>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</si>
  <si>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</si>
  <si>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</si>
  <si>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</si>
  <si>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</si>
  <si>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</si>
  <si>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</si>
  <si>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</si>
  <si>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</si>
  <si>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</si>
  <si>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</si>
  <si>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</si>
  <si>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</si>
  <si>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</si>
  <si>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</si>
  <si>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</si>
  <si>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</si>
  <si>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</si>
  <si>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</si>
  <si>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</si>
  <si>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</si>
  <si>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</si>
  <si>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</si>
  <si>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</si>
  <si>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</si>
  <si>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</si>
  <si>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</si>
  <si>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</si>
  <si>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</si>
  <si>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</si>
  <si>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</si>
  <si>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</si>
  <si>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</si>
  <si>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</si>
  <si>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</si>
  <si>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</si>
  <si>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</si>
  <si>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</si>
  <si>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</si>
  <si>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</si>
  <si>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</si>
  <si>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</si>
  <si>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</si>
  <si>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</si>
  <si>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</si>
  <si>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</si>
  <si>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</si>
  <si>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</si>
  <si>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</si>
  <si>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</si>
  <si>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</si>
  <si>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</si>
  <si>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</si>
  <si>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</si>
  <si>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</si>
  <si>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</si>
  <si>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</si>
  <si>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</si>
  <si>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</si>
  <si>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</si>
  <si>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</si>
  <si>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</si>
  <si>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</si>
  <si>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</si>
  <si>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</si>
  <si>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</si>
  <si>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</si>
  <si>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</si>
  <si>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</si>
  <si>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</si>
  <si>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</si>
  <si>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</si>
  <si>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</si>
  <si>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</si>
  <si>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</si>
  <si>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</si>
  <si>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</si>
  <si>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</si>
  <si>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</si>
  <si>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</si>
  <si>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</si>
  <si>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</si>
  <si>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</si>
  <si>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</si>
  <si>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</si>
  <si>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</si>
  <si>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</si>
  <si>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</si>
  <si>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</si>
  <si>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</si>
  <si>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</si>
  <si>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</si>
  <si>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</si>
  <si>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</si>
  <si>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</si>
  <si>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</si>
  <si>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</si>
  <si>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</si>
  <si>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</si>
  <si>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</si>
  <si>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</si>
  <si>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</si>
  <si>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</si>
  <si>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</si>
  <si>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</si>
  <si>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</si>
  <si>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</si>
  <si>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</si>
  <si>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</si>
  <si>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</si>
  <si>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</si>
  <si>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</si>
  <si>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</si>
  <si>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</si>
  <si>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</si>
  <si>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</si>
  <si>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</si>
  <si>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</si>
  <si>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</si>
  <si>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</si>
  <si>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</si>
  <si>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</si>
  <si>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</si>
  <si>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</si>
  <si>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</si>
  <si>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</si>
  <si>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</si>
  <si>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</si>
  <si>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</si>
  <si>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</si>
  <si>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</si>
  <si>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</si>
  <si>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</si>
  <si>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</si>
  <si>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</si>
  <si>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</si>
  <si>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</si>
  <si>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</si>
  <si>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</si>
  <si>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</si>
  <si>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</si>
  <si>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</si>
  <si>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</si>
  <si>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</si>
  <si>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</si>
  <si>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</si>
  <si>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</si>
  <si>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</si>
  <si>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</si>
  <si>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</si>
  <si>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</si>
  <si>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</si>
  <si>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</si>
  <si>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</si>
  <si>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</si>
  <si>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</si>
  <si>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</si>
  <si>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</si>
  <si>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</si>
  <si>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</si>
  <si>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</si>
  <si>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</si>
  <si>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</si>
  <si>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</si>
  <si>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</si>
  <si>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</si>
  <si>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</si>
  <si>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</si>
  <si>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</si>
  <si>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</si>
  <si>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</si>
  <si>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</si>
  <si>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</si>
  <si>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</si>
  <si>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</si>
  <si>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</si>
  <si>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</si>
  <si>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</si>
  <si>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</si>
  <si>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</si>
  <si>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</si>
  <si>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</si>
  <si>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</si>
  <si>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</si>
  <si>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</si>
  <si>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</si>
  <si>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</si>
  <si>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</si>
  <si>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</si>
  <si>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</si>
  <si>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</si>
  <si>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</si>
  <si>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</si>
  <si>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</si>
  <si>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</si>
  <si>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</si>
  <si>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</si>
  <si>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</si>
  <si>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</si>
  <si>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</si>
  <si>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</si>
  <si>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</si>
  <si>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</si>
  <si>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</si>
  <si>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</si>
  <si>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</si>
  <si>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</si>
  <si>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</si>
  <si>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</si>
  <si>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</si>
  <si>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</si>
  <si>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</si>
  <si>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</si>
  <si>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</si>
  <si>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</si>
  <si>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</si>
  <si>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</si>
  <si>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</si>
  <si>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</si>
  <si>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</si>
  <si>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</si>
  <si>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</si>
  <si>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</si>
  <si>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</si>
  <si>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</si>
  <si>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</si>
  <si>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</si>
  <si>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</si>
  <si>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</si>
  <si>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</si>
  <si>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</si>
  <si>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</si>
  <si>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</si>
  <si>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</si>
  <si>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</si>
  <si>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</si>
  <si>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</si>
  <si>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</si>
  <si>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</si>
  <si>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</si>
  <si>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</si>
  <si>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</si>
  <si>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</si>
  <si>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</si>
  <si>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</si>
  <si>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</si>
  <si>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</si>
  <si>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</si>
  <si>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</si>
  <si>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</si>
  <si>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</si>
  <si>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</si>
  <si>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</si>
  <si>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</si>
  <si>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</si>
  <si>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</si>
  <si>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</si>
  <si>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</si>
  <si>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</si>
  <si>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</si>
  <si>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</si>
  <si>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</si>
  <si>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</si>
  <si>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</si>
  <si>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</si>
  <si>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</si>
  <si>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</si>
  <si>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</si>
  <si>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</si>
  <si>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</si>
  <si>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</si>
  <si>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</si>
  <si>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</si>
  <si>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</si>
  <si>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</si>
  <si>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</si>
  <si>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</si>
  <si>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</si>
  <si>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</si>
  <si>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</si>
  <si>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</si>
  <si>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</si>
  <si>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</si>
  <si>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</si>
  <si>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</si>
  <si>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</si>
  <si>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</si>
  <si>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</si>
  <si>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</si>
  <si>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</si>
  <si>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</si>
  <si>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</si>
  <si>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</si>
  <si>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</si>
  <si>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</si>
  <si>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</si>
  <si>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</si>
  <si>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</si>
  <si>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</si>
  <si>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</si>
  <si>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</si>
  <si>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</si>
  <si>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</si>
  <si>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</si>
  <si>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</si>
  <si>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</si>
  <si>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</si>
  <si>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</si>
  <si>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</si>
  <si>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</si>
  <si>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</si>
  <si>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</si>
  <si>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</si>
  <si>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</si>
  <si>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</si>
  <si>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</si>
  <si>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</si>
  <si>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</si>
  <si>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</si>
  <si>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</si>
  <si>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</si>
  <si>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</si>
  <si>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</si>
  <si>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</si>
  <si>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</si>
  <si>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</si>
  <si>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</si>
  <si>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</si>
  <si>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</si>
  <si>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</si>
  <si>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</si>
  <si>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</si>
  <si>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</si>
  <si>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</si>
  <si>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</si>
  <si>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</si>
  <si>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</si>
  <si>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</si>
  <si>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</si>
  <si>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</si>
  <si>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</si>
  <si>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</si>
  <si>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</si>
  <si>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</si>
  <si>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</si>
  <si>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</si>
  <si>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</si>
  <si>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</si>
  <si>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</si>
  <si>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</si>
  <si>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</si>
  <si>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</si>
  <si>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</si>
  <si>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</si>
  <si>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</si>
  <si>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</si>
  <si>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</si>
  <si>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</si>
  <si>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</si>
  <si>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</si>
  <si>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</si>
  <si>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</si>
  <si>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</si>
  <si>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</si>
  <si>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</si>
  <si>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</si>
  <si>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</si>
  <si>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</si>
  <si>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</si>
  <si>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</si>
  <si>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</si>
  <si>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</si>
  <si>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</si>
  <si>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</si>
  <si>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</si>
  <si>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</si>
  <si>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</si>
  <si>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</si>
  <si>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</si>
  <si>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</si>
  <si>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</si>
  <si>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</si>
  <si>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</si>
  <si>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</si>
  <si>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</si>
  <si>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</si>
  <si>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</si>
  <si>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</si>
  <si>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</si>
  <si>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</si>
  <si>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</si>
  <si>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</si>
  <si>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</si>
  <si>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</si>
  <si>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</si>
  <si>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</si>
  <si>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</si>
  <si>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</si>
  <si>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</si>
  <si>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</si>
  <si>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</si>
  <si>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</si>
  <si>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</si>
  <si>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</si>
  <si>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</si>
  <si>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</si>
  <si>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</si>
  <si>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</si>
  <si>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</si>
  <si>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</si>
  <si>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</si>
  <si>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</si>
  <si>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</si>
  <si>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</si>
  <si>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</si>
  <si>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</si>
  <si>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</si>
  <si>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</si>
  <si>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</si>
  <si>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</si>
  <si>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</si>
  <si>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</si>
  <si>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</si>
  <si>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</si>
  <si>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</si>
  <si>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</si>
  <si>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</si>
  <si>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</si>
  <si>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</si>
  <si>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</si>
  <si>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</si>
  <si>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</si>
  <si>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</si>
  <si>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</si>
  <si>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</si>
  <si>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</si>
  <si>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</si>
  <si>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</si>
  <si>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</si>
  <si>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</si>
  <si>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</si>
  <si>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</si>
  <si>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</si>
  <si>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</si>
  <si>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</si>
  <si>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</si>
  <si>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</si>
  <si>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</si>
  <si>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</si>
  <si>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</si>
  <si>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</si>
  <si>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</si>
  <si>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</si>
  <si>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</si>
  <si>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</si>
  <si>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</si>
  <si>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</si>
  <si>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</si>
  <si>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</si>
  <si>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</si>
  <si>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</si>
  <si>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</si>
  <si>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</si>
  <si>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</si>
  <si>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</si>
  <si>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</si>
  <si>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</si>
  <si>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</si>
  <si>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</si>
  <si>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</si>
  <si>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</si>
  <si>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</si>
  <si>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</si>
  <si>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</si>
  <si>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</si>
  <si>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</si>
  <si>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</si>
  <si>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</si>
  <si>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</si>
  <si>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</si>
  <si>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</si>
  <si>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</si>
  <si>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</si>
  <si>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</si>
  <si>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</si>
  <si>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</si>
  <si>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</si>
  <si>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</si>
  <si>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</si>
  <si>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</si>
  <si>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</si>
  <si>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</si>
  <si>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</si>
  <si>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</si>
  <si>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</si>
  <si>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</si>
  <si>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</si>
  <si>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</si>
  <si>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</si>
  <si>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</si>
  <si>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</si>
  <si>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</si>
  <si>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</si>
  <si>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</si>
  <si>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</si>
  <si>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</si>
  <si>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</si>
  <si>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</si>
  <si>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</si>
  <si>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</si>
  <si>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</si>
  <si>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</si>
  <si>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</si>
  <si>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</si>
  <si>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</si>
  <si>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</si>
  <si>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</si>
  <si>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</si>
  <si>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</si>
  <si>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</si>
  <si>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</si>
  <si>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</si>
  <si>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</si>
  <si>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</si>
  <si>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</si>
  <si>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</si>
  <si>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</si>
  <si>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</si>
  <si>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</si>
  <si>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</si>
  <si>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</si>
  <si>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</si>
  <si>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</si>
  <si>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</si>
  <si>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</si>
  <si>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</si>
  <si>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</si>
  <si>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</si>
  <si>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</si>
  <si>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</si>
  <si>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</si>
  <si>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</si>
  <si>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</si>
  <si>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</si>
  <si>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</si>
  <si>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</si>
  <si>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</si>
  <si>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</si>
  <si>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</si>
  <si>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</si>
  <si>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</si>
  <si>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</si>
  <si>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</si>
  <si>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</si>
  <si>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</si>
  <si>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</si>
  <si>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</si>
  <si>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</si>
  <si>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</si>
  <si>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</si>
  <si>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</si>
  <si>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</si>
  <si>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</si>
  <si>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</si>
  <si>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</si>
  <si>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</si>
  <si>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</si>
  <si>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</si>
  <si>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</si>
  <si>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</si>
  <si>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</si>
  <si>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</si>
  <si>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</si>
  <si>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</si>
  <si>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</si>
  <si>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</si>
  <si>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</si>
  <si>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</si>
  <si>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</si>
  <si>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</si>
  <si>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</si>
  <si>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</si>
  <si>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</si>
  <si>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</si>
  <si>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</si>
  <si>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</si>
  <si>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</si>
  <si>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</si>
  <si>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</si>
  <si>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</si>
  <si>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</si>
  <si>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</si>
  <si>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</si>
  <si>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</si>
  <si>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</si>
  <si>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</si>
  <si>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</si>
  <si>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</si>
  <si>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</si>
  <si>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</si>
  <si>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</si>
  <si>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</si>
  <si>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</si>
  <si>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</si>
  <si>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</si>
  <si>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</si>
  <si>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</si>
  <si>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</si>
  <si>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</si>
  <si>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</si>
  <si>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</si>
  <si>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</si>
  <si>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</si>
  <si>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</si>
  <si>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</si>
  <si>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</si>
  <si>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</si>
  <si>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</si>
  <si>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</si>
  <si>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</si>
  <si>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</si>
  <si>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</si>
  <si>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</si>
  <si>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</si>
  <si>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</si>
  <si>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</si>
  <si>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</si>
  <si>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</si>
  <si>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</si>
  <si>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</si>
  <si>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</si>
  <si>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</si>
  <si>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</si>
  <si>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</si>
  <si>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</si>
  <si>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</si>
  <si>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</si>
  <si>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</si>
  <si>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</si>
  <si>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</si>
  <si>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</si>
  <si>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</si>
  <si>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</si>
  <si>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</si>
  <si>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</si>
  <si>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</si>
  <si>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</si>
  <si>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</si>
  <si>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</si>
  <si>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</si>
  <si>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</si>
  <si>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</si>
  <si>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</si>
  <si>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</si>
  <si>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</si>
  <si>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</si>
  <si>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</si>
  <si>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</si>
  <si>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</si>
  <si>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</si>
  <si>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</si>
  <si>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</si>
  <si>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</si>
  <si>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</si>
  <si>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</si>
  <si>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</si>
  <si>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</si>
  <si>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</si>
  <si>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</si>
  <si>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</si>
  <si>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</si>
  <si>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</si>
  <si>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</si>
  <si>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</si>
  <si>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</si>
  <si>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</si>
  <si>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</si>
  <si>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</si>
  <si>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</si>
  <si>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</si>
  <si>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</si>
  <si>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</si>
  <si>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</si>
  <si>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</si>
  <si>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</si>
  <si>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</si>
  <si>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</si>
  <si>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</si>
  <si>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</si>
  <si>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</si>
  <si>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</si>
  <si>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</si>
  <si>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</si>
  <si>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</si>
  <si>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</si>
  <si>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</si>
  <si>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</si>
  <si>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</si>
  <si>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</si>
  <si>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</si>
  <si>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</si>
  <si>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</si>
  <si>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</si>
  <si>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</si>
  <si>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</si>
  <si>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</si>
  <si>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</si>
  <si>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</si>
  <si>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</si>
  <si>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</si>
  <si>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</si>
  <si>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</si>
  <si>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</si>
  <si>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</si>
  <si>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</si>
  <si>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</si>
  <si>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</si>
  <si>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</si>
  <si>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</si>
  <si>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</si>
  <si>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</si>
  <si>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</si>
  <si>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</si>
  <si>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</si>
  <si>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</si>
  <si>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</si>
  <si>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</si>
  <si>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</si>
  <si>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</si>
  <si>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</si>
  <si>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</si>
  <si>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</si>
  <si>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</si>
  <si>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</si>
  <si>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</si>
  <si>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</si>
  <si>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</si>
  <si>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</si>
  <si>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</si>
  <si>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</si>
  <si>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</si>
  <si>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</si>
  <si>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</si>
  <si>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</si>
  <si>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</si>
  <si>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</si>
  <si>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</si>
  <si>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</si>
  <si>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</si>
  <si>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</si>
  <si>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</si>
  <si>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</si>
  <si>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</si>
  <si>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</si>
  <si>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</si>
  <si>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</si>
  <si>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</si>
  <si>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</si>
  <si>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</si>
  <si>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</si>
  <si>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</si>
  <si>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</si>
  <si>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</si>
  <si>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</si>
  <si>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</si>
  <si>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</si>
  <si>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</si>
  <si>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</si>
  <si>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</si>
  <si>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</si>
  <si>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</si>
  <si>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</si>
  <si>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</si>
  <si>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</si>
  <si>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</si>
  <si>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</si>
  <si>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</si>
  <si>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</si>
  <si>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</si>
  <si>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</si>
  <si>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</si>
  <si>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</si>
  <si>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</si>
  <si>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</si>
  <si>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</si>
  <si>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</si>
  <si>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</si>
  <si>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</si>
  <si>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</si>
  <si>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</si>
  <si>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</si>
  <si>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</si>
  <si>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</si>
  <si>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</si>
  <si>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</si>
  <si>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</si>
  <si>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</si>
  <si>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</si>
  <si>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</si>
  <si>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</si>
  <si>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</si>
  <si>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</si>
  <si>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</si>
  <si>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</si>
  <si>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</si>
  <si>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</si>
  <si>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</si>
  <si>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</si>
  <si>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</si>
  <si>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</si>
  <si>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</si>
  <si>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</si>
  <si>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</si>
  <si>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</si>
  <si>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</si>
  <si>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</si>
  <si>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</si>
  <si>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</si>
  <si>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</si>
  <si>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</si>
  <si>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</si>
  <si>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</si>
  <si>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</si>
  <si>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</si>
  <si>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</si>
  <si>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</si>
  <si>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</si>
  <si>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</si>
  <si>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</si>
  <si>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</si>
  <si>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</si>
  <si>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</si>
  <si>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</si>
  <si>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</si>
  <si>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</si>
  <si>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</si>
  <si>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</si>
  <si>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</si>
  <si>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</si>
  <si>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</si>
  <si>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</si>
  <si>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</si>
  <si>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</si>
  <si>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</si>
  <si>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</si>
  <si>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</si>
  <si>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</si>
  <si>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</si>
  <si>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</si>
  <si>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</si>
  <si>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</si>
  <si>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</si>
  <si>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</si>
  <si>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</si>
  <si>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</si>
  <si>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</si>
  <si>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</si>
  <si>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</si>
  <si>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</si>
  <si>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</si>
  <si>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</si>
  <si>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</si>
  <si>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</si>
  <si>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</si>
  <si>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</si>
  <si>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</si>
  <si>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</si>
  <si>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</si>
  <si>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</si>
  <si>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</si>
  <si>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</si>
  <si>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</si>
  <si>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</si>
  <si>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</si>
  <si>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</si>
  <si>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</si>
  <si>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</si>
  <si>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</si>
  <si>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</si>
  <si>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</si>
  <si>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</si>
  <si>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</si>
  <si>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</si>
  <si>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</si>
  <si>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</si>
  <si>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</si>
  <si>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</si>
  <si>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</si>
  <si>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</si>
  <si>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</si>
  <si>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</si>
  <si>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</si>
  <si>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</si>
  <si>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</si>
  <si>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</si>
  <si>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</si>
  <si>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</si>
  <si>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</si>
  <si>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</si>
  <si>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</si>
  <si>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</si>
  <si>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</si>
  <si>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</si>
  <si>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</si>
  <si>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</si>
  <si>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</si>
  <si>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</si>
  <si>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</si>
  <si>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</si>
  <si>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</si>
  <si>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</si>
  <si>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</si>
  <si>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</si>
  <si>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</si>
  <si>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</si>
  <si>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</si>
  <si>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</si>
  <si>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</si>
  <si>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</si>
  <si>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</si>
  <si>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</si>
  <si>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</si>
  <si>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</si>
  <si>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</si>
  <si>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</si>
  <si>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</si>
  <si>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</si>
  <si>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</si>
  <si>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</si>
  <si>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</si>
  <si>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</si>
  <si>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</si>
  <si>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</si>
  <si>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</si>
  <si>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</si>
  <si>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</si>
  <si>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</si>
  <si>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</si>
  <si>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</si>
  <si>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</si>
  <si>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</si>
  <si>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</si>
  <si>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</si>
  <si>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</si>
  <si>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</si>
  <si>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</si>
  <si>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</si>
  <si>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</si>
  <si>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</si>
  <si>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</si>
  <si>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</si>
  <si>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</si>
  <si>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</si>
  <si>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</si>
  <si>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</si>
  <si>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</si>
  <si>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</si>
  <si>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</si>
  <si>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</si>
  <si>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</si>
  <si>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</si>
  <si>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</si>
  <si>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</si>
  <si>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</si>
  <si>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</si>
  <si>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</si>
  <si>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</si>
  <si>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</si>
  <si>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</si>
  <si>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</si>
  <si>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</si>
  <si>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</si>
  <si>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</si>
  <si>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</si>
  <si>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</si>
  <si>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</si>
  <si>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</si>
  <si>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</si>
  <si>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</si>
  <si>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</si>
  <si>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</si>
  <si>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</si>
  <si>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</si>
  <si>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</si>
  <si>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</si>
  <si>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</si>
  <si>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</si>
  <si>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</si>
  <si>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</si>
  <si>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</si>
  <si>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</si>
  <si>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</si>
  <si>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</si>
  <si>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</si>
  <si>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</si>
  <si>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</si>
  <si>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</si>
  <si>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</si>
  <si>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</si>
  <si>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</si>
  <si>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</si>
  <si>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</si>
  <si>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</si>
  <si>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</si>
  <si>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</si>
  <si>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</si>
  <si>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</si>
  <si>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</si>
  <si>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</si>
  <si>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</si>
  <si>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</si>
  <si>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</si>
  <si>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</si>
  <si>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</si>
  <si>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</si>
  <si>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</si>
  <si>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</si>
  <si>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</si>
  <si>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</si>
  <si>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</si>
  <si>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</si>
  <si>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</si>
  <si>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</si>
  <si>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</si>
  <si>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</si>
  <si>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</si>
  <si>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</si>
  <si>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</si>
  <si>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</si>
  <si>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</si>
  <si>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</si>
  <si>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</si>
  <si>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</si>
  <si>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</si>
  <si>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</si>
  <si>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</si>
  <si>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</si>
  <si>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</si>
  <si>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</si>
  <si>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</si>
  <si>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</si>
  <si>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</si>
  <si>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</si>
  <si>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</si>
  <si>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</si>
  <si>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</si>
  <si>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</si>
  <si>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</si>
  <si>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</si>
  <si>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</si>
  <si>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</si>
  <si>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</si>
  <si>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</si>
  <si>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</si>
  <si>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</si>
  <si>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</si>
  <si>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</si>
  <si>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</si>
  <si>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</si>
  <si>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</si>
  <si>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</si>
  <si>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</si>
  <si>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</si>
  <si>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</si>
  <si>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</si>
  <si>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</si>
  <si>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</si>
  <si>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</si>
  <si>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</si>
  <si>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</si>
  <si>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</si>
  <si>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</si>
  <si>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</si>
  <si>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</si>
  <si>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</si>
  <si>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</si>
  <si>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</si>
  <si>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</si>
  <si>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</si>
  <si>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</si>
  <si>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</si>
  <si>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</si>
  <si>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</si>
  <si>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</si>
  <si>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</si>
  <si>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</si>
  <si>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</si>
  <si>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</si>
  <si>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</si>
  <si>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</si>
  <si>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</si>
  <si>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</si>
  <si>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</si>
  <si>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</si>
  <si>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</si>
  <si>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</si>
  <si>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</si>
  <si>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</si>
  <si>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</si>
  <si>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</si>
  <si>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</si>
  <si>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</si>
  <si>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</si>
  <si>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</si>
  <si>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</si>
  <si>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</si>
  <si>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</si>
  <si>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</si>
  <si>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</si>
  <si>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</si>
  <si>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</si>
  <si>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</si>
  <si>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</si>
  <si>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</si>
  <si>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</si>
  <si>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</si>
  <si>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</si>
  <si>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</si>
  <si>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</si>
  <si>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</si>
  <si>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</si>
  <si>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</si>
  <si>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</si>
  <si>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</si>
  <si>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</si>
  <si>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</si>
  <si>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</si>
  <si>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</si>
  <si>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</si>
  <si>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</si>
  <si>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</si>
  <si>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</si>
  <si>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</si>
  <si>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</si>
  <si>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</si>
  <si>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</si>
  <si>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</si>
  <si>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</si>
  <si>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</si>
  <si>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</si>
  <si>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</si>
  <si>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</si>
  <si>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</si>
  <si>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</si>
  <si>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</si>
  <si>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</si>
  <si>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</si>
  <si>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</si>
  <si>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</si>
  <si>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</si>
  <si>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</si>
  <si>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</si>
  <si>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</si>
  <si>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</si>
  <si>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</si>
  <si>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</si>
  <si>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</si>
  <si>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</si>
  <si>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</si>
  <si>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</si>
  <si>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</si>
  <si>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</si>
  <si>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</si>
  <si>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</si>
  <si>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</si>
  <si>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</si>
  <si>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</si>
  <si>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</si>
  <si>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</si>
  <si>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</si>
  <si>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</si>
  <si>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</si>
  <si>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</si>
  <si>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</si>
  <si>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</si>
  <si>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</si>
  <si>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</si>
  <si>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</si>
  <si>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</si>
  <si>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</si>
  <si>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</si>
  <si>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</si>
  <si>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</si>
  <si>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</si>
  <si>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</si>
  <si>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</si>
  <si>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</si>
  <si>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</si>
  <si>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</si>
  <si>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</si>
  <si>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</si>
  <si>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</si>
  <si>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</si>
  <si>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</si>
  <si>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</si>
  <si>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</si>
  <si>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</si>
  <si>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</si>
  <si>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</si>
  <si>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</si>
  <si>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</si>
  <si>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</si>
  <si>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</si>
  <si>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</si>
  <si>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</si>
  <si>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</si>
  <si>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</si>
  <si>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</si>
  <si>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</si>
  <si>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</si>
  <si>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</si>
  <si>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</si>
  <si>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</si>
  <si>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</si>
  <si>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</si>
  <si>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</si>
  <si>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</si>
  <si>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</si>
  <si>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</si>
  <si>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</si>
  <si>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</si>
  <si>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</si>
  <si>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</si>
  <si>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</si>
  <si>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</si>
  <si>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</si>
  <si>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</si>
  <si>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</si>
  <si>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</si>
  <si>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</si>
  <si>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</si>
  <si>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</si>
  <si>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</si>
  <si>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</si>
  <si>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</si>
  <si>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</si>
  <si>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</si>
  <si>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</si>
  <si>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</si>
  <si>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</si>
  <si>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</si>
  <si>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</si>
  <si>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</si>
  <si>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</si>
  <si>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</si>
  <si>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</si>
  <si>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</si>
  <si>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</si>
  <si>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</si>
  <si>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</si>
  <si>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</si>
  <si>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</si>
  <si>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</si>
  <si>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</si>
  <si>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</si>
  <si>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</si>
  <si>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</si>
  <si>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</si>
  <si>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</si>
  <si>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</si>
  <si>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</si>
  <si>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</si>
  <si>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</si>
  <si>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</si>
  <si>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</si>
  <si>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</si>
  <si>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</si>
  <si>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</si>
  <si>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</si>
  <si>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</si>
  <si>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</si>
  <si>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</si>
  <si>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</si>
  <si>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</si>
  <si>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</si>
  <si>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</si>
  <si>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</si>
  <si>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</si>
  <si>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</si>
  <si>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</si>
  <si>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</si>
  <si>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</si>
  <si>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</si>
  <si>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</si>
  <si>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</si>
  <si>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</si>
  <si>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</si>
  <si>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</si>
  <si>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</si>
  <si>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</si>
  <si>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</si>
  <si>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</si>
  <si>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</si>
  <si>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</si>
  <si>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</si>
  <si>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</si>
  <si>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</si>
  <si>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</si>
  <si>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</si>
  <si>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</si>
  <si>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</si>
  <si>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</si>
  <si>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</si>
  <si>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</si>
  <si>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</si>
  <si>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</si>
  <si>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</si>
  <si>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</si>
  <si>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</si>
  <si>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</si>
  <si>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</si>
  <si>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</si>
  <si>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</si>
  <si>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</si>
  <si>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</si>
  <si>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</si>
  <si>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</si>
  <si>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</si>
  <si>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</si>
  <si>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</si>
  <si>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</si>
  <si>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</si>
  <si>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</si>
  <si>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</si>
  <si>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</si>
  <si>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</si>
  <si>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</si>
  <si>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</si>
  <si>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</si>
  <si>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</si>
  <si>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</si>
  <si>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</si>
  <si>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</si>
  <si>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</si>
  <si>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</si>
  <si>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</si>
  <si>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</si>
  <si>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</si>
  <si>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</si>
  <si>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</si>
  <si>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</si>
  <si>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</si>
  <si>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</si>
  <si>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</si>
  <si>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</si>
  <si>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</si>
  <si>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</si>
  <si>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</si>
  <si>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</si>
  <si>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</si>
  <si>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</si>
  <si>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</si>
  <si>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</si>
  <si>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</si>
  <si>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</si>
  <si>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</si>
  <si>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</si>
  <si>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</si>
  <si>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</si>
  <si>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</si>
  <si>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</si>
  <si>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</si>
  <si>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</si>
  <si>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</si>
  <si>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</si>
  <si>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</si>
  <si>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</si>
  <si>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</si>
  <si>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</si>
  <si>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</si>
  <si>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</si>
  <si>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</si>
  <si>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</si>
  <si>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</si>
  <si>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</si>
  <si>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</si>
  <si>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</si>
  <si>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</si>
  <si>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</si>
  <si>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</si>
  <si>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</si>
  <si>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</si>
  <si>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</si>
  <si>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</si>
  <si>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</si>
  <si>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</si>
  <si>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</si>
  <si>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</si>
  <si>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</si>
  <si>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</si>
  <si>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</si>
  <si>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</si>
  <si>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</si>
  <si>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</si>
  <si>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</si>
  <si>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</si>
  <si>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</si>
  <si>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</si>
  <si>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</si>
  <si>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</si>
  <si>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</si>
  <si>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</si>
  <si>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</si>
  <si>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</si>
  <si>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</si>
  <si>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</si>
  <si>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</si>
  <si>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</si>
  <si>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</si>
  <si>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</si>
  <si>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</si>
  <si>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</si>
  <si>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</si>
  <si>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</si>
  <si>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</si>
  <si>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</si>
  <si>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</si>
  <si>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</si>
  <si>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</si>
  <si>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</si>
  <si>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</si>
  <si>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</si>
  <si>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</si>
  <si>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</si>
  <si>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</si>
  <si>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</si>
  <si>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</si>
  <si>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</si>
  <si>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</si>
  <si>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</si>
  <si>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</si>
  <si>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</si>
  <si>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</si>
  <si>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</si>
  <si>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</si>
  <si>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</si>
  <si>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</si>
  <si>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</si>
  <si>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</si>
  <si>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</si>
  <si>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</si>
  <si>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</si>
  <si>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</si>
  <si>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</si>
  <si>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</si>
  <si>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</si>
  <si>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</si>
  <si>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</si>
  <si>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</si>
  <si>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</si>
  <si>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</si>
  <si>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</si>
  <si>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</si>
  <si>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</si>
  <si>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</si>
  <si>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</si>
  <si>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</si>
  <si>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</si>
  <si>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</si>
  <si>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</si>
  <si>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</si>
  <si>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</si>
  <si>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</si>
  <si>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</si>
  <si>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</si>
  <si>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</si>
  <si>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</si>
  <si>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</si>
  <si>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</si>
  <si>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</si>
  <si>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</si>
  <si>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</si>
  <si>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</si>
  <si>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</si>
  <si>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</si>
  <si>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</si>
  <si>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</si>
  <si>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</si>
  <si>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</si>
  <si>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</si>
  <si>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</si>
  <si>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</si>
  <si>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</si>
  <si>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</si>
  <si>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</si>
  <si>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</si>
  <si>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</si>
  <si>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</si>
  <si>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</si>
  <si>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</si>
  <si>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</si>
  <si>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</si>
  <si>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</si>
  <si>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</si>
  <si>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</si>
  <si>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</si>
  <si>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</si>
  <si>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</si>
  <si>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</si>
  <si>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</si>
  <si>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</si>
  <si>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</si>
  <si>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</si>
  <si>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</si>
  <si>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</si>
  <si>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</si>
  <si>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</si>
  <si>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</si>
  <si>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</si>
  <si>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</si>
  <si>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</si>
  <si>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</si>
  <si>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</si>
  <si>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</si>
  <si>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</si>
  <si>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</si>
  <si>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</si>
  <si>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</si>
  <si>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</si>
  <si>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</si>
  <si>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</si>
  <si>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</si>
  <si>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</si>
  <si>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</si>
  <si>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</si>
  <si>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</si>
  <si>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</si>
  <si>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</si>
  <si>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</si>
  <si>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</si>
  <si>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</si>
  <si>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</si>
  <si>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</si>
  <si>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</si>
  <si>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</si>
  <si>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</si>
  <si>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</si>
  <si>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</si>
  <si>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</si>
  <si>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</si>
  <si>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</si>
  <si>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</si>
  <si>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</si>
  <si>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</si>
  <si>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</si>
  <si>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</si>
  <si>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</si>
  <si>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</si>
  <si>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</si>
  <si>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</si>
  <si>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</si>
  <si>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</si>
  <si>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</si>
  <si>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</si>
  <si>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</si>
  <si>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</si>
  <si>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</si>
  <si>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</si>
  <si>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</si>
  <si>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</si>
  <si>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</si>
  <si>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</si>
  <si>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</si>
  <si>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</si>
  <si>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</si>
  <si>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</si>
  <si>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</si>
  <si>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</si>
  <si>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</si>
  <si>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</si>
  <si>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</si>
  <si>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</si>
  <si>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</si>
  <si>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</si>
  <si>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</si>
  <si>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</si>
  <si>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</si>
  <si>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</si>
  <si>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</si>
  <si>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</si>
  <si>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</si>
  <si>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</si>
  <si>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</si>
  <si>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</si>
  <si>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</si>
  <si>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</si>
  <si>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</si>
  <si>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</si>
  <si>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</si>
  <si>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</si>
  <si>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</si>
  <si>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</si>
  <si>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</si>
  <si>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</si>
  <si>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</si>
  <si>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</si>
  <si>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</si>
  <si>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</si>
  <si>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</si>
  <si>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</si>
  <si>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</si>
  <si>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</si>
  <si>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</si>
  <si>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</si>
  <si>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</si>
  <si>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</si>
  <si>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</si>
  <si>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</si>
  <si>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</si>
  <si>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</si>
  <si>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</si>
  <si>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</si>
  <si>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</si>
  <si>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</si>
  <si>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</si>
  <si>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</si>
  <si>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</si>
  <si>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</si>
  <si>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</si>
  <si>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</si>
  <si>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</si>
  <si>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</si>
  <si>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</si>
  <si>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</si>
  <si>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</si>
  <si>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</si>
  <si>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</si>
  <si>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</si>
  <si>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</si>
  <si>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</si>
  <si>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</si>
  <si>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</si>
  <si>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</si>
  <si>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</si>
  <si>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</si>
  <si>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</si>
  <si>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</si>
  <si>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</si>
  <si>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</si>
  <si>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</si>
  <si>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</si>
  <si>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</si>
  <si>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</si>
  <si>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</si>
  <si>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</si>
  <si>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</si>
  <si>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</si>
  <si>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</si>
  <si>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</si>
  <si>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</si>
  <si>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</si>
  <si>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</si>
  <si>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</si>
  <si>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</si>
  <si>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</si>
  <si>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</si>
  <si>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</si>
  <si>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</si>
  <si>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</si>
  <si>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</si>
  <si>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</si>
  <si>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</si>
  <si>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</si>
  <si>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</si>
  <si>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</si>
  <si>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</si>
  <si>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</si>
  <si>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</si>
  <si>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</si>
  <si>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</si>
  <si>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</si>
  <si>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</si>
  <si>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</si>
  <si>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</si>
  <si>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</si>
  <si>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</si>
  <si>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</si>
  <si>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</si>
  <si>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</si>
  <si>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</si>
  <si>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</si>
  <si>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</si>
  <si>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</si>
  <si>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</si>
  <si>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</si>
  <si>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</si>
  <si>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</si>
  <si>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</si>
  <si>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</si>
  <si>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</si>
  <si>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</si>
  <si>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</si>
  <si>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</si>
  <si>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</si>
  <si>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</si>
  <si>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</si>
  <si>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</si>
  <si>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</si>
  <si>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</si>
  <si>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</si>
  <si>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</si>
  <si>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</si>
  <si>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</si>
  <si>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</si>
  <si>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</si>
  <si>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</si>
  <si>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</si>
  <si>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</si>
  <si>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</si>
  <si>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</si>
  <si>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</si>
  <si>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</si>
  <si>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</si>
  <si>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</si>
  <si>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</si>
  <si>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</si>
  <si>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</si>
  <si>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</si>
  <si>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</si>
  <si>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</si>
  <si>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</si>
  <si>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</si>
  <si>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</si>
  <si>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</si>
  <si>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</si>
  <si>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</si>
  <si>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</si>
  <si>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</si>
  <si>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</si>
  <si>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</si>
  <si>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</si>
  <si>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</si>
  <si>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</si>
  <si>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</si>
  <si>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</si>
  <si>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</si>
  <si>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</si>
  <si>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</si>
  <si>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</si>
  <si>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</si>
  <si>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</si>
  <si>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</si>
  <si>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</si>
  <si>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</si>
  <si>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</si>
  <si>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</si>
  <si>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</si>
  <si>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</si>
  <si>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</si>
  <si>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</si>
  <si>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</si>
  <si>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</si>
  <si>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</si>
  <si>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</si>
  <si>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</si>
  <si>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</si>
  <si>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</si>
  <si>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</si>
  <si>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</si>
  <si>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</si>
  <si>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</si>
  <si>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</si>
  <si>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</si>
  <si>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</si>
  <si>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</si>
  <si>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</si>
  <si>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</si>
  <si>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</si>
  <si>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</si>
  <si>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</si>
  <si>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</si>
  <si>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</si>
  <si>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</si>
  <si>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</si>
  <si>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</si>
  <si>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</si>
  <si>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</si>
  <si>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</si>
  <si>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</si>
  <si>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</si>
  <si>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</si>
  <si>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</si>
  <si>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</si>
  <si>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</si>
  <si>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</si>
  <si>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</si>
  <si>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</si>
  <si>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</si>
  <si>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</si>
  <si>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</si>
  <si>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</si>
  <si>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</si>
  <si>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</si>
  <si>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</si>
  <si>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</si>
  <si>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</si>
  <si>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</si>
  <si>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</si>
  <si>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</si>
  <si>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</si>
  <si>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</si>
  <si>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</si>
  <si>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</si>
  <si>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</si>
  <si>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</si>
  <si>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</si>
  <si>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</si>
  <si>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</si>
  <si>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</si>
  <si>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</si>
  <si>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</si>
  <si>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</si>
  <si>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</si>
  <si>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</si>
  <si>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</si>
  <si>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</si>
  <si>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</si>
  <si>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</si>
  <si>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</si>
  <si>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</si>
  <si>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</si>
  <si>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</si>
  <si>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</si>
  <si>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</si>
  <si>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</si>
  <si>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</si>
  <si>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</si>
  <si>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</si>
  <si>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</si>
  <si>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</si>
  <si>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</si>
  <si>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</si>
  <si>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</si>
  <si>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</si>
  <si>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</si>
  <si>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</si>
  <si>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</si>
  <si>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</si>
  <si>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</si>
  <si>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</si>
  <si>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</si>
  <si>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</si>
  <si>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</si>
  <si>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</si>
  <si>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</si>
  <si>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</si>
  <si>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</si>
  <si>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</si>
  <si>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</si>
  <si>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</si>
  <si>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</si>
  <si>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</si>
  <si>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</si>
  <si>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</si>
  <si>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</si>
  <si>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</si>
  <si>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</si>
  <si>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</si>
  <si>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</si>
  <si>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</si>
  <si>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</si>
  <si>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</si>
  <si>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</si>
  <si>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</si>
  <si>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</si>
  <si>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</si>
  <si>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</si>
  <si>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</si>
  <si>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</si>
  <si>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</si>
  <si>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</si>
  <si>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</si>
  <si>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</si>
  <si>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</si>
  <si>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</si>
  <si>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</si>
  <si>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</si>
  <si>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</si>
  <si>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</si>
  <si>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</si>
  <si>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</si>
  <si>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</si>
  <si>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</si>
  <si>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</si>
  <si>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</si>
  <si>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</si>
  <si>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</si>
  <si>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</si>
  <si>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</si>
  <si>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</si>
  <si>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</si>
  <si>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</si>
  <si>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</si>
  <si>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</si>
  <si>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</si>
  <si>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</si>
  <si>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</si>
  <si>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</si>
  <si>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</si>
  <si>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</si>
  <si>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</si>
  <si>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</si>
  <si>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</si>
  <si>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</si>
  <si>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</si>
  <si>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</si>
  <si>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</si>
  <si>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</si>
  <si>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</si>
  <si>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</si>
  <si>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</si>
  <si>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</si>
  <si>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</si>
  <si>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</si>
  <si>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</si>
  <si>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</si>
  <si>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</si>
  <si>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</si>
  <si>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</si>
  <si>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</si>
  <si>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</si>
  <si>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</si>
  <si>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</si>
  <si>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</si>
  <si>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</si>
  <si>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</si>
  <si>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</si>
  <si>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</si>
  <si>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</si>
  <si>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</si>
  <si>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</si>
  <si>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</si>
  <si>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</si>
  <si>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</si>
  <si>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</si>
  <si>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</si>
  <si>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</si>
  <si>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</si>
  <si>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</si>
  <si>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</si>
  <si>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</si>
  <si>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</si>
  <si>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</si>
  <si>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</si>
  <si>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</si>
  <si>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</si>
  <si>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</si>
  <si>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</si>
  <si>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</si>
  <si>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</si>
  <si>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</si>
  <si>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</si>
  <si>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</si>
  <si>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</si>
  <si>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</si>
  <si>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</si>
  <si>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</si>
  <si>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</si>
  <si>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</si>
  <si>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</si>
  <si>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</si>
  <si>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</si>
  <si>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</si>
  <si>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</si>
  <si>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</si>
  <si>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</si>
  <si>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</si>
  <si>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</si>
  <si>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</si>
  <si>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</si>
  <si>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</si>
  <si>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</si>
  <si>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</si>
  <si>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</si>
  <si>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</si>
  <si>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</si>
  <si>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</si>
  <si>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</si>
  <si>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</si>
  <si>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</si>
  <si>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</si>
  <si>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</si>
  <si>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</si>
  <si>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</si>
  <si>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</si>
  <si>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</si>
  <si>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</si>
  <si>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</si>
  <si>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</si>
  <si>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</si>
  <si>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</si>
  <si>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</si>
  <si>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</si>
  <si>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</si>
  <si>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</si>
  <si>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</si>
  <si>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</si>
  <si>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</si>
  <si>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</si>
  <si>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</si>
  <si>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</si>
  <si>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</si>
  <si>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</si>
  <si>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</si>
  <si>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</si>
  <si>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</si>
  <si>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</si>
  <si>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</si>
  <si>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</si>
  <si>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</si>
  <si>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</si>
  <si>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</si>
  <si>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</si>
  <si>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</si>
  <si>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</si>
  <si>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</si>
  <si>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</si>
  <si>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</si>
  <si>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</si>
  <si>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</si>
  <si>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</si>
  <si>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</si>
  <si>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</si>
  <si>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</si>
  <si>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</si>
  <si>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</si>
  <si>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</si>
  <si>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</si>
  <si>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</si>
  <si>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</si>
  <si>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</si>
  <si>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</si>
  <si>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</si>
  <si>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</si>
  <si>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</si>
  <si>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</si>
  <si>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</si>
  <si>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</si>
  <si>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</si>
  <si>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</si>
  <si>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</si>
  <si>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</si>
  <si>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</si>
  <si>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</si>
  <si>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</si>
  <si>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</si>
  <si>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</si>
  <si>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</si>
  <si>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</si>
  <si>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</si>
  <si>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</si>
  <si>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</si>
  <si>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</si>
  <si>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</si>
  <si>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</si>
  <si>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</si>
  <si>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</si>
  <si>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</si>
  <si>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</si>
  <si>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</si>
  <si>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</si>
  <si>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</si>
  <si>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</si>
  <si>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</si>
  <si>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</si>
  <si>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</si>
  <si>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</si>
  <si>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</si>
  <si>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</si>
  <si>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</si>
  <si>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</si>
  <si>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</si>
  <si>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</si>
  <si>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</si>
  <si>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</si>
  <si>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</si>
  <si>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</si>
  <si>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</si>
  <si>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</si>
  <si>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</si>
  <si>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</si>
  <si>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</si>
  <si>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</si>
  <si>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</si>
  <si>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</si>
  <si>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</si>
  <si>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</si>
  <si>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</si>
  <si>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</si>
  <si>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</si>
  <si>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</si>
  <si>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</si>
  <si>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</si>
  <si>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</si>
  <si>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</si>
  <si>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</si>
  <si>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</si>
  <si>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</si>
  <si>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</si>
  <si>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</si>
  <si>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</si>
  <si>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</si>
  <si>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</si>
  <si>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</si>
  <si>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</si>
  <si>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</si>
  <si>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</si>
  <si>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</si>
  <si>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</si>
  <si>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</si>
  <si>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</si>
  <si>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</si>
  <si>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</si>
  <si>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</si>
  <si>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</si>
  <si>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</si>
  <si>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</si>
  <si>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</si>
  <si>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</si>
  <si>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</si>
  <si>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</si>
  <si>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</si>
  <si>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</si>
  <si>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</si>
  <si>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</si>
  <si>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</si>
  <si>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</si>
  <si>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</si>
  <si>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</si>
  <si>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</si>
  <si>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</si>
  <si>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</si>
  <si>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</si>
  <si>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</si>
  <si>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</si>
  <si>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</si>
  <si>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</si>
  <si>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</si>
  <si>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</si>
  <si>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</si>
  <si>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</si>
  <si>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</si>
  <si>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</si>
  <si>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</si>
  <si>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</si>
  <si>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</si>
  <si>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</si>
  <si>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</si>
  <si>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</si>
  <si>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</si>
  <si>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</si>
  <si>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</si>
  <si>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</si>
  <si>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</si>
  <si>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</si>
  <si>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</si>
  <si>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</si>
  <si>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</si>
  <si>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</si>
  <si>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</si>
  <si>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</si>
  <si>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</si>
  <si>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</si>
  <si>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</si>
  <si>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</si>
  <si>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</si>
  <si>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</si>
  <si>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</si>
  <si>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</si>
  <si>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</si>
  <si>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</si>
  <si>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</si>
  <si>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</si>
  <si>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</si>
  <si>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</si>
  <si>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</si>
  <si>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</si>
  <si>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</si>
  <si>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</si>
  <si>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</si>
  <si>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</si>
  <si>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</si>
  <si>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</si>
  <si>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</si>
  <si>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</si>
  <si>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</si>
  <si>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</si>
  <si>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</si>
  <si>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</si>
  <si>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</si>
  <si>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</si>
  <si>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</si>
  <si>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</si>
  <si>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</si>
  <si>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</si>
  <si>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</si>
  <si>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</si>
  <si>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</si>
  <si>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</si>
  <si>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</si>
  <si>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</si>
  <si>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</si>
  <si>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</si>
  <si>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</si>
  <si>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</si>
  <si>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</si>
  <si>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</si>
  <si>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</si>
  <si>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</si>
  <si>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</si>
  <si>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</si>
  <si>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</si>
  <si>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</si>
  <si>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</si>
  <si>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</si>
  <si>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</si>
  <si>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</si>
  <si>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</si>
  <si>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</si>
  <si>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</si>
  <si>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</si>
  <si>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</si>
  <si>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</si>
  <si>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</si>
  <si>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</si>
  <si>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</si>
  <si>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</si>
  <si>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</si>
  <si>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</si>
  <si>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</si>
  <si>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</si>
  <si>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</si>
  <si>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</si>
  <si>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</si>
  <si>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</si>
  <si>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</si>
  <si>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</si>
  <si>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</si>
  <si>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</si>
  <si>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</si>
  <si>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</si>
  <si>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</si>
  <si>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</si>
  <si>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</si>
  <si>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</si>
  <si>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</si>
  <si>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</si>
  <si>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</si>
  <si>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</si>
  <si>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</si>
  <si>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</si>
  <si>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</si>
  <si>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</si>
  <si>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</si>
  <si>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</si>
  <si>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</si>
  <si>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</si>
  <si>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</si>
  <si>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</si>
  <si>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</si>
  <si>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</si>
  <si>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</si>
  <si>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</si>
  <si>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</si>
  <si>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</si>
  <si>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</si>
  <si>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</si>
  <si>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</si>
  <si>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</si>
  <si>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</si>
  <si>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</si>
  <si>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</si>
  <si>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</si>
  <si>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</si>
  <si>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</si>
  <si>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</si>
  <si>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</si>
  <si>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</si>
  <si>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</si>
  <si>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</si>
  <si>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</si>
  <si>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</si>
  <si>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</si>
  <si>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</si>
  <si>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</si>
  <si>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</si>
  <si>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</si>
  <si>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</si>
  <si>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</si>
  <si>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</si>
  <si>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</si>
  <si>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</si>
  <si>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</si>
  <si>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</si>
  <si>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</si>
  <si>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</si>
  <si>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</si>
  <si>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</si>
  <si>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</si>
  <si>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</si>
  <si>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</si>
  <si>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</si>
  <si>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</si>
  <si>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</si>
  <si>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</si>
  <si>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</si>
  <si>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</si>
  <si>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</si>
  <si>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</si>
  <si>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</si>
  <si>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</si>
  <si>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</si>
  <si>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</si>
  <si>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</si>
  <si>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</si>
  <si>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</si>
  <si>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</si>
  <si>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</si>
  <si>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</si>
  <si>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</si>
  <si>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</si>
  <si>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</si>
  <si>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</si>
  <si>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</si>
  <si>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</si>
  <si>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</si>
  <si>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</si>
  <si>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</si>
  <si>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</si>
  <si>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</si>
  <si>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</si>
  <si>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</si>
  <si>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</si>
  <si>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</si>
  <si>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</si>
  <si>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</si>
  <si>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</si>
  <si>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</si>
  <si>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</si>
  <si>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</si>
  <si>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</si>
  <si>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</si>
  <si>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</si>
  <si>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</si>
  <si>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</si>
  <si>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</si>
  <si>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</si>
  <si>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</si>
  <si>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</si>
  <si>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</si>
  <si>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</si>
  <si>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</si>
  <si>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</si>
  <si>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</si>
  <si>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</si>
  <si>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</si>
  <si>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</si>
  <si>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</si>
  <si>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</si>
  <si>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</si>
  <si>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</si>
  <si>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</si>
  <si>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</si>
  <si>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</si>
  <si>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</si>
  <si>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</si>
  <si>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</si>
  <si>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</si>
  <si>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</si>
  <si>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</si>
  <si>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</si>
  <si>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</si>
  <si>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</si>
  <si>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</si>
  <si>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</si>
  <si>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</si>
  <si>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</si>
  <si>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</si>
  <si>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</si>
  <si>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</si>
  <si>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</si>
  <si>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</si>
  <si>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</si>
  <si>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</si>
  <si>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</si>
  <si>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</si>
  <si>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</si>
  <si>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</si>
  <si>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</si>
  <si>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</si>
  <si>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</si>
  <si>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</si>
  <si>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</si>
  <si>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</si>
  <si>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</si>
  <si>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</si>
  <si>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</si>
  <si>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</si>
  <si>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</si>
  <si>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</si>
  <si>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</si>
  <si>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</si>
  <si>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</si>
  <si>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</si>
  <si>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</si>
  <si>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</si>
  <si>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</si>
  <si>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</si>
  <si>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</si>
  <si>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</si>
  <si>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</si>
  <si>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</si>
  <si>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</si>
  <si>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</si>
  <si>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</si>
  <si>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</si>
  <si>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</si>
  <si>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</si>
  <si>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</si>
  <si>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</si>
  <si>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</si>
  <si>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</si>
  <si>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</si>
  <si>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</si>
  <si>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</si>
  <si>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</si>
  <si>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</si>
  <si>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</si>
  <si>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</si>
  <si>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</si>
  <si>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</si>
  <si>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</si>
  <si>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</si>
  <si>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</si>
  <si>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</si>
  <si>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</si>
  <si>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</si>
  <si>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</si>
  <si>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</si>
  <si>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</si>
  <si>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</si>
  <si>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</si>
  <si>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</si>
  <si>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</si>
  <si>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</si>
  <si>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</si>
  <si>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</si>
  <si>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</si>
  <si>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</si>
  <si>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</si>
  <si>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</si>
  <si>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</si>
  <si>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</si>
  <si>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</si>
  <si>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</si>
  <si>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</si>
  <si>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</si>
  <si>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</si>
  <si>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</si>
  <si>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</si>
  <si>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</si>
  <si>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</si>
  <si>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</si>
  <si>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</si>
  <si>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</si>
  <si>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</si>
  <si>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</si>
  <si>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</si>
  <si>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</si>
  <si>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</si>
  <si>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</si>
  <si>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</si>
  <si>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</si>
  <si>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</si>
  <si>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</si>
  <si>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</si>
  <si>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</si>
  <si>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</si>
  <si>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</si>
  <si>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</si>
  <si>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</si>
  <si>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</si>
  <si>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</si>
  <si>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</si>
  <si>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</si>
  <si>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</si>
  <si>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</si>
  <si>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</si>
  <si>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</si>
  <si>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</si>
  <si>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</si>
  <si>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</si>
  <si>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</si>
  <si>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</si>
  <si>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</si>
  <si>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</si>
  <si>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</si>
  <si>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</si>
  <si>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</si>
  <si>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</si>
  <si>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</si>
  <si>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</si>
  <si>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</si>
  <si>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</si>
  <si>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</si>
  <si>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</si>
  <si>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</si>
  <si>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</si>
  <si>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</si>
  <si>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</si>
  <si>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</si>
  <si>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</si>
  <si>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</si>
  <si>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</si>
  <si>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</si>
  <si>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</si>
  <si>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</si>
  <si>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</si>
  <si>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</si>
  <si>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</si>
  <si>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</si>
  <si>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</si>
  <si>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</si>
  <si>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</si>
  <si>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</si>
  <si>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</si>
  <si>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</si>
  <si>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</si>
  <si>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</si>
  <si>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</si>
  <si>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</si>
  <si>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</si>
  <si>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</si>
  <si>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</si>
  <si>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</si>
  <si>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</si>
  <si>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</si>
  <si>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</si>
  <si>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</si>
  <si>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</si>
  <si>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</si>
  <si>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</si>
  <si>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</si>
  <si>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</si>
  <si>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</si>
  <si>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</si>
  <si>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</si>
  <si>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</si>
  <si>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</si>
  <si>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</si>
  <si>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</si>
  <si>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</si>
  <si>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</si>
  <si>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</si>
  <si>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</si>
  <si>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</si>
  <si>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</si>
  <si>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</si>
  <si>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</si>
  <si>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</si>
  <si>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</si>
  <si>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</si>
  <si>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</si>
  <si>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</si>
  <si>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</si>
  <si>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</si>
  <si>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</si>
  <si>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</si>
  <si>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</si>
  <si>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</si>
  <si>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</si>
  <si>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</si>
  <si>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</si>
  <si>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</si>
  <si>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</si>
  <si>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</si>
  <si>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</si>
  <si>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</si>
  <si>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</si>
  <si>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</si>
  <si>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</si>
  <si>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</si>
  <si>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</si>
  <si>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</si>
  <si>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</si>
  <si>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</si>
  <si>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</si>
  <si>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</si>
  <si>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</si>
  <si>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</si>
  <si>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</si>
  <si>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</si>
  <si>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</si>
  <si>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</si>
  <si>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</si>
  <si>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</si>
  <si>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</si>
  <si>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</si>
  <si>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</si>
  <si>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</si>
  <si>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</si>
  <si>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</si>
  <si>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</si>
  <si>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</si>
  <si>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</si>
  <si>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</si>
  <si>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</si>
  <si>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</si>
  <si>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</si>
  <si>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</si>
  <si>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</si>
  <si>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</si>
  <si>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</si>
  <si>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</si>
  <si>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</si>
  <si>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</si>
  <si>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</si>
  <si>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</si>
  <si>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</si>
  <si>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</si>
  <si>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</si>
  <si>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</si>
  <si>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</si>
  <si>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</si>
  <si>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</si>
  <si>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</si>
  <si>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</si>
  <si>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</si>
  <si>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</si>
  <si>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</si>
  <si>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</si>
  <si>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</si>
  <si>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</si>
  <si>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</si>
  <si>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</si>
  <si>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</si>
  <si>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</si>
  <si>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</si>
  <si>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</si>
  <si>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</si>
  <si>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</si>
  <si>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</si>
  <si>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</si>
  <si>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</si>
  <si>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</si>
  <si>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</si>
  <si>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</si>
  <si>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</si>
  <si>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</si>
  <si>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</si>
  <si>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</si>
  <si>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</si>
  <si>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</si>
  <si>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</si>
  <si>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</si>
  <si>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</si>
  <si>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</si>
  <si>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</si>
  <si>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</si>
  <si>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</si>
  <si>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</si>
  <si>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</si>
  <si>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</si>
  <si>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</si>
  <si>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</si>
  <si>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</si>
  <si>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</si>
  <si>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</si>
  <si>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</si>
  <si>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</si>
  <si>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</si>
  <si>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</si>
  <si>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</si>
  <si>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</si>
  <si>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</si>
  <si>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</si>
  <si>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</si>
  <si>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</si>
  <si>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</si>
  <si>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</si>
  <si>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</si>
  <si>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</si>
  <si>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</si>
  <si>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</si>
  <si>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</si>
  <si>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</si>
  <si>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</si>
  <si>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</si>
  <si>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</si>
  <si>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</si>
  <si>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</si>
  <si>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</si>
  <si>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</si>
  <si>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</si>
  <si>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</si>
  <si>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</si>
  <si>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</si>
  <si>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</si>
  <si>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</si>
  <si>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</si>
  <si>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</si>
  <si>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</si>
  <si>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</si>
  <si>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</si>
  <si>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</si>
  <si>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</si>
  <si>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</si>
  <si>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</si>
  <si>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</si>
  <si>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</si>
  <si>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</si>
  <si>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</si>
  <si>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</si>
  <si>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</si>
  <si>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</si>
  <si>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</si>
  <si>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</si>
  <si>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</si>
  <si>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</si>
  <si>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</si>
  <si>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</si>
  <si>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</si>
  <si>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</si>
  <si>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</si>
  <si>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</si>
  <si>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</si>
  <si>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</si>
  <si>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</si>
  <si>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</si>
  <si>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</si>
  <si>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</si>
  <si>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</si>
  <si>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</si>
  <si>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</si>
  <si>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</si>
  <si>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</si>
  <si>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</si>
  <si>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</si>
  <si>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</si>
  <si>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</si>
  <si>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</si>
  <si>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</si>
  <si>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</si>
  <si>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</si>
  <si>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</si>
  <si>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</si>
  <si>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</si>
  <si>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</si>
  <si>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</si>
  <si>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</si>
  <si>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</si>
  <si>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</si>
  <si>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</si>
  <si>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</si>
  <si>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</si>
  <si>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</si>
  <si>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</si>
  <si>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</si>
  <si>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</si>
  <si>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</si>
  <si>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</si>
  <si>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</si>
  <si>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</si>
  <si>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</si>
  <si>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</si>
  <si>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</si>
  <si>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</si>
  <si>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</si>
  <si>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</si>
  <si>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</si>
  <si>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</si>
  <si>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</si>
  <si>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</si>
  <si>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</si>
  <si>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</si>
  <si>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</si>
  <si>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</si>
  <si>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</si>
  <si>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</si>
  <si>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</si>
  <si>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</si>
  <si>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</si>
  <si>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</si>
  <si>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</si>
  <si>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</si>
  <si>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</si>
  <si>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</si>
  <si>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</si>
  <si>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</si>
  <si>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</si>
  <si>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</si>
  <si>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</si>
  <si>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</si>
  <si>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</si>
  <si>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</si>
  <si>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</si>
  <si>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</si>
  <si>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</si>
  <si>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</si>
  <si>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</si>
  <si>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</si>
  <si>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</si>
  <si>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</si>
  <si>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</si>
  <si>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</si>
  <si>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</si>
  <si>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</si>
  <si>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</si>
  <si>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</si>
  <si>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</si>
  <si>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</si>
  <si>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</si>
  <si>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</si>
  <si>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</si>
  <si>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</si>
  <si>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</si>
  <si>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</si>
  <si>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</si>
  <si>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</si>
  <si>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</si>
  <si>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</si>
  <si>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</si>
  <si>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</si>
  <si>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</si>
  <si>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</si>
  <si>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</si>
  <si>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</si>
  <si>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</si>
  <si>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</si>
  <si>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</si>
  <si>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</si>
  <si>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</si>
  <si>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</si>
  <si>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</si>
  <si>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</si>
  <si>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</si>
  <si>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</si>
  <si>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</si>
  <si>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</si>
  <si>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</si>
  <si>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</si>
  <si>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</si>
  <si>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</si>
  <si>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</si>
  <si>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</si>
  <si>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</si>
  <si>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</si>
  <si>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</si>
  <si>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</si>
  <si>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</si>
  <si>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</si>
  <si>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</si>
  <si>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</si>
  <si>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</si>
  <si>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</si>
  <si>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</si>
  <si>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</si>
  <si>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</si>
  <si>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</si>
  <si>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</si>
  <si>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</si>
  <si>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</si>
  <si>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</si>
  <si>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</si>
  <si>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</si>
  <si>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</si>
  <si>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</si>
  <si>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</si>
  <si>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</si>
  <si>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</si>
  <si>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</si>
  <si>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</si>
  <si>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</si>
  <si>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</si>
  <si>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</si>
  <si>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</si>
  <si>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</si>
  <si>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</si>
  <si>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</si>
  <si>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</si>
  <si>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</si>
  <si>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</si>
  <si>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</si>
  <si>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</si>
  <si>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</si>
  <si>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</si>
  <si>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</si>
  <si>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</si>
  <si>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</si>
  <si>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</si>
  <si>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</si>
  <si>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</si>
  <si>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</si>
  <si>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</si>
  <si>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</si>
  <si>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</si>
  <si>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</si>
  <si>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</si>
  <si>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</si>
  <si>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</si>
  <si>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</si>
  <si>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</si>
  <si>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</si>
  <si>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</si>
  <si>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</si>
  <si>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</si>
  <si>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</si>
  <si>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</si>
  <si>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</si>
  <si>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</si>
  <si>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</si>
  <si>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</si>
  <si>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</si>
  <si>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</si>
  <si>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</si>
  <si>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</si>
  <si>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</si>
  <si>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</si>
  <si>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</si>
  <si>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</si>
  <si>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</si>
  <si>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</si>
  <si>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</si>
  <si>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</si>
  <si>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</si>
  <si>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</si>
  <si>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</si>
  <si>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</si>
  <si>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</si>
  <si>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</si>
  <si>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</si>
  <si>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</si>
  <si>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</si>
  <si>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</si>
  <si>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</si>
  <si>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</si>
  <si>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</si>
  <si>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</si>
  <si>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</si>
  <si>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</si>
  <si>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</si>
  <si>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</si>
  <si>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</si>
  <si>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</si>
  <si>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</si>
  <si>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</si>
  <si>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</si>
  <si>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</si>
  <si>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</si>
  <si>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</si>
  <si>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</si>
  <si>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</si>
  <si>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</si>
  <si>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</si>
  <si>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</si>
  <si>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</si>
  <si>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</si>
  <si>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</si>
  <si>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</si>
  <si>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</si>
  <si>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</si>
  <si>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</si>
  <si>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</si>
  <si>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</si>
  <si>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</si>
  <si>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</si>
  <si>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</si>
  <si>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</si>
  <si>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</si>
  <si>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</si>
  <si>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</si>
  <si>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</si>
  <si>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</si>
  <si>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</si>
  <si>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</si>
  <si>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</si>
  <si>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</si>
  <si>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</si>
  <si>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</si>
  <si>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</si>
  <si>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</si>
  <si>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</si>
  <si>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</si>
  <si>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</si>
  <si>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</si>
  <si>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</si>
  <si>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</si>
  <si>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</si>
  <si>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</si>
  <si>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</si>
  <si>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</si>
  <si>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</si>
  <si>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</si>
  <si>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</si>
  <si>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</si>
  <si>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</si>
  <si>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</si>
  <si>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</si>
  <si>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</si>
  <si>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</si>
  <si>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</si>
  <si>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</si>
  <si>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</si>
  <si>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</si>
  <si>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</si>
  <si>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</si>
  <si>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</si>
  <si>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</si>
  <si>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</si>
  <si>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</si>
  <si>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</si>
  <si>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</si>
  <si>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</si>
  <si>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</si>
  <si>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</si>
  <si>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</si>
  <si>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</si>
  <si>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</si>
  <si>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</si>
  <si>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</si>
  <si>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</si>
  <si>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</si>
  <si>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</si>
  <si>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</si>
  <si>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</si>
  <si>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</si>
  <si>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</si>
  <si>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</si>
  <si>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</si>
  <si>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</si>
  <si>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</si>
  <si>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</si>
  <si>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</si>
  <si>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</si>
  <si>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</si>
  <si>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</si>
  <si>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</si>
  <si>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</si>
  <si>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</si>
  <si>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</si>
  <si>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</si>
  <si>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</si>
  <si>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</si>
  <si>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</si>
  <si>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</si>
  <si>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</si>
  <si>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</si>
  <si>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</si>
  <si>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</si>
  <si>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</si>
  <si>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</si>
  <si>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</si>
  <si>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</si>
  <si>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</si>
  <si>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</si>
  <si>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</si>
  <si>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</si>
  <si>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</si>
  <si>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</si>
  <si>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</si>
  <si>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</si>
  <si>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</si>
  <si>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</si>
  <si>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</si>
  <si>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</si>
  <si>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</si>
  <si>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</si>
  <si>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</si>
  <si>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</si>
  <si>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</si>
  <si>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</si>
  <si>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</si>
  <si>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</si>
  <si>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</si>
  <si>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</si>
  <si>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</si>
  <si>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</si>
  <si>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</si>
  <si>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</si>
  <si>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</si>
  <si>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</si>
  <si>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</si>
  <si>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</si>
  <si>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</si>
  <si>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</si>
  <si>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</si>
  <si>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</si>
  <si>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</si>
  <si>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</si>
  <si>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</si>
  <si>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</si>
  <si>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</si>
  <si>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</si>
  <si>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</si>
  <si>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</si>
  <si>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</si>
  <si>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</si>
  <si>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</si>
  <si>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</si>
  <si>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</si>
  <si>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</si>
  <si>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</si>
  <si>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</si>
  <si>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</si>
  <si>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</si>
  <si>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</si>
  <si>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</si>
  <si>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</si>
  <si>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</si>
  <si>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</si>
  <si>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</si>
  <si>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</si>
  <si>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</si>
  <si>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</si>
  <si>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</si>
  <si>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</si>
  <si>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</si>
  <si>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</si>
  <si>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</si>
  <si>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</si>
  <si>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</si>
  <si>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</si>
  <si>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</si>
  <si>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</si>
  <si>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</si>
  <si>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</si>
  <si>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</si>
  <si>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</si>
  <si>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</si>
  <si>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</si>
  <si>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</si>
  <si>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</si>
  <si>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</si>
  <si>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</si>
  <si>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</si>
  <si>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</si>
  <si>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</si>
  <si>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</si>
  <si>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</si>
  <si>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</si>
  <si>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</si>
  <si>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</si>
  <si>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</si>
  <si>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</si>
  <si>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</si>
  <si>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</si>
  <si>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</si>
  <si>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</si>
  <si>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</si>
  <si>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</si>
  <si>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</si>
  <si>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</si>
  <si>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</si>
  <si>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</si>
  <si>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</si>
  <si>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</si>
  <si>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</si>
  <si>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</si>
  <si>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</si>
  <si>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</si>
  <si>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</si>
  <si>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</si>
  <si>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</si>
  <si>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</si>
  <si>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</si>
  <si>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</si>
  <si>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</si>
  <si>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</si>
  <si>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</si>
  <si>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</si>
  <si>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</si>
  <si>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</si>
  <si>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</si>
  <si>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</si>
  <si>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</si>
  <si>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</si>
  <si>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</si>
  <si>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</si>
  <si>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</si>
  <si>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</si>
  <si>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</si>
  <si>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</si>
  <si>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</si>
  <si>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</si>
  <si>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</si>
  <si>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</si>
  <si>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</si>
  <si>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</si>
  <si>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</si>
  <si>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</si>
  <si>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</si>
  <si>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</si>
  <si>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</si>
  <si>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</si>
  <si>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</si>
  <si>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</si>
  <si>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</si>
  <si>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</si>
  <si>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</si>
  <si>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</si>
  <si>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</si>
  <si>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</si>
  <si>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</si>
  <si>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</si>
  <si>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</si>
  <si>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</si>
  <si>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</si>
  <si>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</si>
  <si>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</si>
  <si>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</si>
  <si>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</si>
  <si>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</si>
  <si>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</si>
  <si>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</si>
  <si>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</si>
  <si>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</si>
  <si>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</si>
  <si>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</si>
  <si>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</si>
  <si>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</si>
  <si>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</si>
  <si>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</si>
  <si>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</si>
  <si>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</si>
  <si>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</si>
  <si>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</si>
  <si>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</si>
  <si>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</si>
  <si>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</si>
  <si>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</si>
  <si>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</si>
  <si>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</si>
  <si>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</si>
  <si>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</si>
  <si>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</si>
  <si>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</si>
  <si>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</si>
  <si>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</si>
  <si>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</si>
  <si>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</si>
  <si>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</si>
  <si>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</si>
  <si>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</si>
  <si>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</si>
  <si>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</si>
  <si>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</si>
  <si>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</si>
  <si>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</si>
  <si>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</si>
  <si>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</si>
  <si>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</si>
  <si>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</si>
  <si>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</si>
  <si>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</si>
  <si>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</si>
  <si>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</si>
  <si>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</si>
  <si>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</si>
  <si>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</si>
  <si>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</si>
  <si>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</si>
  <si>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</si>
  <si>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</si>
  <si>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</si>
  <si>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</si>
  <si>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</si>
  <si>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</si>
  <si>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</si>
  <si>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</si>
  <si>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</si>
  <si>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</si>
  <si>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</si>
  <si>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</si>
  <si>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</si>
  <si>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</si>
  <si>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</si>
  <si>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</si>
  <si>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</si>
  <si>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</si>
  <si>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</si>
  <si>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</si>
  <si>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</si>
  <si>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</si>
  <si>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</si>
  <si>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</si>
  <si>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</si>
  <si>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</si>
  <si>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</si>
  <si>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</si>
  <si>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</si>
  <si>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</si>
  <si>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</si>
  <si>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</si>
  <si>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</si>
  <si>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</si>
  <si>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</si>
  <si>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</si>
  <si>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</si>
  <si>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</si>
  <si>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</si>
  <si>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</si>
  <si>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</si>
  <si>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</si>
  <si>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</si>
  <si>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</si>
  <si>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</si>
  <si>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</si>
  <si>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</si>
  <si>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</si>
  <si>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</si>
  <si>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</si>
  <si>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</si>
  <si>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</si>
  <si>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</si>
  <si>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</si>
  <si>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</si>
  <si>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</si>
  <si>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</si>
  <si>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</si>
  <si>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</si>
  <si>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</si>
  <si>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</si>
  <si>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</si>
  <si>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</si>
  <si>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</si>
  <si>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</si>
  <si>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</si>
  <si>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</si>
  <si>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</si>
  <si>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</si>
  <si>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</si>
  <si>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</si>
  <si>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</si>
  <si>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</si>
  <si>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</si>
  <si>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</si>
  <si>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</si>
  <si>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</si>
  <si>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</si>
  <si>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</si>
  <si>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</si>
  <si>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</si>
  <si>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</si>
  <si>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</si>
  <si>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</si>
  <si>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</si>
  <si>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</si>
  <si>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</si>
  <si>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</si>
  <si>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</si>
  <si>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</si>
  <si>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</si>
  <si>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</si>
  <si>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</si>
  <si>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</si>
  <si>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</si>
  <si>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</si>
  <si>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</si>
  <si>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</si>
  <si>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</si>
  <si>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</si>
  <si>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</si>
  <si>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</si>
  <si>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</si>
  <si>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</si>
  <si>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</si>
  <si>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</si>
  <si>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</si>
  <si>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</si>
  <si>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</si>
  <si>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</si>
  <si>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</si>
  <si>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</si>
  <si>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</si>
  <si>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</si>
  <si>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</si>
  <si>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</si>
  <si>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</si>
  <si>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</si>
  <si>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</si>
  <si>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</si>
  <si>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</si>
  <si>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</si>
  <si>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</si>
  <si>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</si>
  <si>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</si>
  <si>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</si>
  <si>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</si>
  <si>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</si>
  <si>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</si>
  <si>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</si>
  <si>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</si>
  <si>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</si>
  <si>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</si>
  <si>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</si>
  <si>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</si>
  <si>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</si>
  <si>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</si>
  <si>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</si>
  <si>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</si>
  <si>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</si>
  <si>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</si>
  <si>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</si>
  <si>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</si>
  <si>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</si>
  <si>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</si>
  <si>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</si>
  <si>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</si>
  <si>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</si>
  <si>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</si>
  <si>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</si>
  <si>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</si>
  <si>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</si>
  <si>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</si>
  <si>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</si>
  <si>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</si>
  <si>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</si>
  <si>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</si>
  <si>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</si>
  <si>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</si>
  <si>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</si>
  <si>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</si>
  <si>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</si>
  <si>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</si>
  <si>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</si>
  <si>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</si>
  <si>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</si>
  <si>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</si>
  <si>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</si>
  <si>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</si>
  <si>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</si>
  <si>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</si>
  <si>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</si>
  <si>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</si>
  <si>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</si>
  <si>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</si>
  <si>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</si>
  <si>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</si>
  <si>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</si>
  <si>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</si>
  <si>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</si>
  <si>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</si>
  <si>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</si>
  <si>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</si>
  <si>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</si>
  <si>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</si>
  <si>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</si>
  <si>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</si>
  <si>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</si>
  <si>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</si>
  <si>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</si>
  <si>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</si>
  <si>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</si>
  <si>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</si>
  <si>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</si>
  <si>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</si>
  <si>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</si>
  <si>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</si>
  <si>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</si>
  <si>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</si>
  <si>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</si>
  <si>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</si>
  <si>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</si>
  <si>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</si>
  <si>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</si>
  <si>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</si>
  <si>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</si>
  <si>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</si>
  <si>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</si>
  <si>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</si>
  <si>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</si>
  <si>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</si>
  <si>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</si>
  <si>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</si>
  <si>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</si>
  <si>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</si>
  <si>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</si>
  <si>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</si>
  <si>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</si>
  <si>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</si>
  <si>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</si>
  <si>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</si>
  <si>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</si>
  <si>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</si>
  <si>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</si>
  <si>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</si>
  <si>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</si>
  <si>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</si>
  <si>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</si>
  <si>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</si>
  <si>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</si>
  <si>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</si>
  <si>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</si>
  <si>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</si>
  <si>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</si>
  <si>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</si>
  <si>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</si>
  <si>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</si>
  <si>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</si>
  <si>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</si>
  <si>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</si>
  <si>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</si>
  <si>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</si>
  <si>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</si>
  <si>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</si>
  <si>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</si>
  <si>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</si>
  <si>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</si>
  <si>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</si>
  <si>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</si>
  <si>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</si>
  <si>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</si>
  <si>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</si>
  <si>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</si>
  <si>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</si>
  <si>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</si>
  <si>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</si>
  <si>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</si>
  <si>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</si>
  <si>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</si>
  <si>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</si>
  <si>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</si>
  <si>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</si>
  <si>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</si>
  <si>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</si>
  <si>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</si>
  <si>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</si>
  <si>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</si>
  <si>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</si>
  <si>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</si>
  <si>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</si>
  <si>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</si>
  <si>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</si>
  <si>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</si>
  <si>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</si>
  <si>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</si>
  <si>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</si>
  <si>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</si>
  <si>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</si>
  <si>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</si>
  <si>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</si>
  <si>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</si>
  <si>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</si>
  <si>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</si>
  <si>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</si>
  <si>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</si>
  <si>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</si>
  <si>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</si>
  <si>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</si>
  <si>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</si>
  <si>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</si>
  <si>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</si>
  <si>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</si>
  <si>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</si>
  <si>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</si>
  <si>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</si>
  <si>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</si>
  <si>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</si>
  <si>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</si>
  <si>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</si>
  <si>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</si>
  <si>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</si>
  <si>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</si>
  <si>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</si>
  <si>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</si>
  <si>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</si>
  <si>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</si>
  <si>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</si>
  <si>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</si>
  <si>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</si>
  <si>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</si>
  <si>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</si>
  <si>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</si>
  <si>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</si>
  <si>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</si>
  <si>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</si>
  <si>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</si>
  <si>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</si>
  <si>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</si>
  <si>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</si>
  <si>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</si>
  <si>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</si>
  <si>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</si>
  <si>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</si>
  <si>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</si>
  <si>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</si>
  <si>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</si>
  <si>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</si>
  <si>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</si>
  <si>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</si>
  <si>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</si>
  <si>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</si>
  <si>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</si>
  <si>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</si>
  <si>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</si>
  <si>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</si>
  <si>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</si>
  <si>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</si>
  <si>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</si>
  <si>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</si>
  <si>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</si>
  <si>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</si>
  <si>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</si>
  <si>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</si>
  <si>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</si>
  <si>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</si>
  <si>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</si>
  <si>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</si>
  <si>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</si>
  <si>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</si>
  <si>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</si>
  <si>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</si>
  <si>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</si>
  <si>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</si>
  <si>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</si>
  <si>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</si>
  <si>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</si>
  <si>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</si>
  <si>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</si>
  <si>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</si>
  <si>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</si>
  <si>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</si>
  <si>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</si>
  <si>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</si>
  <si>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</si>
  <si>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</si>
  <si>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</si>
  <si>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</si>
  <si>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</si>
  <si>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</si>
  <si>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</si>
  <si>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</si>
  <si>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</si>
  <si>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</si>
  <si>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</si>
  <si>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</si>
  <si>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</si>
  <si>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</si>
  <si>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</si>
  <si>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</si>
  <si>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</si>
  <si>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</si>
  <si>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</si>
  <si>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</si>
  <si>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</si>
  <si>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</si>
  <si>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</si>
  <si>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</si>
  <si>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</si>
  <si>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</si>
  <si>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</si>
  <si>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</si>
  <si>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</si>
  <si>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</si>
  <si>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</si>
  <si>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</si>
  <si>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</si>
  <si>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</si>
  <si>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</si>
  <si>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</si>
  <si>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</si>
  <si>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</si>
  <si>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</si>
  <si>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</si>
  <si>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</si>
  <si>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</si>
  <si>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</si>
  <si>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</si>
  <si>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</si>
  <si>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</si>
  <si>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</si>
  <si>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</si>
  <si>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</si>
  <si>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</si>
  <si>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</si>
  <si>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</si>
  <si>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</si>
  <si>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</si>
  <si>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</si>
  <si>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</si>
  <si>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</si>
  <si>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</si>
  <si>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</si>
  <si>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</si>
  <si>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</si>
  <si>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</si>
  <si>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</si>
  <si>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</si>
  <si>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</si>
  <si>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</si>
  <si>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</si>
  <si>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</si>
  <si>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</si>
  <si>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</si>
  <si>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</si>
  <si>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</si>
  <si>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</si>
  <si>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</si>
  <si>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</si>
  <si>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</si>
  <si>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</si>
  <si>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</si>
  <si>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</si>
  <si>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</si>
  <si>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</si>
  <si>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</si>
  <si>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</si>
  <si>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</si>
  <si>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</si>
  <si>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</si>
  <si>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</si>
  <si>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</si>
  <si>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</si>
  <si>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</si>
  <si>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</si>
  <si>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</si>
  <si>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</si>
  <si>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</si>
  <si>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</si>
  <si>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</si>
  <si>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</si>
  <si>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</si>
  <si>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</si>
  <si>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</si>
  <si>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</si>
  <si>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</si>
  <si>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</si>
  <si>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</si>
  <si>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</si>
  <si>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</si>
  <si>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</si>
  <si>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</si>
  <si>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</si>
  <si>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</si>
  <si>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</si>
  <si>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</si>
  <si>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</si>
  <si>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</si>
  <si>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</si>
  <si>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</si>
  <si>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</si>
  <si>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</si>
  <si>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</si>
  <si>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</si>
  <si>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</si>
  <si>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</si>
  <si>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</si>
  <si>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</si>
  <si>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</si>
  <si>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</si>
  <si>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</si>
  <si>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</si>
  <si>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</si>
  <si>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</si>
  <si>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</si>
  <si>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</si>
  <si>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</si>
  <si>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</si>
  <si>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</si>
  <si>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</si>
  <si>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</si>
  <si>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</si>
  <si>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</si>
  <si>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</si>
  <si>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</si>
  <si>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</si>
  <si>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</si>
  <si>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</si>
  <si>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</si>
  <si>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</si>
  <si>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</si>
  <si>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</si>
  <si>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</si>
  <si>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</si>
  <si>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</si>
  <si>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</si>
  <si>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</si>
  <si>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</si>
  <si>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</si>
  <si>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</si>
  <si>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</si>
  <si>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</si>
  <si>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</si>
  <si>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</si>
  <si>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</si>
  <si>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</si>
  <si>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</si>
  <si>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</si>
  <si>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</si>
  <si>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</si>
  <si>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</si>
  <si>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</si>
  <si>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</si>
  <si>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</si>
  <si>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</si>
  <si>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</si>
  <si>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</si>
  <si>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</si>
  <si>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</si>
  <si>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</si>
  <si>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</si>
  <si>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</si>
  <si>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</si>
  <si>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</si>
  <si>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</si>
  <si>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</si>
  <si>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</si>
  <si>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</si>
  <si>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</si>
  <si>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</si>
  <si>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</si>
  <si>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</si>
  <si>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</si>
  <si>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</si>
  <si>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</si>
  <si>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</si>
  <si>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</si>
  <si>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</si>
  <si>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</si>
  <si>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</si>
  <si>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</si>
  <si>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</si>
  <si>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</si>
  <si>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</si>
  <si>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</si>
  <si>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</si>
  <si>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</si>
  <si>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</si>
  <si>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</si>
  <si>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</si>
  <si>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</si>
  <si>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</si>
  <si>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</si>
  <si>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</si>
  <si>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</si>
  <si>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</si>
  <si>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</si>
  <si>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</si>
  <si>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</si>
  <si>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</si>
  <si>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</si>
  <si>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</si>
  <si>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</si>
  <si>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</si>
  <si>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</si>
  <si>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</si>
  <si>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</si>
  <si>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</si>
  <si>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</si>
  <si>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</si>
  <si>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</si>
  <si>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</si>
  <si>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</si>
  <si>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</si>
  <si>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</si>
  <si>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</si>
  <si>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</si>
  <si>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</si>
  <si>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</si>
  <si>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</si>
  <si>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</si>
  <si>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</si>
  <si>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</si>
  <si>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</si>
  <si>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</si>
  <si>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</si>
  <si>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</si>
  <si>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</si>
  <si>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</si>
  <si>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</si>
  <si>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</si>
  <si>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</si>
  <si>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</si>
  <si>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</si>
  <si>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</si>
  <si>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</si>
  <si>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</si>
  <si>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</si>
  <si>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</si>
  <si>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</si>
  <si>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</si>
  <si>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</si>
  <si>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</si>
  <si>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</si>
  <si>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</si>
  <si>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</si>
  <si>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</si>
  <si>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</si>
  <si>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</si>
  <si>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</si>
  <si>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</si>
  <si>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</si>
  <si>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</si>
  <si>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</si>
  <si>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</si>
  <si>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</si>
  <si>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</si>
  <si>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</si>
  <si>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</si>
  <si>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</si>
  <si>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</si>
  <si>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</si>
  <si>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</si>
  <si>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</si>
  <si>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</si>
  <si>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</si>
  <si>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</si>
  <si>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</si>
  <si>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</si>
  <si>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</si>
  <si>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</si>
  <si>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</si>
  <si>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</si>
  <si>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</si>
  <si>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</si>
  <si>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</si>
  <si>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</si>
  <si>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</si>
  <si>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</si>
  <si>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</si>
  <si>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</si>
  <si>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</si>
  <si>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</si>
  <si>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</si>
  <si>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</si>
  <si>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</si>
  <si>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</si>
  <si>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</si>
  <si>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</si>
  <si>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</si>
  <si>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</si>
  <si>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</si>
  <si>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</si>
  <si>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</si>
  <si>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</si>
  <si>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</si>
  <si>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</si>
  <si>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</si>
  <si>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</si>
  <si>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</si>
  <si>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</si>
  <si>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</si>
  <si>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</si>
  <si>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</si>
  <si>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</si>
  <si>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</si>
  <si>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</si>
  <si>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</si>
  <si>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</si>
  <si>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</si>
  <si>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</si>
  <si>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</si>
  <si>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</si>
  <si>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</si>
  <si>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</si>
  <si>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</si>
  <si>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</si>
  <si>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</si>
  <si>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</si>
  <si>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</si>
  <si>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</si>
  <si>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</si>
  <si>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</si>
  <si>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</si>
  <si>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</si>
  <si>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</si>
  <si>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</si>
  <si>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</si>
  <si>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</si>
  <si>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</si>
  <si>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</si>
  <si>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</si>
  <si>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</si>
  <si>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</si>
  <si>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</si>
  <si>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</si>
  <si>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</si>
  <si>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</si>
  <si>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</si>
  <si>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</si>
  <si>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</si>
  <si>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</si>
  <si>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</si>
  <si>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</si>
  <si>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</si>
  <si>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</si>
  <si>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</si>
  <si>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</si>
  <si>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</si>
  <si>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</si>
  <si>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</si>
  <si>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</si>
  <si>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</si>
  <si>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</si>
  <si>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</si>
  <si>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</si>
  <si>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</si>
  <si>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</si>
  <si>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</si>
  <si>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</si>
  <si>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</si>
  <si>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</si>
  <si>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</si>
  <si>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</si>
  <si>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</si>
  <si>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</si>
  <si>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</si>
  <si>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</si>
  <si>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</si>
  <si>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</si>
  <si>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</si>
  <si>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</si>
  <si>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</si>
  <si>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</si>
  <si>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</si>
  <si>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</si>
  <si>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</si>
  <si>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</si>
  <si>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</si>
  <si>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</si>
  <si>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</si>
  <si>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</si>
  <si>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</si>
  <si>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</si>
  <si>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</si>
  <si>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</si>
  <si>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</si>
  <si>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</si>
  <si>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</si>
  <si>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</si>
  <si>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</si>
  <si>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</si>
  <si>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</si>
  <si>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</si>
  <si>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</si>
  <si>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</si>
  <si>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</si>
  <si>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</si>
  <si>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</si>
  <si>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</si>
  <si>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</si>
  <si>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</si>
  <si>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</si>
  <si>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</si>
  <si>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</si>
  <si>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</si>
  <si>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</si>
  <si>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</si>
  <si>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</si>
  <si>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</si>
  <si>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</si>
  <si>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</si>
  <si>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</si>
  <si>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</si>
  <si>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</si>
  <si>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</si>
  <si>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</si>
  <si>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</si>
  <si>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</si>
  <si>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</si>
  <si>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</si>
  <si>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</si>
  <si>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</si>
  <si>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</si>
  <si>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</si>
  <si>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</si>
  <si>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</si>
  <si>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</si>
  <si>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</si>
  <si>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</si>
  <si>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</si>
  <si>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</si>
  <si>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</si>
  <si>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</si>
  <si>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</si>
  <si>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</si>
  <si>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</si>
  <si>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</si>
  <si>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</si>
  <si>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</si>
  <si>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</si>
  <si>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</si>
  <si>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</si>
  <si>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</si>
  <si>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</si>
  <si>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</si>
  <si>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</si>
  <si>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</si>
  <si>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</si>
  <si>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</si>
  <si>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</si>
  <si>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</si>
  <si>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</si>
  <si>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</si>
  <si>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</si>
  <si>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</si>
  <si>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</si>
  <si>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</si>
  <si>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</si>
  <si>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</si>
  <si>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</si>
  <si>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</si>
  <si>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</si>
  <si>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</si>
  <si>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</si>
  <si>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</si>
  <si>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</si>
  <si>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</si>
  <si>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</si>
  <si>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</si>
  <si>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</si>
  <si>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</si>
  <si>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</si>
  <si>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</si>
  <si>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</si>
  <si>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</si>
  <si>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</si>
  <si>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</si>
  <si>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</si>
  <si>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</si>
  <si>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</si>
  <si>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</si>
  <si>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</si>
  <si>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</si>
  <si>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</si>
  <si>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</si>
  <si>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</si>
  <si>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</si>
  <si>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</si>
  <si>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</si>
  <si>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</si>
  <si>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</si>
  <si>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</si>
  <si>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</si>
  <si>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</si>
  <si>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</si>
  <si>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</si>
  <si>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</si>
  <si>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</si>
  <si>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</si>
  <si>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</si>
  <si>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</si>
  <si>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</si>
  <si>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</si>
  <si>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</si>
  <si>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</si>
  <si>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</si>
  <si>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</si>
  <si>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</si>
  <si>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</si>
  <si>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</si>
  <si>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</si>
  <si>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</si>
  <si>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</si>
  <si>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</si>
  <si>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</si>
  <si>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</si>
  <si>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</si>
  <si>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</si>
  <si>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</si>
  <si>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</si>
  <si>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</si>
  <si>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</si>
  <si>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</si>
  <si>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</si>
  <si>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</si>
  <si>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</si>
  <si>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</si>
  <si>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</si>
  <si>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</si>
  <si>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</si>
  <si>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</si>
  <si>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</si>
  <si>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</si>
  <si>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</si>
  <si>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</si>
  <si>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</si>
  <si>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</si>
  <si>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</si>
  <si>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</si>
  <si>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</si>
  <si>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</si>
  <si>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</si>
  <si>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</si>
  <si>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</si>
  <si>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</si>
  <si>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</si>
  <si>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</si>
  <si>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</si>
  <si>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</si>
  <si>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</si>
  <si>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</si>
  <si>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</si>
  <si>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</si>
  <si>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</si>
  <si>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</si>
  <si>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</si>
  <si>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</si>
  <si>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</si>
  <si>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</si>
  <si>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</si>
  <si>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</si>
  <si>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</si>
  <si>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</si>
  <si>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</si>
  <si>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</si>
  <si>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</si>
  <si>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</si>
  <si>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</si>
  <si>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</si>
  <si>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</si>
  <si>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</si>
  <si>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</si>
  <si>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</si>
  <si>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</si>
  <si>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</si>
  <si>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</si>
  <si>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</si>
  <si>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</si>
  <si>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</si>
  <si>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</si>
  <si>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</si>
  <si>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</si>
  <si>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</si>
  <si>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</si>
  <si>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</si>
  <si>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</si>
  <si>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</si>
  <si>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</si>
  <si>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</si>
  <si>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</si>
  <si>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</si>
  <si>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</si>
  <si>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</si>
  <si>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</si>
  <si>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</si>
  <si>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</si>
  <si>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</si>
  <si>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</si>
  <si>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</si>
  <si>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</si>
  <si>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</si>
  <si>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</si>
  <si>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</si>
  <si>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</si>
  <si>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</si>
  <si>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</si>
  <si>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</si>
  <si>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</si>
  <si>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</si>
  <si>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</si>
  <si>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</si>
  <si>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</si>
  <si>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</si>
  <si>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</si>
  <si>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</si>
  <si>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</si>
  <si>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</si>
  <si>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</si>
  <si>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</si>
  <si>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</si>
  <si>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</si>
  <si>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</si>
  <si>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</si>
  <si>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</si>
  <si>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</si>
  <si>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</si>
  <si>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</si>
  <si>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</si>
  <si>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</si>
  <si>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</si>
  <si>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</si>
  <si>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</si>
  <si>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</si>
  <si>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</si>
  <si>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</si>
  <si>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</si>
  <si>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</si>
  <si>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</si>
  <si>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</si>
  <si>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</si>
  <si>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</si>
  <si>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</si>
  <si>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</si>
  <si>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</si>
  <si>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</si>
  <si>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</si>
  <si>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</si>
  <si>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</si>
  <si>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</si>
  <si>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</si>
  <si>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</si>
  <si>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</si>
  <si>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</si>
  <si>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</si>
  <si>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</si>
  <si>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</si>
  <si>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</si>
  <si>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</si>
  <si>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</si>
  <si>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</si>
  <si>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</si>
  <si>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</si>
  <si>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</si>
  <si>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</si>
  <si>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</si>
  <si>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</si>
  <si>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</si>
  <si>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</si>
  <si>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</si>
  <si>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</si>
  <si>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</si>
  <si>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</si>
  <si>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</si>
  <si>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</si>
  <si>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</si>
  <si>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</si>
  <si>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</si>
  <si>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</si>
  <si>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</si>
  <si>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</si>
  <si>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</si>
  <si>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</si>
  <si>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</si>
  <si>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</si>
  <si>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</si>
  <si>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</si>
  <si>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</si>
  <si>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</si>
  <si>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</si>
  <si>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</si>
  <si>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</si>
  <si>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</si>
  <si>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</si>
  <si>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</si>
  <si>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</si>
  <si>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</si>
  <si>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</si>
  <si>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</si>
  <si>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</si>
  <si>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</si>
  <si>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</si>
  <si>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</si>
  <si>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</si>
  <si>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</si>
  <si>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</si>
  <si>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</si>
  <si>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</si>
  <si>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</si>
  <si>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</si>
  <si>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</si>
  <si>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</si>
  <si>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</si>
  <si>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</si>
  <si>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</si>
  <si>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</si>
  <si>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</si>
  <si>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</si>
  <si>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</si>
  <si>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</si>
  <si>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</si>
  <si>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</si>
  <si>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</si>
  <si>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</si>
  <si>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</si>
  <si>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</si>
  <si>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</si>
  <si>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</si>
  <si>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</si>
  <si>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</si>
  <si>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</si>
  <si>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</si>
  <si>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</si>
  <si>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</si>
  <si>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</si>
  <si>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</si>
  <si>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</si>
  <si>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</si>
  <si>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</si>
  <si>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</si>
  <si>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</si>
  <si>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</si>
  <si>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</si>
  <si>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</si>
  <si>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</si>
  <si>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</si>
  <si>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</si>
  <si>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</si>
  <si>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</si>
  <si>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</si>
  <si>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</si>
  <si>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</si>
  <si>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</si>
  <si>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</si>
  <si>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</si>
  <si>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</si>
  <si>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</si>
  <si>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</si>
  <si>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</si>
  <si>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</si>
  <si>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</si>
  <si>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</si>
  <si>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</si>
  <si>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</si>
  <si>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</si>
  <si>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</si>
  <si>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</si>
  <si>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</si>
  <si>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</si>
  <si>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</si>
  <si>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</si>
  <si>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</si>
  <si>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</si>
  <si>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</si>
  <si>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</si>
  <si>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</si>
  <si>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</si>
  <si>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</si>
  <si>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</si>
  <si>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</si>
  <si>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</si>
  <si>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</si>
  <si>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</si>
  <si>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</si>
  <si>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</si>
  <si>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</si>
  <si>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</si>
  <si>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</si>
  <si>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</si>
  <si>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</si>
  <si>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</si>
  <si>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</si>
  <si>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</si>
  <si>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</si>
  <si>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</si>
  <si>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</si>
  <si>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</si>
  <si>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</si>
  <si>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</si>
  <si>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</si>
  <si>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</si>
  <si>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</si>
  <si>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</si>
  <si>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</si>
  <si>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</si>
  <si>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</si>
  <si>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</si>
  <si>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</si>
  <si>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</si>
  <si>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</si>
  <si>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</si>
  <si>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</si>
  <si>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</si>
  <si>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</si>
  <si>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</si>
  <si>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</si>
  <si>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</si>
  <si>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</si>
  <si>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</si>
  <si>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</si>
  <si>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</si>
  <si>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</si>
  <si>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</si>
  <si>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</si>
  <si>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</si>
  <si>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</si>
  <si>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</si>
  <si>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</si>
  <si>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</si>
  <si>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</si>
  <si>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</si>
  <si>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</si>
  <si>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</si>
  <si>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</si>
  <si>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</si>
  <si>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</si>
  <si>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</si>
  <si>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</si>
  <si>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</si>
  <si>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</si>
  <si>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</si>
  <si>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</si>
  <si>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</si>
  <si>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</si>
  <si>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</si>
  <si>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</si>
  <si>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</si>
  <si>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</si>
  <si>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</si>
  <si>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</si>
  <si>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</si>
  <si>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</si>
  <si>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</si>
  <si>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</si>
  <si>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</si>
  <si>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</si>
  <si>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</si>
  <si>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</si>
  <si>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</si>
  <si>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</si>
  <si>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</si>
  <si>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</si>
  <si>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</si>
  <si>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</si>
  <si>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</si>
  <si>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</si>
  <si>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</si>
  <si>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</si>
  <si>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</si>
  <si>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</si>
  <si>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</si>
  <si>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</si>
  <si>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</si>
  <si>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</si>
  <si>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</si>
  <si>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</si>
  <si>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</si>
  <si>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</si>
  <si>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</si>
  <si>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</si>
  <si>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</si>
  <si>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</si>
  <si>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</si>
  <si>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</si>
  <si>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</si>
  <si>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</si>
  <si>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</si>
  <si>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</si>
  <si>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</si>
  <si>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</si>
  <si>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</si>
  <si>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</si>
  <si>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</si>
  <si>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</si>
  <si>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</si>
  <si>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</si>
  <si>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</si>
  <si>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</si>
  <si>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</si>
  <si>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</si>
  <si>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</si>
  <si>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</si>
  <si>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</si>
  <si>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</si>
  <si>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</si>
  <si>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</si>
  <si>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</si>
  <si>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</si>
  <si>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</si>
  <si>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</si>
  <si>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</si>
  <si>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</si>
  <si>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</si>
  <si>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</si>
  <si>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</si>
  <si>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</si>
  <si>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</si>
  <si>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</si>
  <si>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</si>
  <si>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</si>
  <si>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</si>
  <si>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</si>
  <si>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</si>
  <si>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</si>
  <si>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</si>
  <si>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</si>
  <si>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</si>
  <si>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</si>
  <si>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</si>
  <si>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</si>
  <si>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</si>
  <si>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</si>
  <si>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</si>
  <si>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</si>
  <si>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</si>
  <si>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</si>
  <si>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</si>
  <si>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</si>
  <si>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</si>
  <si>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</si>
  <si>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</si>
  <si>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</si>
  <si>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</si>
  <si>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</si>
  <si>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</si>
  <si>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</si>
  <si>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</si>
  <si>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</si>
  <si>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</si>
  <si>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</si>
  <si>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</si>
  <si>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</si>
  <si>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</si>
  <si>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</si>
  <si>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</si>
  <si>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</si>
  <si>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</si>
  <si>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</si>
  <si>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</si>
  <si>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</si>
  <si>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</si>
  <si>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</si>
  <si>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</si>
  <si>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</si>
  <si>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</si>
  <si>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</si>
  <si>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</si>
  <si>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</si>
  <si>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</si>
  <si>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</si>
  <si>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</si>
  <si>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</si>
  <si>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</si>
  <si>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</si>
  <si>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</si>
  <si>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</si>
  <si>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</si>
  <si>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</si>
  <si>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</si>
  <si>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</si>
  <si>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</si>
  <si>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</si>
  <si>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</si>
  <si>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</si>
  <si>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</si>
  <si>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</si>
  <si>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</si>
  <si>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</si>
  <si>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</si>
  <si>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</si>
  <si>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</si>
  <si>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</si>
  <si>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</si>
  <si>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</si>
  <si>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</si>
  <si>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</si>
  <si>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</si>
  <si>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</si>
  <si>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</si>
  <si>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</si>
  <si>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</si>
  <si>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</si>
  <si>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</si>
  <si>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</si>
  <si>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</si>
  <si>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</si>
  <si>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</si>
  <si>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</si>
  <si>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</si>
  <si>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</si>
  <si>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</si>
  <si>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</si>
  <si>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</si>
  <si>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</si>
  <si>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</si>
  <si>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</si>
  <si>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</si>
  <si>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</si>
  <si>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</si>
  <si>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</si>
  <si>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</si>
  <si>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</si>
  <si>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</si>
  <si>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</si>
  <si>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</si>
  <si>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</si>
  <si>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</si>
  <si>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</si>
  <si>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</si>
  <si>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</si>
  <si>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</si>
  <si>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</si>
  <si>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</si>
  <si>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</si>
  <si>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</si>
  <si>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</si>
  <si>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</si>
  <si>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</si>
  <si>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</si>
  <si>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</si>
  <si>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</si>
  <si>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</si>
  <si>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</si>
  <si>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</si>
  <si>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</si>
  <si>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</si>
  <si>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</si>
  <si>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</si>
  <si>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</si>
  <si>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</si>
  <si>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</si>
  <si>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</si>
  <si>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</si>
  <si>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</si>
  <si>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</si>
  <si>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</si>
  <si>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</si>
  <si>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</si>
  <si>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</si>
  <si>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</si>
  <si>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</si>
  <si>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</si>
  <si>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</si>
  <si>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</si>
  <si>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</si>
  <si>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</si>
  <si>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</si>
  <si>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</si>
  <si>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</si>
  <si>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</si>
  <si>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</si>
  <si>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</si>
  <si>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</si>
  <si>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</si>
  <si>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</si>
  <si>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</si>
  <si>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</si>
  <si>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</si>
  <si>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</si>
  <si>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</si>
  <si>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</si>
  <si>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</si>
  <si>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</si>
  <si>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</si>
  <si>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</si>
  <si>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</si>
  <si>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</si>
  <si>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</si>
  <si>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</si>
  <si>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</si>
  <si>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</si>
  <si>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</si>
  <si>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</si>
  <si>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</si>
  <si>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</si>
  <si>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</si>
  <si>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</si>
  <si>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</si>
  <si>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</si>
  <si>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</si>
  <si>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</si>
  <si>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</si>
  <si>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</si>
  <si>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</si>
  <si>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</si>
  <si>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</si>
  <si>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</si>
  <si>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</si>
  <si>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</si>
  <si>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</si>
  <si>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</si>
  <si>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</si>
  <si>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</si>
  <si>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</si>
  <si>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</si>
  <si>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</si>
  <si>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</si>
  <si>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</si>
  <si>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</si>
  <si>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</si>
  <si>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</si>
  <si>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</si>
  <si>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</si>
  <si>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</si>
  <si>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</si>
  <si>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</si>
  <si>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</si>
  <si>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</si>
  <si>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</si>
  <si>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</si>
  <si>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</si>
  <si>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</si>
  <si>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</si>
  <si>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</si>
  <si>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</si>
  <si>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</si>
  <si>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</si>
  <si>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</si>
  <si>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</si>
  <si>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</si>
  <si>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</si>
  <si>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</si>
  <si>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</si>
  <si>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</si>
  <si>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</si>
  <si>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</si>
  <si>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</si>
  <si>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</si>
  <si>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</si>
  <si>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</si>
  <si>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</si>
  <si>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</si>
  <si>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</si>
  <si>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</si>
  <si>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</si>
  <si>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</si>
  <si>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</si>
  <si>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</si>
  <si>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</si>
  <si>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</si>
  <si>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</si>
  <si>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</si>
  <si>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</si>
  <si>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</si>
  <si>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</si>
  <si>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</si>
  <si>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</si>
  <si>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</si>
  <si>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</si>
  <si>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</si>
  <si>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</si>
  <si>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</si>
  <si>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</si>
  <si>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</si>
  <si>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</si>
  <si>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</si>
  <si>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</si>
  <si>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</si>
  <si>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</si>
  <si>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</si>
  <si>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</si>
  <si>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</si>
  <si>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</si>
  <si>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</si>
  <si>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</si>
  <si>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</si>
  <si>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</si>
  <si>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</si>
  <si>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</si>
  <si>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</si>
  <si>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</si>
  <si>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</si>
  <si>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</si>
  <si>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</si>
  <si>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</si>
  <si>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</si>
  <si>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</si>
  <si>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</si>
  <si>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</si>
  <si>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</si>
  <si>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</si>
  <si>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</si>
  <si>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</si>
  <si>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</si>
  <si>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</si>
  <si>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</si>
  <si>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</si>
  <si>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</si>
  <si>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</si>
  <si>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</si>
  <si>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</si>
  <si>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</si>
  <si>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</si>
  <si>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</si>
  <si>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</si>
  <si>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</si>
  <si>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</si>
  <si>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</si>
  <si>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</si>
  <si>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</si>
  <si>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</si>
  <si>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</si>
  <si>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</si>
  <si>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</si>
  <si>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</si>
  <si>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</si>
  <si>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</si>
  <si>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</si>
  <si>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</si>
  <si>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</si>
  <si>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</si>
  <si>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</si>
  <si>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</si>
  <si>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</si>
  <si>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</si>
  <si>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</si>
  <si>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</si>
  <si>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</si>
  <si>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</si>
  <si>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</si>
  <si>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</si>
  <si>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</si>
  <si>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</si>
  <si>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</si>
  <si>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</si>
  <si>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</si>
  <si>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</si>
  <si>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</si>
  <si>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</si>
  <si>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</si>
  <si>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</si>
  <si>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</si>
  <si>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</si>
  <si>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</si>
  <si>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</si>
  <si>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</si>
  <si>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</si>
  <si>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</si>
  <si>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</si>
  <si>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</si>
  <si>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</si>
  <si>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</si>
  <si>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</si>
  <si>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</si>
  <si>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</si>
  <si>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</si>
  <si>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</si>
  <si>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</si>
  <si>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</si>
  <si>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</si>
  <si>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</si>
  <si>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</si>
  <si>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</si>
  <si>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</si>
  <si>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</si>
  <si>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</si>
  <si>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</si>
  <si>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</si>
  <si>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</si>
  <si>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</si>
  <si>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</si>
  <si>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</si>
  <si>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</si>
  <si>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</si>
  <si>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</si>
  <si>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</si>
  <si>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</si>
  <si>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</si>
  <si>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</si>
  <si>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</si>
  <si>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</si>
  <si>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</si>
  <si>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</si>
  <si>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</si>
  <si>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</si>
  <si>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</si>
  <si>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</si>
  <si>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</si>
  <si>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</si>
  <si>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</si>
  <si>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</si>
  <si>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</si>
  <si>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</si>
  <si>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</si>
  <si>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</si>
  <si>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</si>
  <si>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</si>
  <si>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</si>
  <si>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</si>
  <si>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</si>
  <si>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</si>
  <si>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</si>
  <si>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</si>
  <si>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</si>
  <si>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</si>
  <si>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</si>
  <si>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</si>
  <si>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</si>
  <si>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</si>
  <si>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</si>
  <si>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</si>
  <si>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</si>
  <si>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</si>
  <si>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</si>
  <si>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</si>
  <si>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</si>
  <si>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</si>
  <si>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</si>
  <si>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</si>
  <si>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</si>
  <si>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</si>
  <si>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</si>
  <si>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</si>
  <si>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</si>
  <si>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</si>
  <si>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</si>
  <si>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</si>
  <si>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</si>
  <si>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</si>
  <si>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</si>
  <si>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</si>
  <si>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</si>
  <si>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</si>
  <si>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</si>
  <si>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</si>
  <si>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</si>
  <si>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</si>
  <si>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</si>
  <si>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</si>
  <si>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</si>
  <si>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</si>
  <si>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</si>
  <si>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</si>
  <si>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</si>
  <si>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</si>
  <si>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</si>
  <si>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</si>
  <si>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</si>
  <si>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</si>
  <si>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</si>
  <si>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</si>
  <si>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</si>
  <si>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</si>
  <si>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</si>
  <si>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</si>
  <si>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</si>
  <si>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</si>
  <si>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</si>
  <si>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</si>
  <si>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</si>
  <si>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</si>
  <si>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</si>
  <si>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</si>
  <si>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</si>
  <si>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</si>
  <si>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</si>
  <si>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</si>
  <si>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</si>
  <si>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</si>
  <si>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</si>
  <si>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</si>
  <si>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</si>
  <si>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</si>
  <si>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</si>
  <si>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</si>
  <si>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</si>
  <si>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</si>
  <si>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</si>
  <si>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</si>
  <si>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</si>
  <si>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</si>
  <si>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</si>
  <si>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</si>
  <si>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</si>
  <si>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</si>
  <si>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</si>
  <si>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</si>
  <si>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</si>
  <si>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</si>
  <si>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</si>
  <si>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</si>
  <si>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</si>
  <si>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</si>
  <si>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</si>
  <si>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</si>
  <si>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</si>
  <si>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</si>
  <si>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</si>
  <si>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</si>
  <si>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</si>
  <si>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</si>
  <si>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</si>
  <si>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</si>
  <si>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</si>
  <si>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</si>
  <si>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</si>
  <si>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</si>
  <si>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</si>
  <si>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</si>
  <si>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</si>
  <si>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</si>
  <si>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</si>
  <si>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</si>
  <si>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</si>
  <si>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</si>
  <si>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</si>
  <si>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</si>
  <si>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</si>
  <si>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</si>
  <si>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</si>
  <si>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</si>
  <si>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</si>
  <si>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</si>
  <si>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</si>
  <si>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</si>
  <si>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</si>
  <si>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</si>
  <si>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</si>
  <si>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</si>
  <si>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</si>
  <si>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</si>
  <si>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</si>
  <si>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</si>
  <si>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</si>
  <si>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</si>
  <si>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</si>
  <si>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</si>
  <si>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</si>
  <si>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</si>
  <si>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</si>
  <si>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</si>
  <si>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</si>
  <si>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</si>
  <si>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</si>
  <si>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</si>
  <si>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</si>
  <si>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</si>
  <si>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</si>
  <si>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</si>
  <si>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</si>
  <si>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</si>
  <si>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</si>
  <si>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</si>
  <si>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</si>
  <si>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</si>
  <si>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</si>
  <si>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</si>
  <si>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</si>
  <si>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</si>
  <si>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</si>
  <si>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</si>
  <si>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</si>
  <si>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</si>
  <si>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</si>
  <si>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</si>
  <si>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</si>
  <si>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</si>
  <si>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</si>
  <si>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</si>
  <si>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</si>
  <si>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</si>
  <si>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</si>
  <si>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</si>
  <si>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</si>
  <si>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</si>
  <si>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</si>
  <si>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</si>
  <si>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</si>
  <si>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</si>
  <si>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</si>
  <si>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</si>
  <si>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</si>
  <si>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</si>
  <si>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</si>
  <si>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</si>
  <si>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</si>
  <si>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</si>
  <si>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</si>
  <si>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</si>
  <si>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</si>
  <si>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</si>
  <si>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</si>
  <si>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</si>
  <si>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</si>
  <si>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</si>
  <si>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</si>
  <si>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</si>
  <si>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</si>
  <si>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</si>
  <si>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</si>
  <si>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</si>
  <si>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</si>
  <si>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</si>
  <si>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</si>
  <si>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</si>
  <si>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</si>
  <si>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</si>
  <si>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</si>
  <si>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</si>
  <si>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</si>
  <si>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</si>
  <si>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</si>
  <si>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</si>
  <si>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</si>
  <si>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</si>
  <si>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</si>
  <si>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</si>
  <si>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</si>
  <si>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</si>
  <si>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</si>
  <si>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</si>
  <si>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</si>
  <si>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</si>
  <si>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</si>
  <si>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</si>
  <si>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</si>
  <si>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</si>
  <si>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</si>
  <si>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</si>
  <si>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</si>
  <si>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</si>
  <si>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</si>
  <si>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</si>
  <si>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</si>
  <si>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</si>
  <si>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</si>
  <si>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</si>
  <si>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</si>
  <si>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</si>
  <si>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</si>
  <si>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</si>
  <si>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</si>
  <si>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</si>
  <si>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</si>
  <si>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</si>
  <si>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</si>
  <si>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</si>
  <si>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</si>
  <si>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</si>
  <si>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</si>
  <si>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</si>
  <si>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</si>
  <si>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</si>
  <si>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</si>
  <si>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</si>
  <si>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</si>
  <si>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</si>
  <si>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</si>
  <si>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</si>
  <si>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</si>
  <si>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</si>
  <si>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</si>
  <si>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</si>
  <si>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</si>
  <si>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</si>
  <si>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</si>
  <si>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</si>
  <si>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</si>
  <si>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</si>
  <si>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</si>
  <si>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</si>
  <si>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</si>
  <si>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</si>
  <si>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</si>
  <si>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</si>
  <si>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</si>
  <si>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</si>
  <si>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</si>
  <si>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</si>
  <si>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</si>
  <si>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</si>
  <si>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</si>
  <si>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</si>
  <si>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</si>
  <si>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</si>
  <si>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</si>
  <si>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</si>
  <si>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</si>
  <si>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</si>
  <si>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</si>
  <si>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</si>
  <si>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</si>
  <si>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</si>
  <si>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</si>
  <si>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</si>
  <si>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</si>
  <si>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</si>
  <si>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</si>
  <si>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</si>
  <si>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</si>
  <si>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</si>
  <si>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</si>
  <si>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</si>
  <si>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</si>
  <si>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</si>
  <si>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</si>
  <si>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</si>
  <si>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</si>
  <si>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</si>
  <si>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</si>
  <si>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</si>
  <si>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</si>
  <si>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</si>
  <si>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</si>
  <si>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</si>
  <si>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</si>
  <si>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</si>
  <si>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</si>
  <si>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</si>
  <si>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</si>
  <si>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</si>
  <si>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</si>
  <si>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</si>
  <si>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</si>
  <si>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</si>
  <si>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</si>
  <si>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</si>
  <si>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</si>
  <si>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</si>
  <si>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</si>
  <si>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</si>
  <si>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</si>
  <si>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</si>
  <si>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</si>
  <si>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</si>
  <si>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</si>
  <si>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</si>
  <si>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</si>
  <si>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</si>
  <si>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</si>
  <si>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</si>
  <si>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</si>
  <si>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</si>
  <si>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</si>
  <si>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</si>
  <si>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</si>
  <si>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</si>
  <si>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</si>
  <si>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</si>
  <si>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</si>
  <si>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</si>
  <si>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</si>
  <si>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</si>
  <si>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</si>
  <si>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</si>
  <si>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</si>
  <si>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</si>
  <si>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</si>
  <si>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</si>
  <si>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</si>
  <si>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</si>
  <si>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</si>
  <si>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</si>
  <si>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</si>
  <si>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</si>
  <si>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</si>
  <si>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</si>
  <si>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</si>
  <si>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</si>
  <si>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</si>
  <si>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</si>
  <si>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</si>
  <si>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</si>
  <si>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</si>
  <si>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</si>
  <si>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</si>
  <si>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</si>
  <si>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</si>
  <si>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</si>
  <si>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</si>
  <si>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</si>
  <si>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</si>
  <si>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</si>
  <si>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</si>
  <si>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</si>
  <si>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</si>
  <si>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</si>
  <si>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</si>
  <si>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</si>
  <si>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</si>
  <si>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</si>
  <si>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</si>
  <si>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</si>
  <si>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</si>
  <si>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</si>
  <si>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</si>
  <si>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</si>
  <si>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</si>
  <si>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</si>
  <si>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</si>
  <si>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</si>
  <si>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</si>
  <si>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</si>
  <si>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</si>
  <si>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</si>
  <si>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</si>
  <si>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</si>
  <si>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</si>
  <si>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</si>
  <si>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</si>
  <si>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</si>
  <si>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</si>
  <si>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</si>
  <si>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</si>
  <si>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</si>
  <si>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</si>
  <si>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</si>
  <si>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</si>
  <si>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</si>
  <si>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</si>
  <si>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</si>
  <si>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</si>
  <si>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</si>
  <si>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</si>
  <si>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</si>
  <si>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</si>
  <si>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</si>
  <si>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</si>
  <si>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</si>
  <si>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</si>
  <si>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</si>
  <si>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</si>
  <si>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</si>
  <si>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</si>
  <si>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</si>
  <si>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</si>
  <si>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</si>
  <si>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</si>
  <si>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</si>
  <si>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</si>
  <si>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</si>
  <si>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</si>
  <si>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</si>
  <si>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</si>
  <si>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</si>
  <si>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</si>
  <si>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</si>
  <si>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</si>
  <si>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</si>
  <si>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</si>
  <si>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</si>
  <si>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</si>
  <si>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</si>
  <si>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</si>
  <si>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</si>
  <si>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</si>
  <si>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</si>
  <si>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</si>
  <si>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</si>
  <si>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</si>
  <si>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</si>
  <si>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</si>
  <si>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</si>
  <si>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</si>
  <si>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</si>
  <si>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</si>
  <si>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</si>
  <si>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</si>
  <si>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</si>
  <si>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</si>
  <si>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</si>
  <si>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</si>
  <si>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</si>
  <si>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</si>
  <si>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</si>
  <si>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</si>
  <si>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</si>
  <si>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</si>
  <si>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</si>
  <si>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</si>
  <si>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</si>
  <si>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</si>
  <si>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</si>
  <si>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</si>
  <si>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</si>
  <si>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</si>
  <si>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</si>
  <si>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</si>
  <si>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</si>
  <si>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</si>
  <si>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</si>
  <si>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</si>
  <si>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</si>
  <si>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</si>
  <si>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</si>
  <si>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</si>
  <si>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</si>
  <si>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</si>
  <si>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</si>
  <si>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</si>
  <si>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</si>
  <si>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</si>
  <si>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</si>
  <si>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</si>
  <si>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</si>
  <si>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</si>
  <si>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</si>
  <si>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</si>
  <si>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</si>
  <si>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</si>
  <si>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</si>
  <si>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</si>
  <si>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</si>
  <si>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</si>
  <si>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</si>
  <si>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</si>
  <si>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</si>
  <si>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</si>
  <si>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</si>
  <si>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</si>
  <si>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</si>
  <si>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</si>
  <si>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</si>
  <si>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</si>
  <si>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</si>
  <si>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</si>
  <si>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</si>
  <si>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</si>
  <si>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</si>
  <si>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</si>
  <si>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</si>
  <si>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</si>
  <si>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</si>
  <si>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</si>
  <si>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</si>
  <si>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</si>
  <si>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</si>
  <si>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</si>
  <si>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</si>
  <si>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</si>
  <si>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</si>
  <si>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</si>
  <si>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</si>
  <si>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</si>
  <si>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</si>
  <si>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</si>
  <si>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</si>
  <si>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</si>
  <si>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</si>
  <si>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</si>
  <si>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</si>
  <si>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</si>
  <si>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</si>
  <si>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</si>
  <si>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</si>
  <si>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</si>
  <si>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</si>
  <si>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</si>
  <si>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</si>
  <si>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</si>
  <si>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</si>
  <si>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</si>
  <si>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</si>
  <si>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</si>
  <si>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</si>
  <si>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</si>
  <si>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</si>
  <si>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</si>
  <si>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</si>
  <si>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</si>
  <si>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</si>
  <si>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</si>
  <si>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</si>
  <si>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</si>
  <si>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</si>
  <si>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</si>
  <si>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</si>
  <si>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</si>
  <si>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</si>
  <si>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</si>
  <si>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</si>
  <si>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</si>
  <si>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</si>
  <si>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</si>
  <si>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</si>
  <si>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</si>
  <si>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</si>
  <si>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</si>
  <si>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</si>
  <si>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</si>
  <si>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</si>
  <si>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</si>
  <si>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</si>
  <si>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</si>
  <si>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</si>
  <si>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</si>
  <si>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</si>
  <si>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</si>
  <si>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</si>
  <si>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</si>
  <si>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</si>
  <si>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</si>
  <si>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</si>
  <si>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</si>
  <si>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</si>
  <si>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</si>
  <si>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</si>
  <si>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</si>
  <si>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</si>
  <si>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</si>
  <si>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</si>
  <si>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</si>
  <si>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</si>
  <si>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</si>
  <si>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</si>
  <si>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</si>
  <si>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</si>
  <si>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</si>
  <si>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</si>
  <si>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</si>
  <si>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</si>
  <si>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</si>
  <si>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</si>
  <si>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</si>
  <si>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</si>
  <si>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</si>
  <si>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</si>
  <si>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</si>
  <si>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</si>
  <si>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</si>
  <si>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</si>
  <si>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</si>
  <si>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</si>
  <si>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</si>
  <si>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</si>
  <si>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</si>
  <si>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</si>
  <si>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</si>
  <si>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</si>
  <si>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</si>
  <si>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</si>
  <si>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</si>
  <si>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</si>
  <si>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</si>
  <si>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</si>
  <si>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</si>
  <si>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</si>
  <si>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</si>
  <si>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</si>
  <si>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</si>
  <si>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</si>
  <si>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</si>
  <si>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</si>
  <si>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</si>
  <si>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</si>
  <si>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</si>
  <si>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</si>
  <si>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</si>
  <si>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</si>
  <si>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</si>
  <si>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</si>
  <si>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</si>
  <si>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</si>
  <si>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</si>
  <si>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</si>
  <si>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</si>
  <si>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</si>
  <si>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</si>
  <si>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</si>
  <si>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</si>
  <si>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</si>
  <si>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</si>
  <si>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</si>
  <si>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</si>
  <si>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</si>
  <si>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</si>
  <si>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</si>
  <si>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</si>
  <si>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</si>
  <si>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</si>
  <si>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</si>
  <si>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</si>
  <si>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</si>
  <si>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</si>
  <si>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</si>
  <si>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</si>
  <si>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</si>
  <si>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</si>
  <si>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</si>
  <si>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</si>
  <si>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</si>
  <si>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</si>
  <si>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</si>
  <si>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</si>
  <si>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</si>
  <si>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</si>
  <si>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</si>
  <si>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</si>
  <si>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</si>
  <si>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</si>
  <si>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</si>
  <si>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</si>
  <si>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</si>
  <si>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</si>
  <si>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</si>
  <si>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</si>
  <si>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</si>
  <si>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</si>
  <si>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</si>
  <si>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</si>
  <si>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</si>
  <si>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</si>
  <si>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</si>
  <si>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</si>
  <si>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</si>
  <si>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</si>
  <si>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</si>
  <si>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</si>
  <si>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</si>
  <si>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</si>
  <si>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</si>
  <si>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</si>
  <si>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</si>
  <si>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</si>
  <si>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</si>
  <si>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</si>
  <si>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</si>
  <si>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</si>
  <si>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</si>
  <si>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</si>
  <si>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</si>
  <si>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</si>
  <si>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</si>
  <si>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</si>
  <si>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</si>
  <si>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</si>
  <si>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</si>
  <si>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</si>
  <si>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</si>
  <si>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</si>
  <si>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</si>
  <si>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</si>
  <si>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</si>
  <si>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</si>
  <si>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</si>
  <si>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</si>
  <si>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</si>
  <si>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</si>
  <si>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</si>
  <si>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</si>
  <si>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</si>
  <si>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</si>
  <si>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</si>
  <si>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</si>
  <si>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</si>
  <si>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</si>
  <si>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</si>
  <si>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</si>
  <si>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</si>
  <si>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</si>
  <si>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</si>
  <si>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</si>
  <si>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</si>
  <si>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</si>
  <si>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</si>
  <si>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</si>
  <si>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</si>
  <si>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</si>
  <si>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</si>
  <si>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</si>
  <si>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</si>
  <si>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</si>
  <si>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</si>
  <si>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</si>
  <si>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</si>
  <si>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</si>
  <si>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</si>
  <si>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</si>
  <si>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</si>
  <si>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</si>
  <si>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</si>
  <si>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</si>
  <si>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</si>
  <si>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</si>
  <si>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</si>
  <si>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</si>
  <si>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</si>
  <si>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</si>
  <si>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</si>
  <si>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</si>
  <si>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</si>
  <si>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</si>
  <si>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</si>
  <si>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</si>
  <si>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</si>
  <si>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</si>
  <si>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</si>
  <si>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</si>
  <si>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</si>
  <si>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</si>
  <si>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</si>
  <si>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</si>
  <si>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</si>
  <si>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</si>
  <si>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</si>
  <si>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</si>
  <si>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</si>
  <si>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</si>
  <si>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</si>
  <si>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</si>
  <si>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</si>
  <si>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</si>
  <si>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</si>
  <si>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</si>
  <si>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</si>
  <si>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</si>
  <si>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</si>
  <si>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</si>
  <si>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</si>
  <si>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</si>
  <si>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</si>
  <si>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</si>
  <si>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</si>
  <si>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</si>
  <si>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</si>
  <si>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</si>
  <si>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</si>
  <si>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</si>
  <si>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</si>
  <si>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</si>
  <si>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</si>
  <si>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</si>
  <si>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</si>
  <si>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</si>
  <si>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</si>
  <si>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</si>
  <si>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</si>
  <si>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</si>
  <si>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</si>
  <si>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</si>
  <si>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</si>
  <si>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</si>
  <si>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</si>
  <si>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</si>
  <si>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</si>
  <si>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</si>
  <si>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</si>
  <si>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</si>
  <si>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</si>
  <si>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</si>
  <si>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</si>
  <si>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</si>
  <si>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</si>
  <si>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</si>
  <si>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</si>
  <si>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</si>
  <si>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</si>
  <si>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</si>
  <si>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</si>
  <si>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</si>
  <si>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</si>
  <si>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</si>
  <si>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</si>
  <si>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</si>
  <si>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</si>
  <si>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</si>
  <si>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</si>
  <si>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</si>
  <si>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</si>
  <si>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</si>
  <si>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</si>
  <si>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</si>
  <si>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</si>
  <si>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</si>
  <si>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</si>
  <si>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</si>
  <si>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</si>
  <si>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</si>
  <si>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</si>
  <si>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</si>
  <si>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</si>
  <si>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</si>
  <si>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</si>
  <si>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</si>
  <si>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</si>
  <si>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</si>
  <si>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</si>
  <si>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</si>
  <si>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</si>
  <si>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</si>
  <si>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</si>
  <si>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</si>
  <si>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</si>
  <si>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</si>
  <si>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</si>
  <si>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</si>
  <si>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</si>
  <si>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</si>
  <si>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</si>
  <si>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</si>
  <si>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</si>
  <si>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</si>
  <si>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</si>
  <si>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</si>
  <si>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</si>
  <si>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</si>
  <si>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</si>
  <si>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</si>
  <si>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</si>
  <si>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</si>
  <si>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</si>
  <si>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</si>
  <si>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</si>
  <si>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</si>
  <si>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</si>
  <si>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</si>
  <si>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</si>
  <si>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</si>
  <si>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</si>
  <si>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</si>
  <si>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</si>
  <si>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</si>
  <si>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</si>
  <si>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</si>
  <si>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</si>
  <si>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</si>
  <si>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</si>
  <si>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</si>
  <si>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</si>
  <si>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</si>
  <si>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</si>
  <si>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</si>
  <si>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</si>
  <si>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</si>
  <si>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</si>
  <si>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</si>
  <si>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</si>
  <si>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</si>
  <si>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</si>
  <si>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</si>
  <si>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</si>
  <si>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</si>
  <si>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</si>
  <si>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</si>
  <si>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</si>
  <si>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</si>
  <si>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</si>
  <si>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</si>
  <si>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</si>
  <si>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</si>
  <si>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</si>
  <si>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</si>
  <si>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</si>
  <si>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</si>
  <si>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</si>
  <si>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</si>
  <si>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</si>
  <si>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</si>
  <si>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</si>
  <si>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</si>
  <si>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</si>
  <si>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</si>
  <si>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</si>
  <si>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</si>
  <si>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</si>
  <si>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</si>
  <si>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</si>
  <si>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</si>
  <si>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</si>
  <si>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</si>
  <si>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</si>
  <si>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</si>
  <si>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</si>
  <si>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</si>
  <si>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</si>
  <si>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</si>
  <si>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</si>
  <si>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</si>
  <si>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</si>
  <si>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</si>
  <si>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</si>
  <si>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</si>
  <si>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</si>
  <si>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</si>
  <si>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</si>
  <si>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</si>
  <si>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</si>
  <si>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</si>
  <si>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</si>
  <si>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</si>
  <si>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</si>
  <si>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</si>
  <si>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</si>
  <si>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</si>
  <si>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</si>
  <si>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</si>
  <si>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</si>
  <si>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</si>
  <si>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</si>
  <si>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</si>
  <si>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</si>
  <si>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</si>
  <si>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</si>
  <si>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</si>
  <si>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</si>
  <si>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</si>
  <si>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</si>
  <si>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</si>
  <si>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</si>
  <si>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</si>
  <si>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</si>
  <si>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</si>
  <si>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</si>
  <si>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</si>
  <si>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</si>
  <si>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</si>
  <si>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</si>
  <si>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</si>
  <si>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</si>
  <si>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</si>
  <si>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</si>
  <si>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</si>
  <si>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</si>
  <si>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</si>
  <si>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</si>
  <si>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</si>
  <si>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</si>
  <si>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</si>
  <si>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</si>
  <si>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</si>
  <si>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</si>
  <si>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</si>
  <si>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</si>
  <si>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</si>
  <si>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</si>
  <si>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</si>
  <si>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</si>
  <si>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</si>
  <si>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</si>
  <si>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</si>
  <si>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</si>
  <si>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</si>
  <si>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</si>
  <si>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</si>
  <si>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</si>
  <si>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</si>
  <si>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</si>
  <si>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</si>
  <si>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</si>
  <si>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</si>
  <si>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</si>
  <si>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</si>
  <si>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</si>
  <si>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</si>
  <si>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</si>
  <si>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</si>
  <si>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</si>
  <si>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</si>
  <si>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</si>
  <si>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</si>
  <si>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</si>
  <si>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</si>
  <si>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</si>
  <si>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</si>
  <si>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</si>
  <si>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</si>
  <si>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</si>
  <si>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</si>
  <si>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</si>
  <si>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</si>
  <si>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</si>
  <si>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</si>
  <si>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</si>
  <si>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</si>
  <si>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</si>
  <si>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</si>
  <si>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</si>
  <si>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</si>
  <si>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</si>
  <si>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</si>
  <si>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</si>
  <si>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</si>
  <si>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</si>
  <si>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</si>
  <si>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</si>
  <si>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</si>
  <si>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</si>
  <si>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</si>
  <si>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</si>
  <si>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</si>
  <si>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</si>
  <si>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</si>
  <si>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</si>
  <si>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</si>
  <si>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</si>
  <si>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</si>
  <si>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</si>
  <si>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</si>
  <si>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</si>
  <si>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</si>
  <si>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</si>
  <si>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</si>
  <si>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</si>
  <si>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</si>
  <si>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</si>
  <si>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</si>
  <si>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</si>
  <si>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</si>
  <si>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</si>
  <si>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</si>
  <si>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</si>
  <si>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</si>
  <si>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</si>
  <si>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</si>
  <si>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</si>
  <si>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</si>
  <si>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</si>
  <si>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</si>
  <si>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</si>
  <si>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</si>
  <si>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</si>
  <si>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</si>
  <si>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</si>
  <si>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</si>
  <si>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</si>
  <si>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</si>
  <si>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</si>
  <si>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</si>
  <si>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</si>
  <si>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</si>
  <si>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</si>
  <si>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</si>
  <si>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</si>
  <si>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</si>
  <si>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</si>
  <si>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</si>
  <si>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</si>
  <si>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</si>
  <si>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</si>
  <si>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</si>
  <si>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</si>
  <si>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</si>
  <si>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</si>
  <si>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</si>
  <si>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</si>
  <si>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</si>
  <si>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</si>
  <si>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</si>
  <si>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</si>
  <si>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</si>
  <si>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</si>
  <si>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</si>
  <si>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</si>
  <si>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</si>
  <si>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</si>
  <si>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</si>
  <si>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</si>
  <si>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</si>
  <si>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</si>
  <si>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</si>
  <si>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</si>
  <si>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</si>
  <si>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</si>
  <si>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</si>
  <si>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</si>
  <si>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</si>
  <si>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</si>
  <si>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</si>
  <si>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</si>
  <si>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</si>
  <si>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</si>
  <si>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</si>
  <si>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</si>
  <si>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</si>
  <si>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</si>
  <si>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</si>
  <si>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</si>
  <si>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</si>
  <si>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</si>
  <si>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</si>
  <si>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</si>
  <si>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</si>
  <si>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</si>
  <si>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</si>
  <si>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</si>
  <si>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</si>
  <si>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</si>
  <si>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</si>
  <si>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</si>
  <si>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</si>
  <si>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</si>
  <si>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</si>
  <si>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</si>
  <si>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</si>
  <si>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</si>
  <si>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</si>
  <si>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</si>
  <si>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</si>
  <si>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</si>
  <si>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</si>
  <si>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</si>
  <si>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</si>
  <si>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</si>
  <si>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</si>
  <si>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</si>
  <si>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</si>
  <si>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</si>
  <si>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</si>
  <si>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</si>
  <si>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</si>
  <si>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</si>
  <si>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</si>
  <si>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</si>
  <si>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</si>
  <si>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</si>
  <si>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</si>
  <si>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</si>
  <si>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</si>
  <si>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</si>
  <si>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</si>
  <si>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</si>
  <si>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</si>
  <si>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</si>
  <si>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</si>
  <si>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</si>
  <si>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</si>
  <si>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</si>
  <si>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</si>
  <si>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</si>
  <si>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</si>
  <si>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</si>
  <si>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</si>
  <si>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</si>
  <si>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</si>
  <si>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</si>
  <si>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</si>
  <si>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</si>
  <si>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</si>
  <si>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</si>
  <si>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</si>
  <si>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</si>
  <si>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</si>
  <si>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</si>
  <si>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</si>
  <si>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</si>
  <si>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</si>
  <si>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</si>
  <si>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</si>
  <si>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</si>
  <si>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</si>
  <si>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</si>
  <si>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</si>
  <si>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</si>
  <si>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</si>
  <si>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</si>
  <si>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</si>
  <si>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</si>
  <si>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</si>
  <si>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</si>
  <si>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</si>
  <si>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</si>
  <si>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</si>
  <si>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</si>
  <si>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</si>
  <si>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</si>
  <si>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</si>
  <si>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</si>
  <si>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</si>
  <si>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</si>
  <si>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</si>
  <si>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</si>
  <si>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</si>
  <si>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</si>
  <si>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</si>
  <si>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</si>
  <si>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</si>
  <si>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</si>
  <si>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</si>
  <si>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</si>
  <si>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</si>
  <si>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</si>
  <si>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</si>
  <si>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</si>
  <si>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</si>
  <si>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</si>
  <si>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</si>
  <si>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</si>
  <si>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</si>
  <si>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</si>
  <si>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</si>
  <si>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</si>
  <si>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</si>
  <si>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</si>
  <si>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</si>
  <si>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</si>
  <si>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</si>
  <si>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</si>
  <si>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</si>
  <si>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</si>
  <si>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</si>
  <si>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</si>
  <si>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</si>
  <si>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</si>
  <si>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</si>
  <si>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</si>
  <si>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</si>
  <si>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</si>
  <si>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</si>
  <si>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</si>
  <si>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</si>
  <si>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</si>
  <si>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</si>
  <si>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</si>
  <si>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</si>
  <si>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</si>
  <si>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</si>
  <si>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</si>
  <si>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</si>
  <si>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</si>
  <si>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</si>
  <si>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</si>
  <si>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</si>
  <si>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</si>
  <si>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</si>
  <si>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</si>
  <si>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</si>
  <si>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</si>
  <si>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</si>
  <si>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</si>
  <si>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</si>
  <si>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</si>
  <si>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</si>
  <si>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</si>
  <si>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</si>
  <si>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</si>
  <si>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</si>
  <si>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</si>
  <si>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</si>
  <si>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</si>
  <si>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</si>
  <si>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</si>
  <si>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</si>
  <si>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</si>
  <si>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</si>
  <si>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</si>
  <si>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</si>
  <si>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</si>
  <si>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</si>
  <si>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</si>
  <si>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</si>
  <si>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</si>
  <si>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</si>
  <si>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</si>
  <si>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</si>
  <si>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</si>
  <si>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</si>
  <si>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</si>
  <si>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</si>
  <si>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</si>
  <si>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</si>
  <si>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</si>
  <si>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</si>
  <si>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</si>
  <si>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</si>
  <si>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</si>
  <si>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</si>
  <si>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</si>
  <si>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</si>
  <si>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</si>
  <si>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</si>
  <si>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</si>
  <si>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</si>
  <si>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</si>
  <si>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</si>
  <si>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</si>
  <si>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</si>
  <si>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</si>
  <si>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</si>
  <si>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</si>
  <si>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</si>
  <si>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</si>
  <si>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</si>
  <si>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</si>
  <si>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</si>
  <si>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</si>
  <si>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</si>
  <si>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</si>
  <si>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</si>
  <si>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</si>
  <si>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</si>
  <si>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</si>
  <si>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</si>
  <si>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</si>
  <si>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</si>
  <si>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</si>
  <si>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</si>
  <si>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</si>
  <si>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</si>
  <si>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</si>
  <si>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</si>
  <si>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</si>
  <si>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</si>
  <si>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</si>
  <si>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</si>
  <si>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</si>
  <si>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</si>
  <si>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</si>
  <si>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</si>
  <si>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</si>
  <si>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</si>
  <si>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</si>
  <si>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</si>
  <si>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</si>
  <si>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</si>
  <si>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</si>
  <si>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</si>
  <si>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</si>
  <si>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</si>
  <si>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</si>
  <si>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</si>
  <si>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</si>
  <si>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</si>
  <si>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</si>
  <si>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</si>
  <si>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</si>
  <si>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</si>
  <si>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</si>
  <si>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</si>
  <si>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</si>
  <si>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</si>
  <si>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</si>
  <si>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</si>
  <si>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</si>
  <si>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</si>
  <si>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</si>
  <si>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</si>
  <si>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</si>
  <si>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</si>
  <si>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</si>
  <si>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</si>
  <si>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</si>
  <si>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</si>
  <si>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</si>
  <si>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</si>
  <si>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</si>
  <si>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</si>
  <si>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</si>
  <si>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</si>
  <si>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</si>
  <si>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</si>
  <si>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</si>
  <si>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</si>
  <si>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</si>
  <si>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</si>
  <si>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</si>
  <si>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</si>
  <si>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</si>
  <si>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</si>
  <si>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</si>
  <si>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</si>
  <si>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</si>
  <si>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</si>
  <si>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</si>
  <si>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</si>
  <si>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</si>
  <si>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</si>
  <si>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</si>
  <si>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</si>
  <si>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</si>
  <si>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</si>
  <si>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</si>
  <si>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</si>
  <si>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</si>
  <si>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</si>
  <si>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</si>
  <si>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</si>
  <si>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</si>
  <si>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</si>
  <si>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</si>
  <si>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</si>
  <si>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</si>
  <si>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</si>
  <si>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</si>
  <si>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</si>
  <si>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</si>
  <si>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</si>
  <si>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</si>
  <si>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</si>
  <si>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</si>
  <si>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</si>
  <si>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</si>
  <si>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</si>
  <si>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</si>
  <si>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</si>
  <si>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</si>
  <si>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</si>
  <si>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</si>
  <si>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</si>
  <si>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</si>
  <si>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</si>
  <si>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</si>
  <si>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</si>
  <si>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</si>
  <si>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</si>
  <si>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</si>
  <si>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</si>
  <si>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</si>
  <si>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</si>
  <si>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</si>
  <si>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</si>
  <si>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</si>
  <si>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</si>
  <si>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</si>
  <si>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</si>
  <si>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</si>
  <si>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</si>
  <si>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</si>
  <si>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</si>
  <si>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</si>
  <si>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</si>
  <si>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</si>
  <si>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</si>
  <si>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</si>
  <si>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</si>
  <si>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</si>
  <si>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</si>
  <si>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</si>
  <si>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</si>
  <si>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</si>
  <si>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</si>
  <si>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</si>
  <si>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</si>
  <si>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</si>
  <si>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</si>
  <si>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</si>
  <si>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</si>
  <si>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</si>
  <si>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</si>
  <si>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</si>
  <si>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</si>
  <si>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</si>
  <si>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</si>
  <si>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</si>
  <si>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</si>
  <si>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</si>
  <si>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</si>
  <si>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</si>
  <si>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</si>
  <si>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</si>
  <si>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</si>
  <si>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</si>
  <si>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</si>
  <si>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</si>
  <si>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</si>
  <si>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</si>
  <si>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</si>
  <si>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</si>
  <si>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</si>
  <si>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</si>
  <si>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</si>
  <si>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</si>
  <si>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</si>
  <si>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</si>
  <si>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</si>
  <si>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</si>
  <si>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</si>
  <si>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</si>
  <si>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</si>
  <si>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</si>
  <si>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</si>
  <si>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</si>
  <si>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</si>
  <si>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</si>
  <si>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</si>
  <si>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</si>
  <si>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</si>
  <si>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</si>
  <si>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</si>
  <si>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</si>
  <si>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</si>
  <si>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</si>
  <si>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</si>
  <si>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</si>
  <si>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</si>
  <si>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</si>
  <si>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</si>
  <si>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</si>
  <si>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</si>
  <si>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</si>
  <si>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</si>
  <si>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</si>
  <si>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</si>
  <si>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</si>
  <si>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</si>
  <si>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</si>
  <si>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</si>
  <si>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</si>
  <si>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</si>
  <si>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</si>
  <si>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</si>
  <si>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</si>
  <si>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</si>
  <si>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</si>
  <si>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</si>
  <si>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</si>
  <si>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</si>
  <si>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</si>
  <si>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</si>
  <si>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</si>
  <si>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</si>
  <si>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</si>
  <si>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</si>
  <si>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</si>
  <si>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</si>
  <si>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</si>
  <si>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</si>
  <si>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</si>
  <si>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</si>
  <si>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</si>
  <si>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</si>
  <si>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</si>
  <si>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</si>
  <si>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</si>
  <si>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</si>
  <si>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</si>
  <si>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</si>
  <si>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</si>
  <si>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</si>
  <si>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</si>
  <si>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</si>
  <si>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</si>
  <si>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</si>
  <si>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</si>
  <si>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</si>
  <si>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</si>
  <si>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</si>
  <si>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</si>
  <si>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</si>
  <si>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</si>
  <si>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</si>
  <si>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</si>
  <si>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</si>
  <si>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</si>
  <si>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</si>
  <si>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</si>
  <si>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</si>
  <si>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</si>
  <si>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</si>
  <si>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</si>
  <si>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</si>
  <si>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</si>
  <si>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</si>
  <si>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</si>
  <si>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</si>
  <si>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</si>
  <si>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</si>
  <si>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</si>
  <si>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</si>
  <si>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</si>
  <si>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</si>
  <si>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</si>
  <si>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</si>
  <si>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</si>
  <si>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</si>
  <si>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</si>
  <si>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</si>
  <si>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</si>
  <si>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</si>
  <si>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</si>
  <si>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</si>
  <si>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</si>
  <si>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</si>
  <si>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</si>
  <si>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</si>
  <si>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</si>
  <si>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</si>
  <si>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</si>
  <si>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</si>
  <si>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</si>
  <si>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</si>
  <si>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</si>
  <si>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</si>
  <si>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</si>
  <si>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</si>
  <si>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</si>
  <si>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</si>
  <si>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</si>
  <si>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</si>
  <si>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</si>
  <si>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</si>
  <si>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</si>
  <si>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</si>
  <si>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</si>
  <si>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</si>
  <si>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</si>
  <si>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</si>
  <si>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</si>
  <si>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</si>
  <si>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</si>
  <si>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</si>
  <si>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</si>
  <si>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</si>
  <si>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</si>
  <si>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</si>
  <si>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</si>
  <si>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</si>
  <si>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</si>
  <si>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</si>
  <si>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</si>
  <si>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</si>
  <si>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</si>
  <si>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</si>
  <si>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</si>
  <si>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</si>
  <si>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</si>
  <si>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</si>
  <si>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</si>
  <si>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</si>
  <si>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</si>
  <si>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</si>
  <si>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</si>
  <si>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</si>
  <si>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</si>
  <si>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</si>
  <si>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</si>
  <si>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</si>
  <si>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</si>
  <si>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</si>
  <si>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</si>
  <si>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</si>
  <si>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</si>
  <si>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</si>
  <si>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</si>
  <si>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</si>
  <si>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</si>
  <si>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</si>
  <si>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</si>
  <si>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</si>
  <si>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</si>
  <si>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</si>
  <si>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</si>
  <si>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</si>
  <si>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</si>
  <si>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</si>
  <si>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</si>
  <si>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</si>
  <si>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</si>
  <si>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</si>
  <si>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</si>
  <si>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</si>
  <si>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</si>
  <si>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</si>
  <si>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</si>
  <si>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</si>
  <si>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</si>
  <si>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</si>
  <si>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</si>
  <si>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</si>
  <si>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</si>
  <si>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</si>
  <si>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</si>
  <si>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</si>
  <si>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</si>
  <si>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</si>
  <si>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</si>
  <si>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</si>
  <si>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</si>
  <si>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</si>
  <si>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</si>
  <si>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</si>
  <si>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</si>
  <si>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</si>
  <si>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</si>
  <si>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</si>
  <si>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</si>
  <si>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</si>
  <si>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</si>
  <si>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</si>
  <si>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</si>
  <si>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</si>
  <si>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</si>
  <si>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</si>
  <si>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</si>
  <si>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</si>
  <si>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</si>
  <si>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</si>
  <si>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</si>
  <si>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</si>
  <si>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</si>
  <si>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</si>
  <si>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</si>
  <si>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</si>
  <si>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</si>
  <si>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</si>
  <si>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</si>
  <si>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</si>
  <si>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</si>
  <si>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</si>
  <si>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</si>
  <si>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</si>
  <si>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</si>
  <si>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</si>
  <si>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</si>
  <si>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</si>
  <si>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</si>
  <si>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</si>
  <si>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</si>
  <si>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</si>
  <si>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</si>
  <si>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</si>
  <si>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</si>
  <si>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</si>
  <si>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</si>
  <si>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</si>
  <si>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</si>
  <si>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</si>
  <si>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</si>
  <si>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</si>
  <si>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</si>
  <si>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</si>
  <si>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</si>
  <si>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</si>
  <si>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</si>
  <si>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</si>
  <si>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</si>
  <si>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</si>
  <si>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</si>
  <si>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</si>
  <si>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</si>
  <si>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</si>
  <si>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</si>
  <si>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</si>
  <si>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</si>
  <si>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</si>
  <si>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</si>
  <si>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</si>
  <si>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</si>
  <si>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</si>
  <si>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</si>
  <si>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</si>
  <si>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</si>
  <si>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</si>
  <si>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</si>
  <si>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</si>
  <si>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</si>
  <si>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</si>
  <si>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</si>
  <si>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</si>
  <si>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</si>
  <si>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</si>
  <si>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</si>
  <si>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</si>
  <si>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</si>
  <si>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</si>
  <si>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</si>
  <si>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</si>
  <si>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</si>
  <si>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</si>
  <si>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</si>
  <si>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</si>
  <si>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</si>
  <si>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</si>
  <si>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</si>
  <si>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</si>
  <si>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</si>
  <si>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</si>
  <si>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</si>
  <si>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</si>
  <si>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</si>
  <si>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</si>
  <si>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</si>
  <si>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</si>
  <si>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</si>
  <si>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</si>
  <si>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</si>
  <si>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</si>
  <si>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</si>
  <si>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</si>
  <si>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</si>
  <si>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</si>
  <si>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</si>
  <si>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</si>
  <si>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</si>
  <si>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</si>
  <si>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</si>
  <si>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</si>
  <si>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</si>
  <si>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</si>
  <si>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</si>
  <si>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</si>
  <si>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</si>
  <si>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</si>
  <si>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</si>
  <si>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</si>
  <si>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</si>
  <si>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</si>
  <si>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</si>
  <si>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</si>
  <si>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</si>
  <si>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</si>
  <si>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</si>
  <si>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</si>
  <si>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</si>
  <si>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</si>
  <si>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</si>
  <si>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</si>
  <si>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</si>
  <si>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</si>
  <si>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</si>
  <si>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</si>
  <si>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</si>
  <si>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</si>
  <si>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</si>
  <si>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</si>
  <si>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</si>
  <si>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</si>
  <si>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</si>
  <si>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</si>
  <si>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</si>
  <si>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</si>
  <si>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</si>
  <si>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</si>
  <si>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</si>
  <si>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</si>
  <si>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</si>
  <si>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</si>
  <si>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</si>
  <si>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</si>
  <si>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</si>
  <si>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</si>
  <si>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</si>
  <si>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</si>
  <si>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</si>
  <si>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</si>
  <si>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</si>
  <si>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</si>
  <si>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</si>
  <si>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</si>
  <si>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</si>
  <si>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</si>
  <si>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</si>
  <si>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</si>
  <si>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</si>
  <si>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</si>
  <si>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</si>
  <si>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</si>
  <si>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</si>
  <si>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</si>
  <si>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</si>
  <si>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</si>
  <si>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</si>
  <si>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</si>
  <si>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</si>
  <si>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</si>
  <si>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</si>
  <si>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</si>
  <si>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</si>
  <si>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</si>
  <si>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</si>
  <si>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</si>
  <si>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</si>
  <si>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</si>
  <si>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</si>
  <si>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</si>
  <si>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</si>
  <si>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</si>
  <si>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</si>
  <si>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</si>
  <si>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</si>
  <si>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</si>
  <si>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</si>
  <si>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</si>
  <si>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</si>
  <si>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</si>
  <si>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</si>
  <si>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</si>
  <si>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</si>
  <si>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</si>
  <si>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</si>
  <si>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</si>
  <si>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</si>
  <si>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</si>
  <si>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</si>
  <si>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</si>
  <si>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</si>
  <si>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</si>
  <si>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</si>
  <si>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</si>
  <si>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</si>
  <si>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</si>
  <si>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</si>
  <si>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</si>
  <si>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</si>
  <si>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</si>
  <si>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</si>
  <si>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</si>
  <si>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</si>
  <si>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</si>
  <si>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</si>
  <si>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</si>
  <si>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</si>
  <si>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</si>
  <si>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</si>
  <si>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</si>
  <si>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</si>
  <si>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</si>
  <si>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</si>
  <si>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</si>
  <si>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</si>
  <si>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</si>
  <si>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</si>
  <si>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</si>
  <si>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</si>
  <si>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</si>
  <si>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</si>
  <si>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</si>
  <si>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</si>
  <si>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</si>
  <si>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</si>
  <si>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</si>
  <si>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</si>
  <si>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</si>
  <si>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</si>
  <si>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</si>
  <si>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</si>
  <si>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</si>
  <si>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</si>
  <si>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</si>
  <si>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</si>
  <si>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</si>
  <si>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</si>
  <si>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</si>
  <si>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</si>
  <si>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</si>
  <si>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</si>
  <si>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</si>
  <si>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</si>
  <si>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</si>
  <si>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</si>
  <si>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</si>
  <si>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</si>
  <si>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</si>
  <si>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</si>
  <si>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</si>
  <si>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</si>
  <si>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</si>
  <si>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</si>
  <si>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</si>
  <si>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</si>
  <si>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</si>
  <si>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</si>
  <si>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</si>
  <si>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</si>
  <si>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</si>
  <si>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</si>
  <si>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</si>
  <si>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</si>
  <si>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</si>
  <si>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</si>
  <si>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</si>
  <si>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</si>
  <si>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</si>
  <si>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</si>
  <si>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</si>
  <si>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</si>
  <si>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</si>
  <si>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</si>
  <si>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</si>
  <si>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</si>
  <si>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</si>
  <si>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</si>
  <si>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</si>
  <si>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</si>
  <si>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</si>
  <si>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</si>
  <si>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</si>
  <si>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</si>
  <si>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</si>
  <si>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</si>
  <si>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</si>
  <si>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</si>
  <si>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</si>
  <si>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</si>
  <si>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</si>
  <si>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</si>
  <si>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</si>
  <si>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</si>
  <si>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</si>
  <si>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</si>
  <si>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</si>
  <si>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</si>
  <si>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</si>
  <si>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</si>
  <si>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</si>
  <si>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</si>
  <si>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</si>
  <si>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</si>
  <si>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</si>
  <si>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</si>
  <si>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</si>
  <si>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</si>
  <si>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</si>
  <si>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</si>
  <si>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</si>
  <si>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</si>
  <si>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</si>
  <si>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</si>
  <si>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</si>
  <si>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</si>
  <si>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</si>
  <si>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</si>
  <si>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</si>
  <si>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</si>
  <si>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</si>
  <si>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</si>
  <si>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</si>
  <si>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</si>
  <si>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</si>
  <si>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</si>
  <si>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</si>
  <si>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</si>
  <si>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</si>
  <si>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</si>
  <si>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</si>
  <si>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</si>
  <si>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</si>
  <si>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</si>
  <si>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</si>
  <si>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</si>
  <si>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</si>
  <si>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</si>
  <si>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</si>
  <si>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</si>
  <si>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</si>
  <si>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</si>
  <si>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</si>
  <si>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</si>
  <si>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</si>
  <si>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</si>
  <si>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</si>
  <si>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</si>
  <si>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</si>
  <si>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</si>
  <si>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</si>
  <si>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</si>
  <si>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</si>
  <si>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</si>
  <si>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</si>
  <si>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</si>
  <si>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</si>
  <si>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</si>
  <si>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</si>
  <si>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</si>
  <si>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</si>
  <si>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</si>
  <si>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</si>
  <si>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</si>
  <si>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</si>
  <si>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</si>
  <si>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</si>
  <si>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</si>
  <si>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</si>
  <si>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</si>
  <si>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</si>
  <si>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</si>
  <si>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</si>
  <si>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</si>
  <si>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</si>
  <si>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</si>
  <si>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</si>
  <si>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</si>
  <si>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</si>
  <si>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</si>
  <si>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</si>
  <si>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</si>
  <si>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</si>
  <si>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</si>
  <si>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</si>
  <si>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</si>
  <si>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</si>
  <si>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</si>
  <si>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</si>
  <si>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</si>
  <si>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</si>
  <si>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</si>
  <si>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</si>
  <si>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</si>
  <si>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</si>
  <si>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</si>
  <si>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</si>
  <si>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</si>
  <si>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</si>
  <si>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</si>
  <si>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</si>
  <si>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</si>
  <si>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</si>
  <si>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</si>
  <si>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</si>
  <si>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</si>
  <si>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</si>
  <si>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</si>
  <si>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</si>
  <si>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</si>
  <si>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</si>
  <si>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</si>
  <si>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</si>
  <si>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</si>
  <si>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</si>
  <si>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</si>
  <si>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</si>
  <si>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</si>
  <si>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</si>
  <si>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</si>
  <si>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</si>
  <si>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</si>
  <si>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</si>
  <si>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</si>
  <si>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</si>
  <si>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</si>
  <si>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</si>
  <si>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</si>
  <si>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</si>
  <si>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</si>
  <si>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</si>
  <si>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</si>
  <si>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</si>
  <si>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</si>
  <si>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</si>
  <si>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</si>
  <si>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</si>
  <si>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</si>
  <si>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</si>
  <si>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</si>
  <si>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</si>
  <si>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</si>
  <si>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</si>
  <si>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</si>
  <si>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</si>
  <si>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</si>
  <si>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</si>
  <si>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</si>
  <si>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</si>
  <si>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</si>
  <si>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</si>
  <si>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</si>
  <si>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</si>
  <si>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</si>
  <si>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</si>
  <si>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</si>
  <si>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</si>
  <si>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</si>
  <si>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</si>
  <si>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</si>
  <si>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</si>
  <si>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</si>
  <si>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</si>
  <si>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</si>
  <si>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</si>
  <si>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</si>
  <si>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</si>
  <si>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</si>
  <si>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</si>
  <si>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</si>
  <si>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</si>
  <si>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</si>
  <si>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</si>
  <si>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</si>
  <si>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</si>
  <si>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</si>
  <si>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</si>
  <si>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</si>
  <si>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</si>
  <si>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</si>
  <si>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</si>
  <si>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</si>
  <si>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</si>
  <si>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</si>
  <si>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</si>
  <si>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</si>
  <si>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</si>
  <si>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</si>
  <si>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</si>
  <si>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</si>
  <si>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</si>
  <si>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</si>
  <si>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</si>
  <si>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</si>
  <si>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</si>
  <si>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</si>
  <si>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</si>
  <si>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</si>
  <si>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</si>
  <si>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</si>
  <si>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</si>
  <si>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</si>
  <si>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</si>
  <si>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</si>
  <si>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</si>
  <si>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</si>
  <si>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</si>
  <si>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</si>
  <si>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</si>
  <si>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</si>
  <si>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</si>
  <si>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</si>
  <si>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</si>
  <si>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</si>
  <si>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</si>
  <si>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</si>
  <si>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</si>
  <si>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</si>
  <si>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</si>
  <si>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</si>
  <si>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</si>
  <si>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</si>
  <si>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</si>
  <si>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</si>
  <si>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</si>
  <si>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</si>
  <si>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</si>
  <si>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</si>
  <si>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</si>
  <si>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</si>
  <si>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</si>
  <si>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</si>
  <si>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</si>
  <si>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</si>
  <si>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</si>
  <si>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</si>
  <si>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</si>
  <si>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</si>
  <si>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</si>
  <si>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</si>
  <si>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</si>
  <si>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</si>
  <si>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</si>
  <si>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</si>
  <si>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</si>
  <si>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</si>
  <si>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</si>
  <si>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</si>
  <si>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</si>
  <si>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</si>
  <si>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</si>
  <si>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</si>
  <si>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</si>
  <si>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</si>
  <si>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</si>
  <si>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</si>
  <si>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</si>
  <si>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</si>
  <si>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</si>
  <si>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</si>
  <si>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</si>
  <si>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</si>
  <si>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</si>
  <si>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</si>
  <si>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</si>
  <si>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</si>
  <si>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</si>
  <si>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</si>
  <si>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</si>
  <si>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</si>
  <si>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</si>
  <si>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</si>
  <si>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</si>
  <si>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</si>
  <si>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</si>
  <si>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</si>
  <si>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</si>
  <si>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</si>
  <si>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</si>
  <si>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</si>
  <si>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</si>
  <si>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</si>
  <si>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</si>
  <si>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</si>
  <si>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</si>
  <si>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</si>
  <si>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</si>
  <si>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</si>
  <si>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</si>
  <si>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</si>
  <si>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</si>
  <si>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</si>
  <si>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</si>
  <si>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</si>
  <si>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</si>
  <si>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</si>
  <si>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</si>
  <si>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</si>
  <si>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</si>
  <si>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</si>
  <si>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</si>
  <si>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</si>
  <si>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</si>
  <si>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</si>
  <si>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</si>
  <si>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</si>
  <si>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</si>
  <si>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</si>
  <si>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</si>
  <si>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</si>
  <si>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</si>
  <si>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</si>
  <si>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</si>
  <si>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</si>
  <si>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</si>
  <si>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</si>
  <si>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</si>
  <si>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</si>
  <si>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</si>
  <si>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</si>
  <si>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</si>
  <si>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</si>
  <si>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</si>
  <si>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</si>
  <si>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</si>
  <si>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</si>
  <si>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</si>
  <si>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</si>
  <si>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</si>
  <si>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</si>
  <si>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</si>
  <si>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</si>
  <si>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</si>
  <si>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</si>
  <si>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</si>
  <si>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</si>
  <si>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</si>
  <si>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</si>
  <si>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</si>
  <si>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</si>
  <si>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</si>
  <si>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</si>
  <si>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</si>
  <si>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</si>
  <si>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</si>
  <si>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</si>
  <si>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</si>
  <si>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</si>
  <si>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</si>
  <si>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</si>
  <si>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</si>
  <si>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</si>
  <si>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</si>
  <si>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</si>
  <si>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</si>
  <si>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</si>
  <si>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</si>
  <si>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</si>
  <si>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</si>
  <si>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</si>
  <si>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</si>
  <si>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</si>
  <si>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</si>
  <si>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</si>
  <si>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</si>
  <si>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</si>
  <si>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</si>
  <si>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</si>
  <si>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</si>
  <si>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</si>
  <si>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</si>
  <si>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</si>
  <si>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</si>
  <si>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</si>
  <si>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</si>
  <si>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</si>
  <si>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</si>
  <si>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</si>
  <si>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</si>
  <si>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</si>
  <si>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</si>
  <si>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</si>
  <si>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</si>
  <si>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</si>
  <si>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</si>
  <si>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</si>
  <si>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</si>
  <si>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</si>
  <si>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</si>
  <si>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</si>
  <si>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</si>
  <si>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</si>
  <si>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</si>
  <si>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</si>
  <si>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</si>
  <si>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</si>
  <si>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</si>
  <si>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</si>
  <si>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</si>
  <si>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</si>
  <si>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</si>
  <si>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</si>
  <si>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</si>
  <si>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</si>
  <si>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</si>
  <si>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</si>
  <si>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</si>
  <si>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</si>
  <si>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</si>
  <si>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</si>
  <si>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</si>
  <si>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</si>
  <si>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</si>
  <si>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</si>
  <si>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</si>
  <si>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</si>
  <si>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</si>
  <si>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</si>
  <si>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</si>
  <si>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</si>
  <si>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</si>
  <si>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</si>
  <si>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</si>
  <si>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</si>
  <si>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</si>
  <si>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</si>
  <si>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</si>
  <si>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</si>
  <si>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</si>
  <si>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</si>
  <si>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</si>
  <si>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</si>
  <si>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</si>
  <si>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</si>
  <si>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</si>
  <si>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</si>
  <si>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</si>
  <si>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</si>
  <si>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</si>
  <si>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</si>
  <si>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</si>
  <si>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</si>
  <si>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</si>
  <si>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</si>
  <si>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</si>
  <si>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</si>
  <si>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</si>
  <si>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</si>
  <si>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</si>
  <si>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</si>
  <si>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</si>
  <si>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</si>
  <si>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</si>
  <si>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</si>
  <si>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</si>
  <si>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</si>
  <si>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</si>
  <si>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</si>
  <si>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</si>
  <si>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</si>
  <si>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</si>
  <si>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</si>
  <si>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</si>
  <si>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</si>
  <si>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</si>
  <si>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</si>
  <si>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</si>
  <si>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</si>
  <si>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</si>
  <si>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</si>
  <si>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</si>
  <si>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</si>
  <si>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</si>
  <si>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</si>
  <si>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</si>
  <si>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</si>
  <si>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</si>
  <si>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</si>
  <si>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</si>
  <si>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</si>
  <si>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</si>
  <si>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</si>
  <si>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</si>
  <si>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</si>
  <si>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</si>
  <si>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</si>
  <si>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</si>
  <si>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</si>
  <si>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</si>
  <si>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</si>
  <si>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</si>
  <si>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</si>
  <si>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</si>
  <si>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</si>
  <si>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</si>
  <si>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</si>
  <si>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</si>
  <si>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</si>
  <si>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</si>
  <si>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</si>
  <si>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</si>
  <si>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</si>
  <si>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</si>
  <si>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</si>
  <si>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</si>
  <si>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</si>
  <si>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</si>
  <si>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</si>
  <si>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</si>
  <si>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</si>
  <si>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</si>
  <si>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</si>
  <si>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</si>
  <si>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</si>
  <si>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</si>
  <si>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</si>
  <si>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</si>
  <si>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</si>
  <si>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</si>
  <si>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</si>
  <si>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</si>
  <si>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</si>
  <si>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</si>
  <si>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</si>
  <si>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</si>
  <si>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</si>
  <si>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</si>
  <si>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</si>
  <si>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</si>
  <si>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</si>
  <si>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</si>
  <si>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</si>
  <si>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</si>
  <si>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</si>
  <si>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</si>
  <si>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</si>
  <si>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</si>
  <si>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</si>
  <si>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</si>
  <si>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</si>
  <si>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</si>
  <si>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</si>
  <si>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</si>
  <si>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</si>
  <si>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</si>
  <si>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</si>
  <si>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</si>
  <si>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</si>
  <si>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</si>
  <si>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</si>
  <si>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</si>
  <si>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</si>
  <si>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</si>
  <si>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</si>
  <si>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</si>
  <si>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</si>
  <si>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</si>
  <si>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</si>
  <si>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</si>
  <si>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</si>
  <si>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</si>
  <si>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</si>
  <si>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</si>
  <si>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</si>
  <si>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</si>
  <si>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</si>
  <si>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</si>
  <si>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</si>
  <si>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</si>
  <si>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</si>
  <si>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</si>
  <si>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</si>
  <si>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</si>
  <si>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</si>
  <si>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</si>
  <si>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</si>
  <si>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</si>
  <si>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</si>
  <si>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</si>
  <si>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</si>
  <si>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</si>
  <si>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</si>
  <si>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</si>
  <si>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</si>
  <si>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</si>
  <si>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</si>
  <si>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</si>
  <si>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</si>
  <si>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</si>
  <si>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</si>
  <si>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</si>
  <si>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</si>
  <si>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</si>
  <si>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</si>
  <si>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</si>
  <si>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</si>
  <si>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</si>
  <si>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</si>
  <si>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</si>
  <si>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</si>
  <si>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</si>
  <si>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</si>
  <si>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</si>
  <si>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</si>
  <si>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</si>
  <si>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</si>
  <si>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</si>
  <si>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</si>
  <si>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</si>
  <si>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</si>
  <si>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</si>
  <si>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</si>
  <si>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</si>
  <si>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</si>
  <si>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</si>
  <si>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</si>
  <si>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</si>
  <si>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</si>
  <si>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</si>
  <si>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</si>
  <si>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</si>
  <si>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</si>
  <si>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</si>
  <si>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</si>
  <si>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</si>
  <si>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</si>
  <si>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</si>
  <si>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</si>
  <si>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</si>
  <si>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</si>
  <si>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</si>
  <si>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</si>
  <si>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</si>
  <si>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</si>
  <si>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</si>
  <si>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</si>
  <si>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</si>
  <si>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</si>
  <si>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</si>
  <si>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</si>
  <si>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</si>
  <si>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</si>
  <si>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</si>
  <si>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</si>
  <si>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</si>
  <si>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</si>
  <si>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</si>
  <si>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</si>
  <si>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</si>
  <si>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</si>
  <si>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</si>
  <si>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</si>
  <si>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</si>
  <si>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</si>
  <si>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</si>
  <si>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</si>
  <si>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</si>
  <si>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</si>
  <si>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</si>
  <si>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</si>
  <si>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</si>
  <si>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</si>
  <si>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</si>
  <si>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</si>
  <si>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</si>
  <si>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</si>
  <si>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</si>
  <si>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</si>
  <si>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</si>
  <si>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</si>
  <si>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</si>
  <si>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</si>
  <si>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</si>
  <si>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</si>
  <si>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</si>
  <si>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</si>
  <si>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</si>
  <si>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</si>
  <si>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</si>
  <si>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</si>
  <si>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</si>
  <si>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</si>
  <si>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</si>
  <si>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</si>
  <si>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</si>
  <si>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</si>
  <si>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</si>
  <si>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</si>
  <si>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</si>
  <si>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</si>
  <si>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</si>
  <si>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</si>
  <si>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</si>
  <si>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</si>
  <si>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</si>
  <si>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</si>
  <si>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</si>
  <si>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</si>
  <si>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</si>
  <si>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</si>
  <si>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</si>
  <si>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</si>
  <si>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</si>
  <si>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</si>
  <si>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</si>
  <si>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</si>
  <si>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</si>
  <si>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</si>
  <si>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</si>
  <si>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 Plays</t>
  </si>
  <si>
    <t xml:space="preserve">Failed Plays </t>
  </si>
  <si>
    <t>Upper Quartile of Goal</t>
  </si>
  <si>
    <t>Standard Deviation of Goal</t>
  </si>
  <si>
    <t>Lower Quartile of Goal</t>
  </si>
  <si>
    <t>IQR of Goal</t>
  </si>
  <si>
    <t>Average of Average Donation</t>
  </si>
  <si>
    <t xml:space="preserve">Parent Category </t>
  </si>
  <si>
    <t>Number Successful</t>
  </si>
  <si>
    <t>Number Failed</t>
  </si>
  <si>
    <t>Total Projects</t>
  </si>
  <si>
    <t>Percentage Successful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</si>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</sst>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166" fontId="0" fillId="0" borderId="1" xfId="0" applyNumberFormat="1" applyBorder="1"/>
    <xf numFmtId="165" fontId="0" fillId="0" borderId="0" xfId="0" applyNumberFormat="1" applyAlignment="1">
      <alignment horizontal="left"/>
    </xf>
    <xf numFmtId="10" fontId="0" fillId="0" borderId="0" xfId="1" applyNumberFormat="1" applyFont="1"/>
    <xf numFmtId="0" fontId="1" fillId="2" borderId="2" xfId="0" applyNumberFormat="1" applyFont="1" applyFill="1" applyBorder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[Kickstarter_Challenge.xlsx]Average Donations!PivotTable1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Donations'!$B$3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Donations'!$A$4:$A$45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'Average Donations'!$B$4:$B$45</c:f>
              <c:numCache>
                <c:formatCode>_("$"* #,##0.00_);_("$"* \(#,##0.00\);_("$"* "-"??_);_(@_)</c:formatCode>
                <c:ptCount val="41"/>
                <c:pt idx="0">
                  <c:v>41.5334</c:v>
                </c:pt>
                <c:pt idx="1">
                  <c:v>50.039000000000001</c:v>
                </c:pt>
                <c:pt idx="2">
                  <c:v>20.499583333333334</c:v>
                </c:pt>
                <c:pt idx="3">
                  <c:v>25.711750000000002</c:v>
                </c:pt>
                <c:pt idx="4">
                  <c:v>89.263249999999999</c:v>
                </c:pt>
                <c:pt idx="5">
                  <c:v>108.86377777777777</c:v>
                </c:pt>
                <c:pt idx="6">
                  <c:v>89.684875000000005</c:v>
                </c:pt>
                <c:pt idx="7">
                  <c:v>61.483750000000001</c:v>
                </c:pt>
                <c:pt idx="8">
                  <c:v>57.03949999999999</c:v>
                </c:pt>
                <c:pt idx="9">
                  <c:v>23.197500000000002</c:v>
                </c:pt>
                <c:pt idx="10">
                  <c:v>45.396071428571425</c:v>
                </c:pt>
                <c:pt idx="11">
                  <c:v>197.79249999999999</c:v>
                </c:pt>
                <c:pt idx="12">
                  <c:v>200.78435714285709</c:v>
                </c:pt>
                <c:pt idx="13">
                  <c:v>66.90368749999999</c:v>
                </c:pt>
                <c:pt idx="14">
                  <c:v>41.533333333333339</c:v>
                </c:pt>
                <c:pt idx="15">
                  <c:v>136.48699999999999</c:v>
                </c:pt>
                <c:pt idx="16">
                  <c:v>41.138500000000008</c:v>
                </c:pt>
                <c:pt idx="17">
                  <c:v>28.420749999999998</c:v>
                </c:pt>
                <c:pt idx="18">
                  <c:v>73.022357142857118</c:v>
                </c:pt>
                <c:pt idx="19">
                  <c:v>26.840500000000002</c:v>
                </c:pt>
                <c:pt idx="20">
                  <c:v>81.247</c:v>
                </c:pt>
                <c:pt idx="21">
                  <c:v>59.913499999999999</c:v>
                </c:pt>
                <c:pt idx="22">
                  <c:v>96.448687499999963</c:v>
                </c:pt>
                <c:pt idx="23">
                  <c:v>43.3215</c:v>
                </c:pt>
                <c:pt idx="24">
                  <c:v>69.975384615384485</c:v>
                </c:pt>
                <c:pt idx="25">
                  <c:v>79.09875000000001</c:v>
                </c:pt>
                <c:pt idx="26">
                  <c:v>59.092500000000008</c:v>
                </c:pt>
                <c:pt idx="27">
                  <c:v>17.267500000000002</c:v>
                </c:pt>
                <c:pt idx="28">
                  <c:v>77.745807692307707</c:v>
                </c:pt>
                <c:pt idx="29">
                  <c:v>54.695250000000009</c:v>
                </c:pt>
                <c:pt idx="30">
                  <c:v>85.194166666666675</c:v>
                </c:pt>
                <c:pt idx="31">
                  <c:v>83.783250000000024</c:v>
                </c:pt>
                <c:pt idx="32">
                  <c:v>68.62266666666666</c:v>
                </c:pt>
                <c:pt idx="33">
                  <c:v>111.23197860962561</c:v>
                </c:pt>
                <c:pt idx="34">
                  <c:v>66.790250000000029</c:v>
                </c:pt>
                <c:pt idx="35">
                  <c:v>120.79833333333328</c:v>
                </c:pt>
                <c:pt idx="36">
                  <c:v>52.913684210526313</c:v>
                </c:pt>
                <c:pt idx="37">
                  <c:v>36.366599999999998</c:v>
                </c:pt>
                <c:pt idx="38">
                  <c:v>172.7064</c:v>
                </c:pt>
                <c:pt idx="39">
                  <c:v>40.579312499999993</c:v>
                </c:pt>
                <c:pt idx="40">
                  <c:v>27.263500000000001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9-4E24-AC04-B8D8D644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8561296"/>
        <c:axId val="1808570448"/>
      </c:barChart>
      <c:catAx>
        <c:axId val="180856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570448"/>
        <c:crosses val="autoZero"/>
        <c:auto val="1"/>
        <c:lblAlgn val="ctr"/>
        <c:lblOffset val="100"/>
        <c:noMultiLvlLbl val="0"/>
      </c:catAx>
      <c:valAx>
        <c:axId val="18085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56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Parent Category Outcomes</a:t>
            </a:r>
          </a:p>
        </c:rich>
      </c:tx>
      <c:layout>
        <c:manualLayout>
          <c:xMode val="edge"/>
          <c:yMode val="edge"/>
          <c:x val="0.288597112860892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6-463E-B0FA-63B75BF11C5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6-463E-B0FA-63B75BF11C5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6-463E-B0FA-63B75BF11C5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6-463E-B0FA-63B75BF11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289920"/>
        <c:axId val="494290336"/>
      </c:barChart>
      <c:catAx>
        <c:axId val="49428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90336"/>
        <c:crosses val="autoZero"/>
        <c:auto val="1"/>
        <c:lblAlgn val="ctr"/>
        <c:lblOffset val="100"/>
        <c:noMultiLvlLbl val="0"/>
      </c:catAx>
      <c:valAx>
        <c:axId val="49429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8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D-4537-BCA5-052E80EF48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D-4537-BCA5-052E80EF48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D-4537-BCA5-052E80EF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413664"/>
        <c:axId val="386412000"/>
      </c:barChart>
      <c:catAx>
        <c:axId val="3864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12000"/>
        <c:crosses val="autoZero"/>
        <c:auto val="1"/>
        <c:lblAlgn val="ctr"/>
        <c:lblOffset val="100"/>
        <c:noMultiLvlLbl val="0"/>
      </c:catAx>
      <c:valAx>
        <c:axId val="3864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Theatre Outcomes</a:t>
            </a:r>
            <a:endParaRPr lang="en-US"/>
          </a:p>
        </c:rich>
      </c:tx>
      <c:layout>
        <c:manualLayout>
          <c:xMode val="edge"/>
          <c:yMode val="edge"/>
          <c:x val="0.30894444444444447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25580849086471"/>
          <c:y val="0.2650909205211624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F-4734-8DF2-CB809A7C835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F-4734-8DF2-CB809A7C835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F-4734-8DF2-CB809A7C835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7F-4734-8DF2-CB809A7C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372736"/>
        <c:axId val="851373984"/>
      </c:lineChart>
      <c:catAx>
        <c:axId val="85137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73984"/>
        <c:crosses val="autoZero"/>
        <c:auto val="1"/>
        <c:lblAlgn val="ctr"/>
        <c:lblOffset val="100"/>
        <c:noMultiLvlLbl val="0"/>
      </c:catAx>
      <c:valAx>
        <c:axId val="8513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7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1926697945287565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1-4A1A-BA4B-5BF3BA1467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1-4A1A-BA4B-5BF3BA1467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1-4A1A-BA4B-5BF3BA14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993088"/>
        <c:axId val="1961993920"/>
      </c:lineChart>
      <c:catAx>
        <c:axId val="196199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93920"/>
        <c:crosses val="autoZero"/>
        <c:auto val="1"/>
        <c:lblAlgn val="ctr"/>
        <c:lblOffset val="100"/>
        <c:noMultiLvlLbl val="0"/>
      </c:catAx>
      <c:valAx>
        <c:axId val="19619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9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D-4C6F-8C9A-8EEFD6F5AE45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D-4C6F-8C9A-8EEFD6F5AE45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D-4C6F-8C9A-8EEFD6F5A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987680"/>
        <c:axId val="1349984352"/>
      </c:lineChart>
      <c:catAx>
        <c:axId val="13499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84352"/>
        <c:crosses val="autoZero"/>
        <c:auto val="1"/>
        <c:lblAlgn val="ctr"/>
        <c:lblOffset val="100"/>
        <c:noMultiLvlLbl val="0"/>
      </c:catAx>
      <c:valAx>
        <c:axId val="13499843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66674</xdr:colOff>
      <xdr:row>3</xdr:row>
      <xdr:rowOff>85724</xdr:rowOff>
    </xdr:from>
    <xdr:to>
      <xdr:col>36</xdr:col>
      <xdr:colOff>57150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BDE50-392F-973C-A8A5-67CE7643F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</xdr:row>
      <xdr:rowOff>47625</xdr:rowOff>
    </xdr:from>
    <xdr:to>
      <xdr:col>15</xdr:col>
      <xdr:colOff>123825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68441-A919-FF66-94F1-41DC9610E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361950</xdr:colOff>
      <xdr:row>0</xdr:row>
      <xdr:rowOff>180975</xdr:rowOff>
    </xdr:from>
    <xdr:to>
      <xdr:col>23</xdr:col>
      <xdr:colOff>65507</xdr:colOff>
      <xdr:row>15</xdr:row>
      <xdr:rowOff>75014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281F9D-F95F-D0B5-9021-874E15F1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180975"/>
          <a:ext cx="4580357" cy="2751539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16</xdr:row>
      <xdr:rowOff>66675</xdr:rowOff>
    </xdr:from>
    <xdr:to>
      <xdr:col>23</xdr:col>
      <xdr:colOff>84557</xdr:colOff>
      <xdr:row>30</xdr:row>
      <xdr:rowOff>151214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E5BC7E-189A-F296-F072-9BA530A2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0825" y="3114675"/>
          <a:ext cx="4580357" cy="2751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152398</xdr:colOff>
      <xdr:row>1</xdr:row>
      <xdr:rowOff>0</xdr:rowOff>
    </xdr:from>
    <xdr:to>
      <xdr:col>13</xdr:col>
      <xdr:colOff>457199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917A2-6970-9340-5F8D-9ABB38E26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247650</xdr:colOff>
      <xdr:row>0</xdr:row>
      <xdr:rowOff>152400</xdr:rowOff>
    </xdr:from>
    <xdr:to>
      <xdr:col>26</xdr:col>
      <xdr:colOff>103632</xdr:colOff>
      <xdr:row>24</xdr:row>
      <xdr:rowOff>36065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574F6C-9A50-4E11-3FAB-6D02726B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7900" y="152400"/>
          <a:ext cx="7171182" cy="445566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19</xdr:row>
      <xdr:rowOff>76200</xdr:rowOff>
    </xdr:from>
    <xdr:to>
      <xdr:col>13</xdr:col>
      <xdr:colOff>560832</xdr:colOff>
      <xdr:row>42</xdr:row>
      <xdr:rowOff>150365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5E5A09-7070-1A64-1483-8017C1985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3695700"/>
          <a:ext cx="7171182" cy="44556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38100</xdr:rowOff>
    </xdr:from>
    <xdr:to>
      <xdr:col>15</xdr:col>
      <xdr:colOff>114300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8C4B2-0F8A-73B7-D37E-480A3F2FC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352425</xdr:colOff>
      <xdr:row>18</xdr:row>
      <xdr:rowOff>66675</xdr:rowOff>
    </xdr:from>
    <xdr:to>
      <xdr:col>24</xdr:col>
      <xdr:colOff>380182</xdr:colOff>
      <xdr:row>35</xdr:row>
      <xdr:rowOff>17522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49AF3C-6D7F-CA3D-6BF6-6549D443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3495675"/>
          <a:ext cx="4904557" cy="3189347"/>
        </a:xfrm>
        <a:prstGeom prst="rect">
          <a:avLst/>
        </a:prstGeom>
      </xdr:spPr>
    </xdr:pic>
    <xdr:clientData/>
  </xdr:twoCellAnchor>
  <xdr:twoCellAnchor editAs="oneCell">
    <xdr:from>
      <xdr:col>16</xdr:col>
      <xdr:colOff>330975</xdr:colOff>
      <xdr:row>0</xdr:row>
      <xdr:rowOff>16650</xdr:rowOff>
    </xdr:from>
    <xdr:to>
      <xdr:col>24</xdr:col>
      <xdr:colOff>358732</xdr:colOff>
      <xdr:row>16</xdr:row>
      <xdr:rowOff>157997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3BF907-DB0E-E4CF-9EFB-263F4743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7525" y="16650"/>
          <a:ext cx="4904557" cy="31893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142875</xdr:rowOff>
    </xdr:from>
    <xdr:to>
      <xdr:col>15</xdr:col>
      <xdr:colOff>152400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E1B0E-65DA-2A5A-769A-0017D00EF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14</xdr:row>
      <xdr:rowOff>161925</xdr:rowOff>
    </xdr:from>
    <xdr:to>
      <xdr:col>7</xdr:col>
      <xdr:colOff>1333500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C4A45-4987-7725-01C8-4EBF4F574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 valencia" refreshedDate="44707.759089699073" createdVersion="8" refreshedVersion="8" minRefreshableVersion="3" recordCount="4114" xr:uid="{63F13D15-5262-477C-847A-BB877C739DC5}">
  <cacheSource type="worksheet">
    <worksheetSource ref="A1:R4115" sheet="Org 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 valencia" refreshedDate="44714.78825416667" createdVersion="8" refreshedVersion="8" minRefreshableVersion="3" recordCount="4114" xr:uid="{6F2608B5-29F9-45A9-8CBC-30F56C2ECCAC}">
  <cacheSource type="worksheet">
    <worksheetSource ref="A1:T4115" sheet="Org 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 valencia" refreshedDate="44715.678885300928" createdVersion="8" refreshedVersion="8" minRefreshableVersion="3" recordCount="4114" xr:uid="{D3C9D9B5-9121-4227-B325-29144818C9D6}">
  <cacheSource type="worksheet">
    <worksheetSource ref="A1:U4115" sheet="Org 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93032-5612-41F8-8DB4-A8DC7CAB5EE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45" firstHeaderRow="1" firstDataRow="1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16" hier="-1"/>
  </pageFields>
  <dataFields count="1">
    <dataField name="Average of Average Donation" fld="15" subtotal="average" baseField="17" baseItem="9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B2E8F-78E2-40A2-9817-ED5A6E8DE2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E529-5C2C-452C-B17C-ACEDB012176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8E812-47A4-49D5-AF93-A318399350E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7CFE-C589-4880-8D4B-2FE8E36E6A1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694C-F4DD-41A5-891C-3FEF9AEA081B}">
  <dimension ref="A1:B45"/>
  <sheetViews>
    <sheetView workbookViewId="0">
      <selection activeCell="A28" sqref="A28:XFD28"/>
    </sheetView>
  </sheetViews>
  <sheetFormatPr defaultRowHeight="15" x14ac:dyDescent="0.25"/>
  <cols>
    <col min="1" max="1" width="16.85546875" bestFit="1" customWidth="1"/>
    <col min="2" max="2" width="27.42578125" bestFit="1" customWidth="1"/>
    <col min="3" max="3" width="2" bestFit="1" customWidth="1"/>
    <col min="4" max="4" width="5" bestFit="1" customWidth="1"/>
    <col min="5" max="5" width="4" bestFit="1" customWidth="1"/>
    <col min="6" max="6" width="5" bestFit="1" customWidth="1"/>
    <col min="7" max="7" width="2" bestFit="1" customWidth="1"/>
    <col min="8" max="10" width="5" bestFit="1" customWidth="1"/>
    <col min="11" max="11" width="2" bestFit="1" customWidth="1"/>
    <col min="12" max="15" width="5" bestFit="1" customWidth="1"/>
    <col min="16" max="16" width="4" bestFit="1" customWidth="1"/>
    <col min="17" max="17" width="2" bestFit="1" customWidth="1"/>
    <col min="18" max="19" width="5" bestFit="1" customWidth="1"/>
    <col min="20" max="20" width="4" bestFit="1" customWidth="1"/>
    <col min="21" max="22" width="5" bestFit="1" customWidth="1"/>
    <col min="23" max="23" width="2" bestFit="1" customWidth="1"/>
    <col min="24" max="26" width="5" bestFit="1" customWidth="1"/>
    <col min="27" max="27" width="4" bestFit="1" customWidth="1"/>
    <col min="28" max="29" width="5" bestFit="1" customWidth="1"/>
    <col min="30" max="30" width="4" bestFit="1" customWidth="1"/>
    <col min="31" max="31" width="2" bestFit="1" customWidth="1"/>
    <col min="32" max="33" width="5" bestFit="1" customWidth="1"/>
    <col min="34" max="34" width="4" bestFit="1" customWidth="1"/>
    <col min="35" max="37" width="5" bestFit="1" customWidth="1"/>
    <col min="38" max="38" width="2" bestFit="1" customWidth="1"/>
    <col min="39" max="41" width="5" bestFit="1" customWidth="1"/>
    <col min="42" max="42" width="4" bestFit="1" customWidth="1"/>
    <col min="43" max="43" width="2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</cols>
  <sheetData>
    <row r="1" spans="1:2" x14ac:dyDescent="0.25">
      <c r="A1" s="13" t="s">
        <v>8359</v>
      </c>
      <c r="B1" t="s">
        <v>8364</v>
      </c>
    </row>
    <row r="3" spans="1:2" x14ac:dyDescent="0.25">
      <c r="A3" s="13" t="s">
        <v>8360</v>
      </c>
      <c r="B3" t="s">
        <v>8395</v>
      </c>
    </row>
    <row r="4" spans="1:2" x14ac:dyDescent="0.25">
      <c r="A4" s="14" t="s">
        <v>8314</v>
      </c>
      <c r="B4" s="6">
        <v>41.5334</v>
      </c>
    </row>
    <row r="5" spans="1:2" x14ac:dyDescent="0.25">
      <c r="A5" s="14" t="s">
        <v>8342</v>
      </c>
      <c r="B5" s="6">
        <v>50.039000000000001</v>
      </c>
    </row>
    <row r="6" spans="1:2" x14ac:dyDescent="0.25">
      <c r="A6" s="14" t="s">
        <v>8330</v>
      </c>
      <c r="B6" s="6">
        <v>20.499583333333334</v>
      </c>
    </row>
    <row r="7" spans="1:2" x14ac:dyDescent="0.25">
      <c r="A7" s="14" t="s">
        <v>8356</v>
      </c>
      <c r="B7" s="6">
        <v>25.711750000000002</v>
      </c>
    </row>
    <row r="8" spans="1:2" x14ac:dyDescent="0.25">
      <c r="A8" s="14" t="s">
        <v>8352</v>
      </c>
      <c r="B8" s="6">
        <v>89.263249999999999</v>
      </c>
    </row>
    <row r="9" spans="1:2" x14ac:dyDescent="0.25">
      <c r="A9" s="14" t="s">
        <v>8313</v>
      </c>
      <c r="B9" s="6">
        <v>108.86377777777777</v>
      </c>
    </row>
    <row r="10" spans="1:2" x14ac:dyDescent="0.25">
      <c r="A10" s="14" t="s">
        <v>8312</v>
      </c>
      <c r="B10" s="6">
        <v>89.684875000000005</v>
      </c>
    </row>
    <row r="11" spans="1:2" x14ac:dyDescent="0.25">
      <c r="A11" s="14" t="s">
        <v>8328</v>
      </c>
      <c r="B11" s="6">
        <v>61.483750000000001</v>
      </c>
    </row>
    <row r="12" spans="1:2" x14ac:dyDescent="0.25">
      <c r="A12" s="14" t="s">
        <v>8345</v>
      </c>
      <c r="B12" s="6">
        <v>57.03949999999999</v>
      </c>
    </row>
    <row r="13" spans="1:2" x14ac:dyDescent="0.25">
      <c r="A13" s="14" t="s">
        <v>8322</v>
      </c>
      <c r="B13" s="6">
        <v>23.197500000000002</v>
      </c>
    </row>
    <row r="14" spans="1:2" x14ac:dyDescent="0.25">
      <c r="A14" s="14" t="s">
        <v>8335</v>
      </c>
      <c r="B14" s="6">
        <v>45.396071428571425</v>
      </c>
    </row>
    <row r="15" spans="1:2" x14ac:dyDescent="0.25">
      <c r="A15" s="14" t="s">
        <v>8346</v>
      </c>
      <c r="B15" s="6">
        <v>197.79249999999999</v>
      </c>
    </row>
    <row r="16" spans="1:2" x14ac:dyDescent="0.25">
      <c r="A16" s="14" t="s">
        <v>8347</v>
      </c>
      <c r="B16" s="6">
        <v>200.78435714285709</v>
      </c>
    </row>
    <row r="17" spans="1:2" x14ac:dyDescent="0.25">
      <c r="A17" s="14" t="s">
        <v>8327</v>
      </c>
      <c r="B17" s="6">
        <v>66.90368749999999</v>
      </c>
    </row>
    <row r="18" spans="1:2" x14ac:dyDescent="0.25">
      <c r="A18" s="14" t="s">
        <v>8326</v>
      </c>
      <c r="B18" s="6">
        <v>41.533333333333339</v>
      </c>
    </row>
    <row r="19" spans="1:2" x14ac:dyDescent="0.25">
      <c r="A19" s="14" t="s">
        <v>8354</v>
      </c>
      <c r="B19" s="6">
        <v>136.48699999999999</v>
      </c>
    </row>
    <row r="20" spans="1:2" x14ac:dyDescent="0.25">
      <c r="A20" s="14" t="s">
        <v>8325</v>
      </c>
      <c r="B20" s="6">
        <v>41.138500000000008</v>
      </c>
    </row>
    <row r="21" spans="1:2" x14ac:dyDescent="0.25">
      <c r="A21" s="14" t="s">
        <v>8333</v>
      </c>
      <c r="B21" s="6">
        <v>28.420749999999998</v>
      </c>
    </row>
    <row r="22" spans="1:2" x14ac:dyDescent="0.25">
      <c r="A22" s="14" t="s">
        <v>8357</v>
      </c>
      <c r="B22" s="6">
        <v>73.022357142857118</v>
      </c>
    </row>
    <row r="23" spans="1:2" x14ac:dyDescent="0.25">
      <c r="A23" s="14" t="s">
        <v>8341</v>
      </c>
      <c r="B23" s="6">
        <v>26.840500000000002</v>
      </c>
    </row>
    <row r="24" spans="1:2" x14ac:dyDescent="0.25">
      <c r="A24" s="14" t="s">
        <v>8321</v>
      </c>
      <c r="B24" s="6">
        <v>81.247</v>
      </c>
    </row>
    <row r="25" spans="1:2" x14ac:dyDescent="0.25">
      <c r="A25" s="14" t="s">
        <v>8348</v>
      </c>
      <c r="B25" s="6">
        <v>59.913499999999999</v>
      </c>
    </row>
    <row r="26" spans="1:2" x14ac:dyDescent="0.25">
      <c r="A26" s="14" t="s">
        <v>8337</v>
      </c>
      <c r="B26" s="6">
        <v>96.448687499999963</v>
      </c>
    </row>
    <row r="27" spans="1:2" x14ac:dyDescent="0.25">
      <c r="A27" s="14" t="s">
        <v>8343</v>
      </c>
      <c r="B27" s="6">
        <v>43.3215</v>
      </c>
    </row>
    <row r="28" spans="1:2" x14ac:dyDescent="0.25">
      <c r="A28" s="14" t="s">
        <v>8316</v>
      </c>
      <c r="B28" s="6">
        <v>69.975384615384485</v>
      </c>
    </row>
    <row r="29" spans="1:2" x14ac:dyDescent="0.25">
      <c r="A29" s="14" t="s">
        <v>8344</v>
      </c>
      <c r="B29" s="6">
        <v>79.09875000000001</v>
      </c>
    </row>
    <row r="30" spans="1:2" x14ac:dyDescent="0.25">
      <c r="A30" s="14" t="s">
        <v>8340</v>
      </c>
      <c r="B30" s="6">
        <v>59.092500000000008</v>
      </c>
    </row>
    <row r="31" spans="1:2" x14ac:dyDescent="0.25">
      <c r="A31" s="14" t="s">
        <v>8351</v>
      </c>
      <c r="B31" s="6">
        <v>17.267500000000002</v>
      </c>
    </row>
    <row r="32" spans="1:2" x14ac:dyDescent="0.25">
      <c r="A32" s="14" t="s">
        <v>8324</v>
      </c>
      <c r="B32" s="6">
        <v>77.745807692307707</v>
      </c>
    </row>
    <row r="33" spans="1:2" x14ac:dyDescent="0.25">
      <c r="A33" s="14" t="s">
        <v>8311</v>
      </c>
      <c r="B33" s="6">
        <v>54.695250000000009</v>
      </c>
    </row>
    <row r="34" spans="1:2" x14ac:dyDescent="0.25">
      <c r="A34" s="14" t="s">
        <v>8310</v>
      </c>
      <c r="B34" s="6">
        <v>85.194166666666675</v>
      </c>
    </row>
    <row r="35" spans="1:2" x14ac:dyDescent="0.25">
      <c r="A35" s="14" t="s">
        <v>8350</v>
      </c>
      <c r="B35" s="6">
        <v>83.783250000000024</v>
      </c>
    </row>
    <row r="36" spans="1:2" x14ac:dyDescent="0.25">
      <c r="A36" s="14" t="s">
        <v>8353</v>
      </c>
      <c r="B36" s="6">
        <v>68.62266666666666</v>
      </c>
    </row>
    <row r="37" spans="1:2" x14ac:dyDescent="0.25">
      <c r="A37" s="14" t="s">
        <v>8355</v>
      </c>
      <c r="B37" s="6">
        <v>111.23197860962561</v>
      </c>
    </row>
    <row r="38" spans="1:2" x14ac:dyDescent="0.25">
      <c r="A38" s="14" t="s">
        <v>8349</v>
      </c>
      <c r="B38" s="6">
        <v>66.790250000000029</v>
      </c>
    </row>
    <row r="39" spans="1:2" x14ac:dyDescent="0.25">
      <c r="A39" s="14" t="s">
        <v>8309</v>
      </c>
      <c r="B39" s="6">
        <v>120.79833333333328</v>
      </c>
    </row>
    <row r="40" spans="1:2" x14ac:dyDescent="0.25">
      <c r="A40" s="14" t="s">
        <v>8339</v>
      </c>
      <c r="B40" s="6">
        <v>52.913684210526313</v>
      </c>
    </row>
    <row r="41" spans="1:2" x14ac:dyDescent="0.25">
      <c r="A41" s="14" t="s">
        <v>8332</v>
      </c>
      <c r="B41" s="6">
        <v>36.366599999999998</v>
      </c>
    </row>
    <row r="42" spans="1:2" x14ac:dyDescent="0.25">
      <c r="A42" s="14" t="s">
        <v>8319</v>
      </c>
      <c r="B42" s="6">
        <v>172.7064</v>
      </c>
    </row>
    <row r="43" spans="1:2" x14ac:dyDescent="0.25">
      <c r="A43" s="14" t="s">
        <v>8318</v>
      </c>
      <c r="B43" s="6">
        <v>40.579312499999993</v>
      </c>
    </row>
    <row r="44" spans="1:2" x14ac:dyDescent="0.25">
      <c r="A44" s="14" t="s">
        <v>8338</v>
      </c>
      <c r="B44" s="6">
        <v>27.263500000000001</v>
      </c>
    </row>
    <row r="45" spans="1:2" x14ac:dyDescent="0.25">
      <c r="A45" s="14" t="s">
        <v>8361</v>
      </c>
      <c r="B45" s="6">
        <v>80.008201263976801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B4107" activePane="bottomRight" state="frozen"/>
      <selection pane="topRight" activeCell="B1" sqref="B1"/>
      <selection pane="bottomLeft" activeCell="A2" sqref="A2"/>
      <selection pane="bottomRight" activeCell="B4107" sqref="B410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21.5703125" bestFit="1" customWidth="1"/>
    <col min="17" max="17" width="20.28515625" bestFit="1" customWidth="1"/>
    <col min="18" max="18" width="16.85546875" bestFit="1" customWidth="1"/>
    <col min="19" max="20" width="30.42578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8396</v>
      </c>
      <c r="R1" s="9" t="s">
        <v>8358</v>
      </c>
      <c r="S1" s="16" t="s">
        <v>8365</v>
      </c>
      <c r="T1" s="16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18" operator="equal">
      <formula>"canceled"</formula>
    </cfRule>
    <cfRule type="cellIs" dxfId="2" priority="19" operator="equal">
      <formula>"Failed"</formula>
    </cfRule>
    <cfRule type="cellIs" dxfId="1" priority="21" operator="equal">
      <formula>"successful"</formula>
    </cfRule>
    <cfRule type="cellIs" dxfId="0" priority="23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D1E2-2542-4659-8B86-919FE7BE8A14}">
  <dimension ref="A1:F6"/>
  <sheetViews>
    <sheetView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6</v>
      </c>
      <c r="C5" s="10">
        <v>89</v>
      </c>
      <c r="D5" s="10">
        <v>6</v>
      </c>
      <c r="E5" s="10">
        <v>258</v>
      </c>
      <c r="F5" s="10">
        <v>359</v>
      </c>
    </row>
    <row r="6" spans="1:6" x14ac:dyDescent="0.25">
      <c r="A6" s="14" t="s">
        <v>8361</v>
      </c>
      <c r="B6" s="10">
        <v>6</v>
      </c>
      <c r="C6" s="10">
        <v>89</v>
      </c>
      <c r="D6" s="10">
        <v>6</v>
      </c>
      <c r="E6" s="10">
        <v>258</v>
      </c>
      <c r="F6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2DCD-BA0D-4BC5-B2F9-F8D123D88D83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E9724-4FCE-468C-8F9A-0DF89ACBD5F7}">
  <dimension ref="A2:F19"/>
  <sheetViews>
    <sheetView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8359</v>
      </c>
      <c r="B2" t="s">
        <v>8315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8362</v>
      </c>
    </row>
    <row r="6" spans="1:6" x14ac:dyDescent="0.25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5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5">
      <c r="A8" s="15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5">
      <c r="A9" s="15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5">
      <c r="A10" s="15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5">
      <c r="A11" s="15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5">
      <c r="A12" s="15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5">
      <c r="A13" s="15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5">
      <c r="A14" s="15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5">
      <c r="A15" s="15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5">
      <c r="A16" s="15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5">
      <c r="A17" s="15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5">
      <c r="A18" s="15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5">
      <c r="A19" s="15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46A4-24CD-49C3-9AB5-310FCD73D87E}">
  <dimension ref="A1:E27"/>
  <sheetViews>
    <sheetView tabSelected="1" workbookViewId="0">
      <selection activeCell="H34" sqref="H34"/>
    </sheetView>
  </sheetViews>
  <sheetFormatPr defaultRowHeight="15" x14ac:dyDescent="0.25"/>
  <cols>
    <col min="1" max="1" width="18" bestFit="1" customWidth="1"/>
    <col min="2" max="2" width="16.42578125" bestFit="1" customWidth="1"/>
    <col min="3" max="3" width="7.140625" bestFit="1" customWidth="1"/>
    <col min="4" max="4" width="9" bestFit="1" customWidth="1"/>
    <col min="5" max="5" width="11.42578125" bestFit="1" customWidth="1"/>
    <col min="6" max="6" width="11.28515625" bestFit="1" customWidth="1"/>
  </cols>
  <sheetData>
    <row r="1" spans="1:5" x14ac:dyDescent="0.25">
      <c r="A1" s="13" t="s">
        <v>8396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20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20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20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20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20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20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20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20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20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20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20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20" t="s">
        <v>8361</v>
      </c>
      <c r="B18" s="10">
        <v>839</v>
      </c>
      <c r="C18" s="10">
        <v>493</v>
      </c>
      <c r="D18" s="10">
        <v>37</v>
      </c>
      <c r="E18" s="10">
        <v>1369</v>
      </c>
    </row>
    <row r="23" spans="1:5" x14ac:dyDescent="0.25">
      <c r="B23" s="23">
        <f>B24/E24</f>
        <v>0.61285609934258578</v>
      </c>
    </row>
    <row r="24" spans="1:5" x14ac:dyDescent="0.25">
      <c r="B24" s="22">
        <v>839</v>
      </c>
      <c r="C24" s="22">
        <v>493</v>
      </c>
      <c r="D24" s="22">
        <v>37</v>
      </c>
      <c r="E24" s="22">
        <v>1369</v>
      </c>
    </row>
    <row r="25" spans="1:5" x14ac:dyDescent="0.25">
      <c r="B25" s="22">
        <v>2185</v>
      </c>
      <c r="C25" s="22">
        <v>1530</v>
      </c>
      <c r="D25" s="22">
        <v>349</v>
      </c>
      <c r="E25" s="22">
        <v>4064</v>
      </c>
    </row>
    <row r="26" spans="1:5" x14ac:dyDescent="0.25">
      <c r="B26" s="23">
        <f>B25/E25</f>
        <v>0.53764763779527558</v>
      </c>
    </row>
    <row r="27" spans="1:5" x14ac:dyDescent="0.25">
      <c r="B27" s="21"/>
      <c r="C27" s="21"/>
      <c r="D27" s="21"/>
      <c r="E27" s="21">
        <f>E24/E25</f>
        <v>0.33686023622047245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47BCD-7E0B-41DA-B07B-628C476B2989}">
  <dimension ref="A2:H14"/>
  <sheetViews>
    <sheetView workbookViewId="0">
      <selection activeCell="B3" sqref="B3"/>
    </sheetView>
  </sheetViews>
  <sheetFormatPr defaultRowHeight="15" x14ac:dyDescent="0.25"/>
  <cols>
    <col min="1" max="9" width="21.7109375" customWidth="1"/>
  </cols>
  <sheetData>
    <row r="2" spans="1:8" x14ac:dyDescent="0.25">
      <c r="A2" t="s">
        <v>8382</v>
      </c>
      <c r="B2" t="s">
        <v>8397</v>
      </c>
      <c r="C2" t="s">
        <v>8398</v>
      </c>
      <c r="D2" t="s">
        <v>8415</v>
      </c>
      <c r="E2" t="s">
        <v>8399</v>
      </c>
      <c r="F2" t="s">
        <v>8400</v>
      </c>
      <c r="G2" t="s">
        <v>8401</v>
      </c>
      <c r="H2" t="s">
        <v>8402</v>
      </c>
    </row>
    <row r="3" spans="1:8" x14ac:dyDescent="0.25">
      <c r="A3" t="s">
        <v>8403</v>
      </c>
      <c r="B3">
        <f>COUNTIFS('Org kickstarter '!$D:$D,"&lt;1000",'Org kickstarter '!$F:$F,"Successful",'Org kickstarter '!R:R,"plays")</f>
        <v>141</v>
      </c>
      <c r="C3">
        <f>COUNTIFS('Org kickstarter '!$D:$D,"&lt;1000",'Org kickstarter '!$F:$F,"failed",'Org kickstarter '!R:R,"plays")</f>
        <v>45</v>
      </c>
      <c r="D3">
        <f>COUNTIFS('Org kickstarter '!$D:$D,"&lt;1000",'Org kickstarter '!$F:$F,"Canceled",'Org kickstarter '!R:R,"plays")</f>
        <v>0</v>
      </c>
      <c r="E3">
        <f>SUM(B3:D3)</f>
        <v>186</v>
      </c>
      <c r="F3" s="21">
        <f>B3/E3</f>
        <v>0.75806451612903225</v>
      </c>
      <c r="G3" s="21">
        <f>C3/E3</f>
        <v>0.24193548387096775</v>
      </c>
      <c r="H3" s="21">
        <f>D3/E3</f>
        <v>0</v>
      </c>
    </row>
    <row r="4" spans="1:8" x14ac:dyDescent="0.25">
      <c r="A4" t="s">
        <v>8404</v>
      </c>
      <c r="B4">
        <f>COUNTIFS('Org kickstarter '!$D:$D,"&gt;=1000",'Org kickstarter '!$D:$D,"&lt;=4999",'Org kickstarter '!$F:$F,"Successful",'Org kickstarter '!R:R,"plays")</f>
        <v>388</v>
      </c>
      <c r="C4">
        <f>COUNTIFS('Org kickstarter '!$D:$D,"&gt;=1000",'Org kickstarter '!$D:$D,"&lt;=4999",'Org kickstarter '!$F:$F,"failed",'Org kickstarter '!R:R,"plays")</f>
        <v>146</v>
      </c>
      <c r="D4">
        <f>COUNTIFS('Org kickstarter '!$D:$D,"&gt;=1000",'Org kickstarter '!$D:$D,"&lt;=4999",'Org kickstarter '!$F:$F,"Canceled",'Org kickstarter '!R:R,"plays")</f>
        <v>0</v>
      </c>
      <c r="E4">
        <f t="shared" ref="E4:E14" si="0">SUM(B4:D4)</f>
        <v>534</v>
      </c>
      <c r="F4" s="21">
        <f t="shared" ref="F4:F14" si="1">B4/E4</f>
        <v>0.72659176029962547</v>
      </c>
      <c r="G4" s="21">
        <f t="shared" ref="G4:G14" si="2">C4/E4</f>
        <v>0.27340823970037453</v>
      </c>
      <c r="H4" s="21">
        <f t="shared" ref="H4:H14" si="3">D4/E4</f>
        <v>0</v>
      </c>
    </row>
    <row r="5" spans="1:8" x14ac:dyDescent="0.25">
      <c r="A5" t="s">
        <v>8405</v>
      </c>
      <c r="B5">
        <f>COUNTIFS('Org kickstarter '!$D:$D,"&gt;=5000",'Org kickstarter '!$D:$D,"&lt;=9999",'Org kickstarter '!$F:$F,"Successful",'Org kickstarter '!R:R,"plays")</f>
        <v>93</v>
      </c>
      <c r="C5">
        <f>COUNTIFS('Org kickstarter '!$D:$D,"&gt;=5000",'Org kickstarter '!$D:$D,"&lt;=9999",'Org kickstarter '!$F:$F,"failed",'Org kickstarter '!R:R,"plays")</f>
        <v>76</v>
      </c>
      <c r="D5">
        <f>COUNTIFS('Org kickstarter '!$D:$D,"&gt;=5000",'Org kickstarter '!$D:$D,"&lt;=9999",'Org kickstarter '!$F:$F,"Canceled",'Org kickstarter '!R:R,"plays")</f>
        <v>0</v>
      </c>
      <c r="E5">
        <f t="shared" si="0"/>
        <v>169</v>
      </c>
      <c r="F5" s="21">
        <f t="shared" si="1"/>
        <v>0.55029585798816572</v>
      </c>
      <c r="G5" s="21">
        <f t="shared" si="2"/>
        <v>0.44970414201183434</v>
      </c>
      <c r="H5" s="21">
        <f t="shared" si="3"/>
        <v>0</v>
      </c>
    </row>
    <row r="6" spans="1:8" x14ac:dyDescent="0.25">
      <c r="A6" t="s">
        <v>8406</v>
      </c>
      <c r="B6">
        <f>COUNTIFS('Org kickstarter '!$D:$D,"&gt;=10000",'Org kickstarter '!$D:$D,"&lt;=14999",'Org kickstarter '!$F:$F,"Successful",'Org kickstarter '!R:R,"plays")</f>
        <v>39</v>
      </c>
      <c r="C6">
        <f>COUNTIFS('Org kickstarter '!$D:$D,"&gt;=10000",'Org kickstarter '!$D:$D,"&lt;=14999",'Org kickstarter '!$F:$F,"failed",'Org kickstarter '!R:R,"plays")</f>
        <v>33</v>
      </c>
      <c r="D6">
        <f>COUNTIFS('Org kickstarter '!$D:$D,"&gt;=10000",'Org kickstarter '!$D:$D,"&lt;=14999",'Org kickstarter '!$F:$F,"Canceled",'Org kickstarter '!R:R,"plays")</f>
        <v>0</v>
      </c>
      <c r="E6">
        <f t="shared" si="0"/>
        <v>72</v>
      </c>
      <c r="F6" s="21">
        <f t="shared" si="1"/>
        <v>0.54166666666666663</v>
      </c>
      <c r="G6" s="21">
        <f t="shared" si="2"/>
        <v>0.45833333333333331</v>
      </c>
      <c r="H6" s="21">
        <f t="shared" si="3"/>
        <v>0</v>
      </c>
    </row>
    <row r="7" spans="1:8" x14ac:dyDescent="0.25">
      <c r="A7" t="s">
        <v>8407</v>
      </c>
      <c r="B7">
        <f>COUNTIFS('Org kickstarter '!$D:$D,"&gt;=15000",'Org kickstarter '!$D:$D,"&lt;=19999",'Org kickstarter '!$F:$F,"Successful",'Org kickstarter '!R:R,"plays")</f>
        <v>12</v>
      </c>
      <c r="C7">
        <f>COUNTIFS('Org kickstarter '!$D:$D,"&gt;=15000",'Org kickstarter '!$D:$D,"&lt;=19999",'Org kickstarter '!$F:$F,"failed",'Org kickstarter '!R:R,"plays")</f>
        <v>12</v>
      </c>
      <c r="D7">
        <f>COUNTIFS('Org kickstarter '!$D:$D,"&gt;=15000",'Org kickstarter '!$D:$D,"&lt;=19999",'Org kickstarter '!$F:$F,"Canceled",'Org kickstarter '!R:R,"plays")</f>
        <v>0</v>
      </c>
      <c r="E7">
        <f t="shared" si="0"/>
        <v>24</v>
      </c>
      <c r="F7" s="21">
        <f t="shared" si="1"/>
        <v>0.5</v>
      </c>
      <c r="G7" s="21">
        <f t="shared" si="2"/>
        <v>0.5</v>
      </c>
      <c r="H7" s="21">
        <f t="shared" si="3"/>
        <v>0</v>
      </c>
    </row>
    <row r="8" spans="1:8" x14ac:dyDescent="0.25">
      <c r="A8" t="s">
        <v>8408</v>
      </c>
      <c r="B8">
        <f>COUNTIFS('Org kickstarter '!$D:$D,"&gt;=20000",'Org kickstarter '!$D:$D,"&lt;=24999",'Org kickstarter '!$F:$F,"Successful",'Org kickstarter '!R:R,"plays")</f>
        <v>9</v>
      </c>
      <c r="C8">
        <f>COUNTIFS('Org kickstarter '!$D:$D,"&gt;=20000",'Org kickstarter '!$D:$D,"&lt;=24999",'Org kickstarter '!$F:$F,"Failed",'Org kickstarter '!R:R,"plays")</f>
        <v>11</v>
      </c>
      <c r="D8">
        <f>COUNTIFS('Org kickstarter '!$D:$D,"&gt;=20000",'Org kickstarter '!$D:$D,"&lt;=24999",'Org kickstarter '!$F:$F,"Canceled",'Org kickstarter '!R:R,"plays")</f>
        <v>0</v>
      </c>
      <c r="E8">
        <f t="shared" si="0"/>
        <v>20</v>
      </c>
      <c r="F8" s="21">
        <f t="shared" si="1"/>
        <v>0.45</v>
      </c>
      <c r="G8" s="21">
        <f t="shared" si="2"/>
        <v>0.55000000000000004</v>
      </c>
      <c r="H8" s="21">
        <f t="shared" si="3"/>
        <v>0</v>
      </c>
    </row>
    <row r="9" spans="1:8" x14ac:dyDescent="0.25">
      <c r="A9" t="s">
        <v>8409</v>
      </c>
      <c r="B9">
        <f>COUNTIFS('Org kickstarter '!$D:$D,"&gt;=25000",'Org kickstarter '!$D:$D,"&lt;=29999",'Org kickstarter '!$F:$F,"Successful",'Org kickstarter '!R:R,"plays")</f>
        <v>1</v>
      </c>
      <c r="C9">
        <f>COUNTIFS('Org kickstarter '!$D:$D,"&gt;=25000",'Org kickstarter '!$D:$D,"&lt;=29999",'Org kickstarter '!$F:$F,"Failed",'Org kickstarter '!R:R,"plays")</f>
        <v>4</v>
      </c>
      <c r="D9">
        <f>COUNTIFS('Org kickstarter '!$D:$D,"&gt;=25000",'Org kickstarter '!$D:$D,"&lt;=29999",'Org kickstarter '!$F:$F,"Canceled",'Org kickstarter '!R:R,"plays")</f>
        <v>0</v>
      </c>
      <c r="E9">
        <f t="shared" si="0"/>
        <v>5</v>
      </c>
      <c r="F9" s="21">
        <f t="shared" si="1"/>
        <v>0.2</v>
      </c>
      <c r="G9" s="21">
        <f t="shared" si="2"/>
        <v>0.8</v>
      </c>
      <c r="H9" s="21">
        <f t="shared" si="3"/>
        <v>0</v>
      </c>
    </row>
    <row r="10" spans="1:8" x14ac:dyDescent="0.25">
      <c r="A10" t="s">
        <v>8410</v>
      </c>
      <c r="B10">
        <f>COUNTIFS('Org kickstarter '!$D:$D,"&gt;=30000",'Org kickstarter '!$D:$D,"&lt;=34999",'Org kickstarter '!$F:$F,"Successful",'Org kickstarter '!R:R,"plays")</f>
        <v>3</v>
      </c>
      <c r="C10">
        <f>COUNTIFS('Org kickstarter '!$D:$D,"&gt;=30000",'Org kickstarter '!$D:$D,"&lt;=34999",'Org kickstarter '!$F:$F,"Failed",'Org kickstarter '!R:R,"plays")</f>
        <v>8</v>
      </c>
      <c r="D10">
        <f>COUNTIFS('Org kickstarter '!$D:$D,"&gt;=30000",'Org kickstarter '!$D:$D,"&lt;=34999",'Org kickstarter '!$F:$F,"Canceled",'Org kickstarter '!R:R,"plays")</f>
        <v>0</v>
      </c>
      <c r="E10">
        <f t="shared" si="0"/>
        <v>11</v>
      </c>
      <c r="F10" s="21">
        <f t="shared" si="1"/>
        <v>0.27272727272727271</v>
      </c>
      <c r="G10" s="21">
        <f t="shared" si="2"/>
        <v>0.72727272727272729</v>
      </c>
      <c r="H10" s="21">
        <f t="shared" si="3"/>
        <v>0</v>
      </c>
    </row>
    <row r="11" spans="1:8" x14ac:dyDescent="0.25">
      <c r="A11" t="s">
        <v>8411</v>
      </c>
      <c r="B11">
        <f>COUNTIFS('Org kickstarter '!$D:$D,"&gt;=35000",'Org kickstarter '!$D:$D,"&lt;=39999",'Org kickstarter '!$F:$F,"Successful",'Org kickstarter '!R:R,"plays")</f>
        <v>4</v>
      </c>
      <c r="C11">
        <f>COUNTIFS('Org kickstarter '!$D:$D,"&gt;=35000",'Org kickstarter '!$D:$D,"&lt;=39999",'Org kickstarter '!$F:$F,"Failed",'Org kickstarter '!R:R,"plays")</f>
        <v>2</v>
      </c>
      <c r="D11">
        <f>COUNTIFS('Org kickstarter '!$D:$D,"&gt;=35000",'Org kickstarter '!$D:$D,"&lt;=39999",'Org kickstarter '!$F:$F,"Canceled",'Org kickstarter '!R:R,"plays")</f>
        <v>0</v>
      </c>
      <c r="E11">
        <f t="shared" si="0"/>
        <v>6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8412</v>
      </c>
      <c r="B12">
        <f>COUNTIFS('Org kickstarter '!$D:$D,"&gt;=40000",'Org kickstarter '!$D:$D,"&lt;=44999",'Org kickstarter '!$F:$F,"Successful",'Org kickstarter '!R:R,"plays")</f>
        <v>2</v>
      </c>
      <c r="C12">
        <f>COUNTIFS('Org kickstarter '!$D:$D,"&gt;=40000",'Org kickstarter '!$D:$D,"&lt;=44999",'Org kickstarter '!$F:$F,"Failed",'Org kickstarter '!R:R,"plays")</f>
        <v>1</v>
      </c>
      <c r="D12">
        <f>COUNTIFS('Org kickstarter '!$D:$D,"&gt;=40000",'Org kickstarter '!$D:$D,"&lt;=44999",'Org kickstarter '!$F:$F,"Canceled",'Org kickstarter '!R:R,"plays")</f>
        <v>0</v>
      </c>
      <c r="E12">
        <f t="shared" si="0"/>
        <v>3</v>
      </c>
      <c r="F12" s="21">
        <f t="shared" si="1"/>
        <v>0.66666666666666663</v>
      </c>
      <c r="G12" s="21">
        <f t="shared" si="2"/>
        <v>0.33333333333333331</v>
      </c>
      <c r="H12" s="21">
        <f t="shared" si="3"/>
        <v>0</v>
      </c>
    </row>
    <row r="13" spans="1:8" x14ac:dyDescent="0.25">
      <c r="A13" t="s">
        <v>8413</v>
      </c>
      <c r="B13">
        <f>COUNTIFS('Org kickstarter '!$D:$D,"&gt;=45000",'Org kickstarter '!$D:$D,"&lt;=49999",'Org kickstarter '!$F:$F,"Successful",'Org kickstarter '!R:R,"plays")</f>
        <v>0</v>
      </c>
      <c r="C13">
        <f>COUNTIFS('Org kickstarter '!$D:$D,"&gt;=45000",'Org kickstarter '!$D:$D,"&lt;=49999",'Org kickstarter '!$F:$F,"Failed",'Org kickstarter '!R:R,"plays")</f>
        <v>1</v>
      </c>
      <c r="D13">
        <f>COUNTIFS('Org kickstarter '!$D:$D,"&gt;=45000",'Org kickstarter '!$D:$D,"&lt;=49999",'Org kickstarter '!$F:$F,"Canceled",'Org kickstarter '!R:R,"plays")</f>
        <v>0</v>
      </c>
      <c r="E13">
        <f t="shared" si="0"/>
        <v>1</v>
      </c>
      <c r="F13" s="21">
        <f t="shared" si="1"/>
        <v>0</v>
      </c>
      <c r="G13" s="21">
        <f t="shared" si="2"/>
        <v>1</v>
      </c>
      <c r="H13" s="21">
        <f t="shared" si="3"/>
        <v>0</v>
      </c>
    </row>
    <row r="14" spans="1:8" x14ac:dyDescent="0.25">
      <c r="A14" t="s">
        <v>8414</v>
      </c>
      <c r="B14">
        <f>COUNTIFS('Org kickstarter '!$D:$D,"&gt;=50000",'Org kickstarter '!$F:$F,"Successful",'Org kickstarter '!R:R,"plays")</f>
        <v>2</v>
      </c>
      <c r="C14">
        <f>COUNTIFS('Org kickstarter '!$D:$D,"&gt;=50000",'Org kickstarter '!$F:$F,"Failed",'Org kickstarter '!R:R,"plays")</f>
        <v>14</v>
      </c>
      <c r="D14">
        <f>COUNTIFS('Org kickstarter '!$D:$D,"&gt;=50000",'Org kickstarter '!$F:$F,"Canceled",'Org kickstarter '!R:R,"plays")</f>
        <v>0</v>
      </c>
      <c r="E14">
        <f t="shared" si="0"/>
        <v>16</v>
      </c>
      <c r="F14" s="21">
        <f t="shared" si="1"/>
        <v>0.125</v>
      </c>
      <c r="G14" s="21">
        <f t="shared" si="2"/>
        <v>0.875</v>
      </c>
      <c r="H14" s="21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9A15E-B4E9-4735-AE63-7138E4E206A9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16" bestFit="1" customWidth="1"/>
    <col min="3" max="3" width="10.8554687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VLOOKUP(A2,'Org kickstarter '!B:C,2,FALSE)</f>
        <v>Help us get actor-writer Ian Bonar's debut play - a hilarious, heartbreaking story of grief and loss - to the 2016 Edinburgh Fringe.</v>
      </c>
      <c r="C2">
        <f>VLOOKUP(A2,'Org kickstarter '!B:E,3,FALSE)</f>
        <v>2000</v>
      </c>
      <c r="D2">
        <f>VLOOKUP(A2,'Org kickstarter '!B:E,4,FALSE)</f>
        <v>2020</v>
      </c>
      <c r="E2">
        <f>VLOOKUP(A2,'Org kickstarter '!B:P,15,FALSE)</f>
        <v>51.79</v>
      </c>
      <c r="F2">
        <f>VLOOKUP(A2,'Org kickstarter '!B:L,11,FALSE)</f>
        <v>39</v>
      </c>
    </row>
    <row r="3" spans="1:6" x14ac:dyDescent="0.25">
      <c r="A3" t="s">
        <v>3616</v>
      </c>
      <c r="B3" t="str">
        <f>VLOOKUP(A3,'Org kickstarter '!B:C,2,FALSE)</f>
        <v>The play yet to be described as "A surefire Edinburgh Fringe Festival Cult Hit". Coming to the Underbelly, Edinburgh, 5th-30th August.</v>
      </c>
      <c r="C3">
        <f>VLOOKUP(A3,'Org kickstarter '!B:E,3,FALSE)</f>
        <v>2000</v>
      </c>
      <c r="D3">
        <f>VLOOKUP(A3,'Org kickstarter '!B:E,4,FALSE)</f>
        <v>2020</v>
      </c>
      <c r="E3">
        <f>VLOOKUP(A3,'Org kickstarter '!B:P,15,FALSE)</f>
        <v>36.07</v>
      </c>
      <c r="F3">
        <f>VLOOKUP(A3,'Org kickstarter '!B:L,11,FALSE)</f>
        <v>56</v>
      </c>
    </row>
    <row r="4" spans="1:6" x14ac:dyDescent="0.25">
      <c r="A4" t="s">
        <v>3178</v>
      </c>
      <c r="B4" t="str">
        <f>VLOOKUP(A4,'Org kickstarter '!B:C,2,FALSE)</f>
        <v>Cutting Off Kate Bush is a one-woman show written &amp; performed by Lucy Benson-Brown, premiering at the Edinburgh Fringe Festival 2014</v>
      </c>
      <c r="C4">
        <f>VLOOKUP(A4,'Org kickstarter '!B:E,3,FALSE)</f>
        <v>1500</v>
      </c>
      <c r="D4">
        <f>VLOOKUP(A4,'Org kickstarter '!B:E,4,FALSE)</f>
        <v>2576</v>
      </c>
      <c r="E4">
        <f>VLOOKUP(A4,'Org kickstarter '!B:P,15,FALSE)</f>
        <v>33.03</v>
      </c>
      <c r="F4">
        <f>VLOOKUP(A4,'Org kickstarter '!B:L,11,FALSE)</f>
        <v>78</v>
      </c>
    </row>
    <row r="5" spans="1:6" x14ac:dyDescent="0.25">
      <c r="A5" t="s">
        <v>3329</v>
      </c>
      <c r="B5" t="str">
        <f>VLOOKUP(A5,'Org kickstarter '!B:C,2,FALSE)</f>
        <v>Jestia and Raedon is a brand new romantic comedy play going to the Edinburgh Fringe Festival this summer.</v>
      </c>
      <c r="C5">
        <f>VLOOKUP(A5,'Org kickstarter '!B:E,3,FALSE)</f>
        <v>1000</v>
      </c>
      <c r="D5">
        <f>VLOOKUP(A5,'Org kickstarter '!B:E,4,FALSE)</f>
        <v>1168</v>
      </c>
      <c r="E5">
        <f>VLOOKUP(A5,'Org kickstarter '!B:P,15,FALSE)</f>
        <v>44.92</v>
      </c>
      <c r="F5">
        <f>VLOOKUP(A5,'Org kickstarter '!B:L,11,FALSE)</f>
        <v>26</v>
      </c>
    </row>
    <row r="6" spans="1:6" x14ac:dyDescent="0.25">
      <c r="A6" t="s">
        <v>3221</v>
      </c>
      <c r="B6" t="str">
        <f>VLOOKUP(A6,'Org kickstarter '!B:C,2,FALSE)</f>
        <v>A one-man show about love, loss, and motorways, written &amp; performed by Ben Norris. Help us get to the 2015 Edinburgh Fringe and beyond!</v>
      </c>
      <c r="C6">
        <f>VLOOKUP(A6,'Org kickstarter '!B:E,3,FALSE)</f>
        <v>4000</v>
      </c>
      <c r="D6">
        <f>VLOOKUP(A6,'Org kickstarter '!B:E,4,FALSE)</f>
        <v>4137</v>
      </c>
      <c r="E6">
        <f>VLOOKUP(A6,'Org kickstarter '!B:P,15,FALSE)</f>
        <v>36.61</v>
      </c>
      <c r="F6">
        <f>VLOOKUP(A6,'Org kickstarter '!B:L,11,FALSE)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EF4D3-889C-4D94-AAA0-C9B0AF51B392}">
  <dimension ref="A1:C14"/>
  <sheetViews>
    <sheetView workbookViewId="0">
      <selection activeCell="C19" sqref="C19"/>
    </sheetView>
  </sheetViews>
  <sheetFormatPr defaultRowHeight="15" x14ac:dyDescent="0.25"/>
  <cols>
    <col min="1" max="1" width="25" bestFit="1" customWidth="1"/>
    <col min="2" max="2" width="26.85546875" bestFit="1" customWidth="1"/>
    <col min="3" max="3" width="23" bestFit="1" customWidth="1"/>
  </cols>
  <sheetData>
    <row r="1" spans="1:3" x14ac:dyDescent="0.25">
      <c r="A1" s="18"/>
      <c r="B1" s="18" t="s">
        <v>8389</v>
      </c>
      <c r="C1" s="18" t="s">
        <v>8390</v>
      </c>
    </row>
    <row r="2" spans="1:3" x14ac:dyDescent="0.25">
      <c r="A2" s="18" t="s">
        <v>8385</v>
      </c>
      <c r="B2" s="19">
        <v>5048.8786407766993</v>
      </c>
      <c r="C2" s="19">
        <v>10554.212</v>
      </c>
    </row>
    <row r="3" spans="1:3" x14ac:dyDescent="0.25">
      <c r="A3" s="18" t="s">
        <v>8386</v>
      </c>
      <c r="B3" s="19">
        <v>3000</v>
      </c>
      <c r="C3" s="19">
        <v>5000</v>
      </c>
    </row>
    <row r="4" spans="1:3" x14ac:dyDescent="0.25">
      <c r="A4" s="18" t="s">
        <v>8392</v>
      </c>
      <c r="B4" s="19">
        <v>7748.7537726373303</v>
      </c>
      <c r="C4" s="19">
        <v>21967.731061515115</v>
      </c>
    </row>
    <row r="5" spans="1:3" x14ac:dyDescent="0.25">
      <c r="A5" s="18" t="s">
        <v>8391</v>
      </c>
      <c r="B5" s="19">
        <v>5000</v>
      </c>
      <c r="C5" s="19">
        <v>10000</v>
      </c>
    </row>
    <row r="6" spans="1:3" x14ac:dyDescent="0.25">
      <c r="A6" s="18" t="s">
        <v>8393</v>
      </c>
      <c r="B6" s="19">
        <v>1500</v>
      </c>
      <c r="C6" s="19">
        <v>2000</v>
      </c>
    </row>
    <row r="7" spans="1:3" x14ac:dyDescent="0.25">
      <c r="A7" s="18" t="s">
        <v>8394</v>
      </c>
      <c r="B7" s="19">
        <v>3500</v>
      </c>
      <c r="C7" s="19">
        <v>8000</v>
      </c>
    </row>
    <row r="8" spans="1:3" x14ac:dyDescent="0.25">
      <c r="A8" s="18"/>
      <c r="B8" s="19"/>
      <c r="C8" s="19"/>
    </row>
    <row r="9" spans="1:3" x14ac:dyDescent="0.25">
      <c r="A9" s="18" t="s">
        <v>8387</v>
      </c>
      <c r="B9" s="19">
        <v>5601.5458009708727</v>
      </c>
      <c r="C9" s="19">
        <v>558.65484000000004</v>
      </c>
    </row>
    <row r="10" spans="1:3" x14ac:dyDescent="0.25">
      <c r="A10" s="18" t="s">
        <v>8388</v>
      </c>
      <c r="B10" s="19">
        <v>3167.5</v>
      </c>
      <c r="C10" s="19">
        <v>103</v>
      </c>
    </row>
    <row r="11" spans="1:3" x14ac:dyDescent="0.25">
      <c r="A11" s="18" t="s">
        <v>8392</v>
      </c>
      <c r="B11" s="19">
        <v>8334.5731699164608</v>
      </c>
      <c r="C11" s="19">
        <v>1330.5230280400915</v>
      </c>
    </row>
    <row r="12" spans="1:3" x14ac:dyDescent="0.25">
      <c r="A12" s="18" t="s">
        <v>8391</v>
      </c>
      <c r="B12" s="19">
        <v>5699</v>
      </c>
      <c r="C12" s="19">
        <v>501</v>
      </c>
    </row>
    <row r="13" spans="1:3" x14ac:dyDescent="0.25">
      <c r="A13" s="18" t="s">
        <v>8393</v>
      </c>
      <c r="B13" s="19">
        <v>1716.5074999999999</v>
      </c>
      <c r="C13" s="19">
        <v>9.25</v>
      </c>
    </row>
    <row r="14" spans="1:3" x14ac:dyDescent="0.25">
      <c r="A14" s="18" t="s">
        <v>8394</v>
      </c>
      <c r="B14" s="19">
        <v>3982.4925000000003</v>
      </c>
      <c r="C14" s="19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Average Donations</vt:lpstr>
      <vt:lpstr>Org kickstarter 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lina valencia</cp:lastModifiedBy>
  <dcterms:created xsi:type="dcterms:W3CDTF">2017-04-20T15:17:24Z</dcterms:created>
  <dcterms:modified xsi:type="dcterms:W3CDTF">2022-06-08T15:30:38Z</dcterms:modified>
</cp:coreProperties>
</file>